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<sst xmlns="http://schemas.openxmlformats.org/spreadsheetml/2006/main" count="178" uniqueCount="96">
  <si>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</si>
  <si>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</si>
  <si>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</si>
  <si>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</si>
  <si>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</si>
  <si>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</si>
  <si>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</si>
  <si>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</si>
  <si>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</si>
  <si>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</si>
  <si>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</si>
  <si>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</si>
  <si>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</si>
  <si>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</si>
  <si>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</si>
  <si>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</si>
  <si>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</si>
  <si>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</si>
  <si>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</si>
  <si>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</si>
  <si>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</si>
  <si>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</si>
  <si>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</si>
  <si>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</si>
  <si>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</si>
  <si>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</si>
  <si>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</si>
  <si>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</si>
  <si>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</si>
  <si>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</si>
  <si>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</si>
  <si>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</si>
  <si>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</si>
  <si>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</si>
  <si>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</si>
  <si>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</si>
  <si>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</si>
  <si>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</si>
  <si>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</si>
  <si>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</si>
  <si>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</si>
  <si>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</si>
  <si>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</si>
  <si>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</si>
  <si>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</si>
  <si>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</si>
  <si>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</si>
  <si>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</si>
  <si>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</si>
  <si>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</si>
  <si>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</si>
  <si>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</si>
  <si>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</si>
  <si>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</si>
  <si>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</si>
  <si>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</si>
  <si>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</si>
  <si>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</si>
  <si>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</si>
  <si>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</si>
  <si>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</si>
  <si>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</si>
  <si>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</si>
  <si>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</si>
  <si>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</si>
  <si>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</si>
  <si>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</si>
  <si>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</si>
  <si>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</si>
  <si>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</si>
  <si>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</si>
  <si>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</si>
  <si>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</si>
  <si>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</si>
  <si>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</si>
  <si>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</si>
  <si>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</si>
  <si>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</si>
  <si>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</si>
  <si>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</si>
  <si>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</si>
  <si>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</si>
  <si>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</si>
  <si>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</si>
  <si>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</si>
  <si>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</si>
  <si>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</si>
  <si>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</si>
  <si>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</si>
  <si>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</si>
  <si>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</si>
  <si>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Лицевой счет по адресу г. Таштагол, ул. Ленина, д. 32</t>
  </si>
  <si>
    <t>Выписка по лицевому счету по адресу г. Таштагол, ул. Ленина, д. 38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</si>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</sst>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0" borderId="0">
      <alignment horizontal="left"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24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24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4" fontId="7" fillId="24" borderId="22" xfId="33" applyNumberFormat="1" applyFont="1" applyFill="1" applyBorder="1" applyAlignment="1">
      <alignment horizontal="right" vertical="center" wrapText="1"/>
      <protection/>
    </xf>
    <xf numFmtId="4" fontId="1" fillId="24" borderId="22" xfId="0" applyNumberFormat="1" applyFont="1" applyFill="1" applyBorder="1" applyAlignment="1">
      <alignment horizontal="right" wrapText="1"/>
    </xf>
    <xf numFmtId="4" fontId="1" fillId="24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24" borderId="2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" fontId="1" fillId="24" borderId="23" xfId="0" applyNumberFormat="1" applyFont="1" applyFill="1" applyBorder="1" applyAlignment="1">
      <alignment horizontal="right" wrapText="1"/>
    </xf>
    <xf numFmtId="4" fontId="1" fillId="24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24" borderId="13" xfId="0" applyNumberFormat="1" applyFont="1" applyFill="1" applyBorder="1" applyAlignment="1">
      <alignment horizontal="right" vertical="center" wrapText="1"/>
    </xf>
    <xf numFmtId="4" fontId="1" fillId="22" borderId="11" xfId="0" applyNumberFormat="1" applyFont="1" applyFill="1" applyBorder="1" applyAlignment="1">
      <alignment horizontal="right" wrapText="1"/>
    </xf>
    <xf numFmtId="4" fontId="1" fillId="22" borderId="13" xfId="0" applyNumberFormat="1" applyFont="1" applyFill="1" applyBorder="1" applyAlignment="1">
      <alignment/>
    </xf>
    <xf numFmtId="4" fontId="0" fillId="22" borderId="13" xfId="0" applyNumberFormat="1" applyFont="1" applyFill="1" applyBorder="1" applyAlignment="1">
      <alignment horizontal="right"/>
    </xf>
    <xf numFmtId="4" fontId="1" fillId="24" borderId="35" xfId="0" applyNumberFormat="1" applyFont="1" applyFill="1" applyBorder="1" applyAlignment="1">
      <alignment horizontal="right"/>
    </xf>
    <xf numFmtId="4" fontId="1" fillId="24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39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0" xfId="0" applyFont="1" applyFill="1" applyBorder="1" applyAlignment="1">
      <alignment horizontal="center" textRotation="90"/>
    </xf>
    <xf numFmtId="4" fontId="0" fillId="0" borderId="4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24" borderId="38" xfId="0" applyNumberFormat="1" applyFont="1" applyFill="1" applyBorder="1" applyAlignment="1">
      <alignment horizontal="right"/>
    </xf>
    <xf numFmtId="4" fontId="1" fillId="24" borderId="39" xfId="0" applyNumberFormat="1" applyFont="1" applyFill="1" applyBorder="1" applyAlignment="1">
      <alignment horizontal="right"/>
    </xf>
    <xf numFmtId="4" fontId="7" fillId="24" borderId="23" xfId="33" applyNumberFormat="1" applyFont="1" applyFill="1" applyBorder="1" applyAlignment="1">
      <alignment horizontal="right" vertical="center" wrapText="1"/>
      <protection/>
    </xf>
    <xf numFmtId="4" fontId="1" fillId="24" borderId="37" xfId="0" applyNumberFormat="1" applyFont="1" applyFill="1" applyBorder="1" applyAlignment="1">
      <alignment horizontal="right"/>
    </xf>
    <xf numFmtId="0" fontId="1" fillId="24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1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24" borderId="42" xfId="0" applyNumberFormat="1" applyFont="1" applyFill="1" applyBorder="1" applyAlignment="1">
      <alignment horizontal="center" vertical="center" wrapText="1"/>
    </xf>
    <xf numFmtId="4" fontId="2" fillId="22" borderId="13" xfId="33" applyNumberFormat="1" applyFont="1" applyFill="1" applyBorder="1" applyAlignment="1">
      <alignment horizontal="right" vertical="center" wrapText="1"/>
      <protection/>
    </xf>
    <xf numFmtId="4" fontId="8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24" borderId="13" xfId="0" applyFont="1" applyFill="1" applyBorder="1" applyAlignment="1">
      <alignment horizontal="right" vertical="center" wrapText="1"/>
    </xf>
    <xf numFmtId="0" fontId="0" fillId="24" borderId="26" xfId="0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/>
    </xf>
    <xf numFmtId="0" fontId="0" fillId="22" borderId="13" xfId="0" applyFont="1" applyFill="1" applyBorder="1" applyAlignment="1">
      <alignment vertical="center" wrapText="1"/>
    </xf>
    <xf numFmtId="4" fontId="0" fillId="22" borderId="13" xfId="0" applyNumberFormat="1" applyFont="1" applyFill="1" applyBorder="1" applyAlignment="1">
      <alignment/>
    </xf>
    <xf numFmtId="4" fontId="0" fillId="24" borderId="13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2" fontId="1" fillId="24" borderId="44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2" fillId="0" borderId="45" xfId="33" applyNumberFormat="1" applyFont="1" applyFill="1" applyBorder="1" applyAlignment="1">
      <alignment horizontal="right" vertical="center" wrapText="1"/>
      <protection/>
    </xf>
    <xf numFmtId="4" fontId="2" fillId="22" borderId="17" xfId="33" applyNumberFormat="1" applyFont="1" applyFill="1" applyBorder="1" applyAlignment="1">
      <alignment horizontal="right" vertical="center" wrapText="1"/>
      <protection/>
    </xf>
    <xf numFmtId="4" fontId="0" fillId="0" borderId="46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2" fillId="22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3" xfId="0" applyFont="1" applyFill="1" applyBorder="1" applyAlignment="1">
      <alignment/>
    </xf>
    <xf numFmtId="4" fontId="0" fillId="4" borderId="13" xfId="0" applyNumberFormat="1" applyFont="1" applyFill="1" applyBorder="1" applyAlignment="1">
      <alignment horizontal="right"/>
    </xf>
    <xf numFmtId="4" fontId="0" fillId="4" borderId="13" xfId="0" applyNumberFormat="1" applyFont="1" applyFill="1" applyBorder="1" applyAlignment="1">
      <alignment horizontal="right" vertical="center" wrapText="1"/>
    </xf>
    <xf numFmtId="4" fontId="1" fillId="4" borderId="11" xfId="0" applyNumberFormat="1" applyFont="1" applyFill="1" applyBorder="1" applyAlignment="1">
      <alignment wrapText="1"/>
    </xf>
    <xf numFmtId="4" fontId="1" fillId="4" borderId="11" xfId="0" applyNumberFormat="1" applyFont="1" applyFill="1" applyBorder="1" applyAlignment="1">
      <alignment horizontal="right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7" xfId="0" applyNumberFormat="1" applyFont="1" applyFill="1" applyBorder="1" applyAlignment="1">
      <alignment horizontal="right"/>
    </xf>
    <xf numFmtId="4" fontId="1" fillId="4" borderId="17" xfId="0" applyNumberFormat="1" applyFont="1" applyFill="1" applyBorder="1" applyAlignment="1">
      <alignment horizontal="right"/>
    </xf>
    <xf numFmtId="0" fontId="0" fillId="4" borderId="13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5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7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22" borderId="35" xfId="0" applyNumberFormat="1" applyFont="1" applyFill="1" applyBorder="1" applyAlignment="1">
      <alignment horizontal="right"/>
    </xf>
    <xf numFmtId="4" fontId="0" fillId="22" borderId="11" xfId="0" applyNumberFormat="1" applyFont="1" applyFill="1" applyBorder="1" applyAlignment="1">
      <alignment horizontal="right"/>
    </xf>
    <xf numFmtId="4" fontId="0" fillId="24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0" fillId="3" borderId="35" xfId="0" applyNumberFormat="1" applyFont="1" applyFill="1" applyBorder="1" applyAlignment="1">
      <alignment horizontal="right"/>
    </xf>
    <xf numFmtId="4" fontId="0" fillId="22" borderId="29" xfId="0" applyNumberFormat="1" applyFont="1" applyFill="1" applyBorder="1" applyAlignment="1">
      <alignment horizontal="right"/>
    </xf>
    <xf numFmtId="4" fontId="0" fillId="22" borderId="28" xfId="0" applyNumberFormat="1" applyFont="1" applyFill="1" applyBorder="1" applyAlignment="1">
      <alignment horizontal="right"/>
    </xf>
    <xf numFmtId="4" fontId="0" fillId="3" borderId="11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4" fontId="0" fillId="4" borderId="11" xfId="0" applyNumberFormat="1" applyFont="1" applyFill="1" applyBorder="1" applyAlignment="1">
      <alignment horizontal="right"/>
    </xf>
    <xf numFmtId="4" fontId="0" fillId="25" borderId="11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7" borderId="47" xfId="0" applyNumberFormat="1" applyFont="1" applyFill="1" applyBorder="1" applyAlignment="1">
      <alignment horizontal="right"/>
    </xf>
    <xf numFmtId="4" fontId="0" fillId="22" borderId="46" xfId="0" applyNumberFormat="1" applyFont="1" applyFill="1" applyBorder="1" applyAlignment="1">
      <alignment horizontal="right"/>
    </xf>
    <xf numFmtId="4" fontId="0" fillId="22" borderId="17" xfId="0" applyNumberFormat="1" applyFont="1" applyFill="1" applyBorder="1" applyAlignment="1">
      <alignment horizontal="right"/>
    </xf>
    <xf numFmtId="4" fontId="0" fillId="4" borderId="17" xfId="0" applyNumberFormat="1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0" fillId="25" borderId="17" xfId="0" applyNumberFormat="1" applyFont="1" applyFill="1" applyBorder="1" applyAlignment="1">
      <alignment horizontal="right"/>
    </xf>
    <xf numFmtId="4" fontId="0" fillId="3" borderId="46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 wrapText="1"/>
    </xf>
    <xf numFmtId="4" fontId="0" fillId="25" borderId="35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0" fillId="3" borderId="49" xfId="0" applyNumberFormat="1" applyFont="1" applyFill="1" applyBorder="1" applyAlignment="1">
      <alignment horizontal="right"/>
    </xf>
    <xf numFmtId="4" fontId="0" fillId="3" borderId="17" xfId="0" applyNumberFormat="1" applyFont="1" applyFill="1" applyBorder="1" applyAlignment="1">
      <alignment horizontal="right"/>
    </xf>
    <xf numFmtId="2" fontId="2" fillId="0" borderId="26" xfId="33" applyNumberFormat="1" applyFont="1" applyFill="1" applyBorder="1" applyAlignment="1">
      <alignment horizontal="right" vertical="center" wrapText="1"/>
      <protection/>
    </xf>
    <xf numFmtId="2" fontId="2" fillId="22" borderId="13" xfId="33" applyNumberFormat="1" applyFont="1" applyFill="1" applyBorder="1" applyAlignment="1">
      <alignment horizontal="right" vertical="center" wrapText="1"/>
      <protection/>
    </xf>
    <xf numFmtId="2" fontId="0" fillId="0" borderId="35" xfId="0" applyNumberFormat="1" applyFont="1" applyFill="1" applyBorder="1" applyAlignment="1">
      <alignment horizontal="right"/>
    </xf>
    <xf numFmtId="2" fontId="0" fillId="7" borderId="15" xfId="0" applyNumberFormat="1" applyFont="1" applyFill="1" applyBorder="1" applyAlignment="1">
      <alignment horizontal="right"/>
    </xf>
    <xf numFmtId="2" fontId="0" fillId="22" borderId="35" xfId="0" applyNumberFormat="1" applyFont="1" applyFill="1" applyBorder="1" applyAlignment="1">
      <alignment horizontal="right"/>
    </xf>
    <xf numFmtId="2" fontId="0" fillId="22" borderId="11" xfId="0" applyNumberFormat="1" applyFont="1" applyFill="1" applyBorder="1" applyAlignment="1">
      <alignment horizontal="right"/>
    </xf>
    <xf numFmtId="2" fontId="0" fillId="4" borderId="11" xfId="0" applyNumberFormat="1" applyFont="1" applyFill="1" applyBorder="1" applyAlignment="1">
      <alignment horizontal="right"/>
    </xf>
    <xf numFmtId="2" fontId="0" fillId="26" borderId="11" xfId="0" applyNumberFormat="1" applyFont="1" applyFill="1" applyBorder="1" applyAlignment="1">
      <alignment horizontal="right"/>
    </xf>
    <xf numFmtId="2" fontId="0" fillId="24" borderId="11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2" fontId="0" fillId="0" borderId="35" xfId="0" applyNumberFormat="1" applyFont="1" applyFill="1" applyBorder="1" applyAlignment="1">
      <alignment horizontal="right"/>
    </xf>
    <xf numFmtId="2" fontId="0" fillId="25" borderId="11" xfId="0" applyNumberFormat="1" applyFont="1" applyFill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50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right" wrapText="1"/>
    </xf>
    <xf numFmtId="0" fontId="0" fillId="0" borderId="51" xfId="0" applyFont="1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25" borderId="15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22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7" borderId="15" xfId="0" applyNumberFormat="1" applyFont="1" applyFill="1" applyBorder="1" applyAlignment="1">
      <alignment horizontal="center"/>
    </xf>
    <xf numFmtId="4" fontId="0" fillId="22" borderId="35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25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24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" borderId="52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2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4" borderId="33" xfId="0" applyNumberFormat="1" applyFont="1" applyFill="1" applyBorder="1" applyAlignment="1">
      <alignment horizontal="center" vertical="center" wrapText="1"/>
    </xf>
    <xf numFmtId="2" fontId="1" fillId="4" borderId="58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22" borderId="52" xfId="0" applyNumberFormat="1" applyFont="1" applyFill="1" applyBorder="1" applyAlignment="1">
      <alignment horizontal="center" vertical="center" wrapText="1"/>
    </xf>
    <xf numFmtId="2" fontId="1" fillId="22" borderId="44" xfId="0" applyNumberFormat="1" applyFont="1" applyFill="1" applyBorder="1" applyAlignment="1">
      <alignment horizontal="center" vertical="center" wrapText="1"/>
    </xf>
    <xf numFmtId="2" fontId="1" fillId="22" borderId="42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22" borderId="52" xfId="0" applyNumberFormat="1" applyFont="1" applyFill="1" applyBorder="1" applyAlignment="1">
      <alignment horizontal="center" vertical="center" wrapText="1"/>
    </xf>
    <xf numFmtId="4" fontId="1" fillId="22" borderId="4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22" borderId="55" xfId="0" applyNumberFormat="1" applyFont="1" applyFill="1" applyBorder="1" applyAlignment="1">
      <alignment horizontal="center" vertical="center" wrapText="1"/>
    </xf>
    <xf numFmtId="2" fontId="1" fillId="22" borderId="43" xfId="0" applyNumberFormat="1" applyFont="1" applyFill="1" applyBorder="1" applyAlignment="1">
      <alignment horizontal="center" vertical="center" wrapText="1"/>
    </xf>
    <xf numFmtId="2" fontId="1" fillId="22" borderId="57" xfId="0" applyNumberFormat="1" applyFont="1" applyFill="1" applyBorder="1" applyAlignment="1">
      <alignment horizontal="center" vertical="center" wrapText="1"/>
    </xf>
    <xf numFmtId="2" fontId="1" fillId="25" borderId="52" xfId="0" applyNumberFormat="1" applyFont="1" applyFill="1" applyBorder="1" applyAlignment="1">
      <alignment horizontal="center" vertical="center" wrapText="1"/>
    </xf>
    <xf numFmtId="2" fontId="1" fillId="25" borderId="44" xfId="0" applyNumberFormat="1" applyFont="1" applyFill="1" applyBorder="1" applyAlignment="1">
      <alignment horizontal="center" vertical="center" wrapText="1"/>
    </xf>
    <xf numFmtId="2" fontId="1" fillId="25" borderId="42" xfId="0" applyNumberFormat="1" applyFont="1" applyFill="1" applyBorder="1" applyAlignment="1">
      <alignment horizontal="center" vertical="center" wrapText="1"/>
    </xf>
    <xf numFmtId="2" fontId="9" fillId="22" borderId="52" xfId="0" applyNumberFormat="1" applyFont="1" applyFill="1" applyBorder="1" applyAlignment="1">
      <alignment horizontal="center" vertical="center" wrapText="1"/>
    </xf>
    <xf numFmtId="2" fontId="9" fillId="22" borderId="44" xfId="0" applyNumberFormat="1" applyFont="1" applyFill="1" applyBorder="1" applyAlignment="1">
      <alignment horizontal="center" vertical="center" wrapText="1"/>
    </xf>
    <xf numFmtId="2" fontId="9" fillId="22" borderId="4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textRotation="90"/>
    </xf>
    <xf numFmtId="0" fontId="1" fillId="0" borderId="43" xfId="0" applyFont="1" applyFill="1" applyBorder="1" applyAlignment="1">
      <alignment horizontal="center" textRotation="90"/>
    </xf>
    <xf numFmtId="0" fontId="1" fillId="7" borderId="52" xfId="0" applyFont="1" applyFill="1" applyBorder="1" applyAlignment="1">
      <alignment horizontal="center" textRotation="90"/>
    </xf>
    <xf numFmtId="0" fontId="1" fillId="7" borderId="44" xfId="0" applyFont="1" applyFill="1" applyBorder="1" applyAlignment="1">
      <alignment horizontal="center" textRotation="90"/>
    </xf>
    <xf numFmtId="2" fontId="1" fillId="24" borderId="37" xfId="0" applyNumberFormat="1" applyFont="1" applyFill="1" applyBorder="1" applyAlignment="1">
      <alignment horizontal="center" vertical="center" wrapText="1"/>
    </xf>
    <xf numFmtId="2" fontId="1" fillId="24" borderId="62" xfId="0" applyNumberFormat="1" applyFont="1" applyFill="1" applyBorder="1" applyAlignment="1">
      <alignment horizontal="center" vertical="center" wrapText="1"/>
    </xf>
    <xf numFmtId="2" fontId="1" fillId="4" borderId="52" xfId="0" applyNumberFormat="1" applyFont="1" applyFill="1" applyBorder="1" applyAlignment="1">
      <alignment horizontal="center" vertical="center" wrapText="1"/>
    </xf>
    <xf numFmtId="2" fontId="1" fillId="4" borderId="4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5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24" borderId="35" xfId="0" applyNumberFormat="1" applyFont="1" applyFill="1" applyBorder="1" applyAlignment="1">
      <alignment horizontal="center" vertical="center" textRotation="90" wrapText="1"/>
    </xf>
    <xf numFmtId="2" fontId="1" fillId="24" borderId="40" xfId="0" applyNumberFormat="1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/>
    </xf>
    <xf numFmtId="0" fontId="1" fillId="0" borderId="7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24" borderId="15" xfId="0" applyNumberFormat="1" applyFont="1" applyFill="1" applyBorder="1" applyAlignment="1">
      <alignment horizontal="center" vertical="center" textRotation="90" wrapText="1"/>
    </xf>
    <xf numFmtId="2" fontId="1" fillId="24" borderId="41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0">
      <selection activeCell="BF30" sqref="BF30:BF41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625" style="2" customWidth="1"/>
    <col min="55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301" t="s">
        <v>91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93" t="s">
        <v>77</v>
      </c>
      <c r="B3" s="303" t="s">
        <v>0</v>
      </c>
      <c r="C3" s="305" t="s">
        <v>1</v>
      </c>
      <c r="D3" s="307" t="s">
        <v>2</v>
      </c>
      <c r="E3" s="293" t="s">
        <v>11</v>
      </c>
      <c r="F3" s="310"/>
      <c r="G3" s="293" t="s">
        <v>12</v>
      </c>
      <c r="H3" s="290"/>
      <c r="I3" s="293" t="s">
        <v>13</v>
      </c>
      <c r="J3" s="290"/>
      <c r="K3" s="293" t="s">
        <v>14</v>
      </c>
      <c r="L3" s="290"/>
      <c r="M3" s="289" t="s">
        <v>15</v>
      </c>
      <c r="N3" s="290"/>
      <c r="O3" s="293" t="s">
        <v>16</v>
      </c>
      <c r="P3" s="290"/>
      <c r="Q3" s="293" t="s">
        <v>17</v>
      </c>
      <c r="R3" s="290"/>
      <c r="S3" s="293" t="s">
        <v>3</v>
      </c>
      <c r="T3" s="289"/>
      <c r="U3" s="325" t="s">
        <v>4</v>
      </c>
      <c r="V3" s="326"/>
      <c r="W3" s="326"/>
      <c r="X3" s="326"/>
      <c r="Y3" s="326"/>
      <c r="Z3" s="326"/>
      <c r="AA3" s="326"/>
      <c r="AB3" s="326"/>
      <c r="AC3" s="296" t="s">
        <v>78</v>
      </c>
      <c r="AD3" s="316" t="s">
        <v>6</v>
      </c>
      <c r="AE3" s="316" t="s">
        <v>7</v>
      </c>
      <c r="AF3" s="322" t="s">
        <v>79</v>
      </c>
      <c r="AG3" s="281" t="s">
        <v>8</v>
      </c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3"/>
      <c r="BC3" s="276" t="s">
        <v>80</v>
      </c>
      <c r="BD3" s="277"/>
      <c r="BE3" s="272" t="s">
        <v>9</v>
      </c>
      <c r="BF3" s="272" t="s">
        <v>10</v>
      </c>
    </row>
    <row r="4" spans="1:58" ht="36" customHeight="1" thickBot="1">
      <c r="A4" s="302"/>
      <c r="B4" s="304"/>
      <c r="C4" s="306"/>
      <c r="D4" s="308"/>
      <c r="E4" s="311"/>
      <c r="F4" s="312"/>
      <c r="G4" s="294"/>
      <c r="H4" s="295"/>
      <c r="I4" s="294"/>
      <c r="J4" s="295"/>
      <c r="K4" s="294"/>
      <c r="L4" s="295"/>
      <c r="M4" s="291"/>
      <c r="N4" s="292"/>
      <c r="O4" s="294"/>
      <c r="P4" s="295"/>
      <c r="Q4" s="294"/>
      <c r="R4" s="295"/>
      <c r="S4" s="294"/>
      <c r="T4" s="309"/>
      <c r="U4" s="327"/>
      <c r="V4" s="328"/>
      <c r="W4" s="328"/>
      <c r="X4" s="328"/>
      <c r="Y4" s="328"/>
      <c r="Z4" s="328"/>
      <c r="AA4" s="328"/>
      <c r="AB4" s="328"/>
      <c r="AC4" s="297"/>
      <c r="AD4" s="317"/>
      <c r="AE4" s="317"/>
      <c r="AF4" s="323"/>
      <c r="AG4" s="284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6"/>
      <c r="BC4" s="319" t="s">
        <v>81</v>
      </c>
      <c r="BD4" s="242" t="s">
        <v>82</v>
      </c>
      <c r="BE4" s="273"/>
      <c r="BF4" s="273"/>
    </row>
    <row r="5" spans="1:58" ht="29.25" customHeight="1" thickBot="1">
      <c r="A5" s="302"/>
      <c r="B5" s="304"/>
      <c r="C5" s="306"/>
      <c r="D5" s="308"/>
      <c r="E5" s="333" t="s">
        <v>18</v>
      </c>
      <c r="F5" s="299" t="s">
        <v>19</v>
      </c>
      <c r="G5" s="299" t="s">
        <v>18</v>
      </c>
      <c r="H5" s="299" t="s">
        <v>19</v>
      </c>
      <c r="I5" s="299" t="s">
        <v>18</v>
      </c>
      <c r="J5" s="299" t="s">
        <v>19</v>
      </c>
      <c r="K5" s="299" t="s">
        <v>18</v>
      </c>
      <c r="L5" s="299" t="s">
        <v>19</v>
      </c>
      <c r="M5" s="299" t="s">
        <v>18</v>
      </c>
      <c r="N5" s="299" t="s">
        <v>19</v>
      </c>
      <c r="O5" s="299" t="s">
        <v>18</v>
      </c>
      <c r="P5" s="299" t="s">
        <v>19</v>
      </c>
      <c r="Q5" s="299" t="s">
        <v>18</v>
      </c>
      <c r="R5" s="299" t="s">
        <v>19</v>
      </c>
      <c r="S5" s="299" t="s">
        <v>18</v>
      </c>
      <c r="T5" s="335" t="s">
        <v>19</v>
      </c>
      <c r="U5" s="313" t="s">
        <v>20</v>
      </c>
      <c r="V5" s="313" t="s">
        <v>21</v>
      </c>
      <c r="W5" s="313" t="s">
        <v>22</v>
      </c>
      <c r="X5" s="313" t="s">
        <v>23</v>
      </c>
      <c r="Y5" s="313" t="s">
        <v>24</v>
      </c>
      <c r="Z5" s="313" t="s">
        <v>25</v>
      </c>
      <c r="AA5" s="313" t="s">
        <v>26</v>
      </c>
      <c r="AB5" s="315" t="s">
        <v>27</v>
      </c>
      <c r="AC5" s="297"/>
      <c r="AD5" s="317"/>
      <c r="AE5" s="317"/>
      <c r="AF5" s="323"/>
      <c r="AG5" s="331" t="s">
        <v>28</v>
      </c>
      <c r="AH5" s="329" t="s">
        <v>29</v>
      </c>
      <c r="AI5" s="329" t="s">
        <v>30</v>
      </c>
      <c r="AJ5" s="243" t="s">
        <v>31</v>
      </c>
      <c r="AK5" s="329" t="s">
        <v>32</v>
      </c>
      <c r="AL5" s="243" t="s">
        <v>31</v>
      </c>
      <c r="AM5" s="243" t="s">
        <v>33</v>
      </c>
      <c r="AN5" s="243" t="s">
        <v>31</v>
      </c>
      <c r="AO5" s="243" t="s">
        <v>34</v>
      </c>
      <c r="AP5" s="243" t="s">
        <v>31</v>
      </c>
      <c r="AQ5" s="287" t="s">
        <v>89</v>
      </c>
      <c r="AR5" s="339" t="s">
        <v>31</v>
      </c>
      <c r="AS5" s="337" t="s">
        <v>83</v>
      </c>
      <c r="AT5" s="337" t="s">
        <v>84</v>
      </c>
      <c r="AU5" s="145" t="s">
        <v>31</v>
      </c>
      <c r="AV5" s="276" t="s">
        <v>85</v>
      </c>
      <c r="AW5" s="278"/>
      <c r="AX5" s="277"/>
      <c r="AY5" s="279" t="s">
        <v>17</v>
      </c>
      <c r="AZ5" s="242" t="s">
        <v>36</v>
      </c>
      <c r="BA5" s="242" t="s">
        <v>31</v>
      </c>
      <c r="BB5" s="242" t="s">
        <v>37</v>
      </c>
      <c r="BC5" s="320"/>
      <c r="BD5" s="243"/>
      <c r="BE5" s="273"/>
      <c r="BF5" s="273"/>
    </row>
    <row r="6" spans="1:58" ht="54" customHeight="1" thickBot="1">
      <c r="A6" s="302"/>
      <c r="B6" s="304"/>
      <c r="C6" s="306"/>
      <c r="D6" s="308"/>
      <c r="E6" s="334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36"/>
      <c r="U6" s="314"/>
      <c r="V6" s="314"/>
      <c r="W6" s="314"/>
      <c r="X6" s="314"/>
      <c r="Y6" s="314"/>
      <c r="Z6" s="314"/>
      <c r="AA6" s="314"/>
      <c r="AB6" s="284"/>
      <c r="AC6" s="298"/>
      <c r="AD6" s="318"/>
      <c r="AE6" s="318"/>
      <c r="AF6" s="324"/>
      <c r="AG6" s="332"/>
      <c r="AH6" s="330"/>
      <c r="AI6" s="330"/>
      <c r="AJ6" s="275"/>
      <c r="AK6" s="330"/>
      <c r="AL6" s="275"/>
      <c r="AM6" s="275"/>
      <c r="AN6" s="275"/>
      <c r="AO6" s="275"/>
      <c r="AP6" s="275"/>
      <c r="AQ6" s="288"/>
      <c r="AR6" s="340"/>
      <c r="AS6" s="338"/>
      <c r="AT6" s="338"/>
      <c r="AU6" s="129"/>
      <c r="AV6" s="128" t="s">
        <v>86</v>
      </c>
      <c r="AW6" s="128" t="s">
        <v>87</v>
      </c>
      <c r="AX6" s="128" t="s">
        <v>88</v>
      </c>
      <c r="AY6" s="280"/>
      <c r="AZ6" s="275"/>
      <c r="BA6" s="275"/>
      <c r="BB6" s="275"/>
      <c r="BC6" s="321"/>
      <c r="BD6" s="275"/>
      <c r="BE6" s="274"/>
      <c r="BF6" s="274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68">
        <v>43</v>
      </c>
      <c r="AR7" s="169">
        <v>44</v>
      </c>
      <c r="AS7" s="164">
        <v>45</v>
      </c>
      <c r="AT7" s="10">
        <v>46</v>
      </c>
      <c r="AU7" s="164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8">
        <v>57</v>
      </c>
      <c r="BF7" s="11">
        <v>58</v>
      </c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67"/>
      <c r="AR8" s="167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43"/>
    </row>
    <row r="9" spans="1:58" s="132" customFormat="1" ht="12.75">
      <c r="A9" s="133" t="s">
        <v>39</v>
      </c>
      <c r="B9" s="178">
        <v>631.8</v>
      </c>
      <c r="C9" s="124">
        <f>B9*8.65</f>
        <v>5465.07</v>
      </c>
      <c r="D9" s="130">
        <f>C9*0.24088</f>
        <v>1316.4260616</v>
      </c>
      <c r="E9" s="179">
        <v>463.24</v>
      </c>
      <c r="F9" s="179">
        <v>75.8</v>
      </c>
      <c r="G9" s="179">
        <v>625.4</v>
      </c>
      <c r="H9" s="179">
        <v>102.33</v>
      </c>
      <c r="I9" s="179">
        <v>1505.53</v>
      </c>
      <c r="J9" s="179">
        <v>246.35</v>
      </c>
      <c r="K9" s="179">
        <v>1042.32</v>
      </c>
      <c r="L9" s="179">
        <v>170.55</v>
      </c>
      <c r="M9" s="180">
        <v>370.59</v>
      </c>
      <c r="N9" s="180">
        <v>60.64</v>
      </c>
      <c r="O9" s="179">
        <v>0</v>
      </c>
      <c r="P9" s="179">
        <v>0</v>
      </c>
      <c r="Q9" s="179">
        <v>0</v>
      </c>
      <c r="R9" s="179">
        <v>0</v>
      </c>
      <c r="S9" s="179">
        <f>E9+G9+I9+K9+M9+O9+Q9</f>
        <v>4007.08</v>
      </c>
      <c r="T9" s="183">
        <f>P9+N9+L9+J9+H9+F9+R9</f>
        <v>655.67</v>
      </c>
      <c r="U9" s="179">
        <v>0</v>
      </c>
      <c r="V9" s="179">
        <v>0</v>
      </c>
      <c r="W9" s="179">
        <v>0</v>
      </c>
      <c r="X9" s="179">
        <v>0</v>
      </c>
      <c r="Y9" s="179">
        <v>0</v>
      </c>
      <c r="Z9" s="182">
        <v>0</v>
      </c>
      <c r="AA9" s="182">
        <v>0</v>
      </c>
      <c r="AB9" s="182">
        <f>SUM(U9:AA9)</f>
        <v>0</v>
      </c>
      <c r="AC9" s="191">
        <f>D9+T9+AB9</f>
        <v>1972.0960615999998</v>
      </c>
      <c r="AD9" s="192">
        <f>P9+Z9</f>
        <v>0</v>
      </c>
      <c r="AE9" s="186">
        <f>R9+AA9</f>
        <v>0</v>
      </c>
      <c r="AF9" s="186"/>
      <c r="AG9" s="179">
        <f>0.6*B9</f>
        <v>379.08</v>
      </c>
      <c r="AH9" s="179">
        <f>B9*0.2*1.05826</f>
        <v>133.7217336</v>
      </c>
      <c r="AI9" s="179">
        <f>0.8518*B9</f>
        <v>538.16724</v>
      </c>
      <c r="AJ9" s="179">
        <f>AI9*0.18</f>
        <v>96.87010319999999</v>
      </c>
      <c r="AK9" s="179">
        <f>1.04*B9*0.9531</f>
        <v>626.2553232</v>
      </c>
      <c r="AL9" s="179">
        <f>AK9*0.18</f>
        <v>112.725958176</v>
      </c>
      <c r="AM9" s="179">
        <f>(1.91)*B9*0.9531</f>
        <v>1150.1419877999997</v>
      </c>
      <c r="AN9" s="179">
        <f>AM9*0.18</f>
        <v>207.02555780399993</v>
      </c>
      <c r="AO9" s="179"/>
      <c r="AP9" s="179">
        <f>AO9*0.18</f>
        <v>0</v>
      </c>
      <c r="AS9" s="187"/>
      <c r="AT9" s="187"/>
      <c r="AU9" s="187">
        <f>(AS9+AT9)*0.18</f>
        <v>0</v>
      </c>
      <c r="AV9" s="188"/>
      <c r="AW9" s="189"/>
      <c r="AX9" s="179">
        <f>AV9*AW9*1.12*1.18</f>
        <v>0</v>
      </c>
      <c r="AY9" s="131"/>
      <c r="AZ9" s="182"/>
      <c r="BA9" s="182">
        <f>AZ9*0.18</f>
        <v>0</v>
      </c>
      <c r="BB9" s="182">
        <f>SUM(AG9:BA9)-AV9-AW9</f>
        <v>3243.9879037799997</v>
      </c>
      <c r="BC9" s="182"/>
      <c r="BD9" s="184">
        <f>BB9-(AF9-BC9)</f>
        <v>3243.9879037799997</v>
      </c>
      <c r="BE9" s="190">
        <f>AC9-BB9</f>
        <v>-1271.89184218</v>
      </c>
      <c r="BF9" s="193">
        <f>AB9-S9</f>
        <v>-4007.08</v>
      </c>
    </row>
    <row r="10" spans="1:58" ht="12.75">
      <c r="A10" s="14" t="s">
        <v>40</v>
      </c>
      <c r="B10" s="178">
        <v>631.8</v>
      </c>
      <c r="C10" s="124">
        <f>B10*8.65</f>
        <v>5465.07</v>
      </c>
      <c r="D10" s="130">
        <f>C10*0.24088</f>
        <v>1316.4260616</v>
      </c>
      <c r="E10" s="179">
        <v>-0.02</v>
      </c>
      <c r="F10" s="179">
        <v>0</v>
      </c>
      <c r="G10" s="179">
        <v>-0.07</v>
      </c>
      <c r="H10" s="179">
        <v>0.01</v>
      </c>
      <c r="I10" s="179">
        <v>-0.07</v>
      </c>
      <c r="J10" s="179">
        <v>0.01</v>
      </c>
      <c r="K10" s="179">
        <v>-0.08</v>
      </c>
      <c r="L10" s="179">
        <v>0.01</v>
      </c>
      <c r="M10" s="180">
        <v>-0.01</v>
      </c>
      <c r="N10" s="180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f>E10+G10+I10+K10+M10+O10+Q10</f>
        <v>-0.25000000000000006</v>
      </c>
      <c r="T10" s="183">
        <f>P10+N10+L10+J10+H10+F10+R10</f>
        <v>0.03</v>
      </c>
      <c r="U10" s="179">
        <v>285.79</v>
      </c>
      <c r="V10" s="179">
        <v>385.83</v>
      </c>
      <c r="W10" s="179">
        <v>2527.22</v>
      </c>
      <c r="X10" s="179">
        <v>643.05</v>
      </c>
      <c r="Y10" s="179">
        <v>228.63</v>
      </c>
      <c r="Z10" s="179">
        <v>0</v>
      </c>
      <c r="AA10" s="182">
        <v>0</v>
      </c>
      <c r="AB10" s="184">
        <f>SUM(U10:AA10)</f>
        <v>4070.5199999999995</v>
      </c>
      <c r="AC10" s="185">
        <f>D10+T10+AB10</f>
        <v>5386.976061599999</v>
      </c>
      <c r="AD10" s="186">
        <f>P10+Z10</f>
        <v>0</v>
      </c>
      <c r="AE10" s="186">
        <f>R10+AA10</f>
        <v>0</v>
      </c>
      <c r="AF10" s="186"/>
      <c r="AG10" s="179">
        <f>0.6*B10</f>
        <v>379.08</v>
      </c>
      <c r="AH10" s="179">
        <f>B10*0.201</f>
        <v>126.9918</v>
      </c>
      <c r="AI10" s="179">
        <f>0.8518*B10</f>
        <v>538.16724</v>
      </c>
      <c r="AJ10" s="179">
        <f>AI10*0.18</f>
        <v>96.87010319999999</v>
      </c>
      <c r="AK10" s="179">
        <f>1.04*B10*0.9531</f>
        <v>626.2553232</v>
      </c>
      <c r="AL10" s="179">
        <f>AK10*0.18</f>
        <v>112.725958176</v>
      </c>
      <c r="AM10" s="179">
        <f>(1.91)*B10*0.9531</f>
        <v>1150.1419877999997</v>
      </c>
      <c r="AN10" s="179">
        <f>AM10*0.18</f>
        <v>207.02555780399993</v>
      </c>
      <c r="AO10" s="179"/>
      <c r="AP10" s="179">
        <f>AO10*0.18</f>
        <v>0</v>
      </c>
      <c r="AS10" s="187"/>
      <c r="AT10" s="187"/>
      <c r="AU10" s="187">
        <f>(AS10+AT10)*0.18</f>
        <v>0</v>
      </c>
      <c r="AV10" s="188"/>
      <c r="AW10" s="189"/>
      <c r="AX10" s="179">
        <f>AV10*AW10*1.12*1.18</f>
        <v>0</v>
      </c>
      <c r="AY10" s="131"/>
      <c r="AZ10" s="182"/>
      <c r="BA10" s="182">
        <f>AZ10*0.18</f>
        <v>0</v>
      </c>
      <c r="BB10" s="182">
        <f>SUM(AG10:BA10)-AV10-AW10</f>
        <v>3237.2579701799996</v>
      </c>
      <c r="BC10" s="182"/>
      <c r="BD10" s="184">
        <f>BB10-(AF10-BC10)</f>
        <v>3237.2579701799996</v>
      </c>
      <c r="BE10" s="190">
        <f>AC10-BB10</f>
        <v>2149.71809142</v>
      </c>
      <c r="BF10" s="190">
        <f>AB10-S10</f>
        <v>4070.7699999999995</v>
      </c>
    </row>
    <row r="11" spans="1:58" ht="13.5" thickBot="1">
      <c r="A11" s="42" t="s">
        <v>41</v>
      </c>
      <c r="B11" s="178">
        <v>631.8</v>
      </c>
      <c r="C11" s="124">
        <f>B11*8.65</f>
        <v>5465.07</v>
      </c>
      <c r="D11" s="130">
        <f>C11*0.24035</f>
        <v>1313.5295745</v>
      </c>
      <c r="E11" s="179">
        <v>187.32</v>
      </c>
      <c r="F11" s="179">
        <v>37.9</v>
      </c>
      <c r="G11" s="179">
        <v>252.87</v>
      </c>
      <c r="H11" s="179">
        <v>51.17</v>
      </c>
      <c r="I11" s="179">
        <v>2044.8</v>
      </c>
      <c r="J11" s="179">
        <v>123.18</v>
      </c>
      <c r="K11" s="179">
        <v>421.48</v>
      </c>
      <c r="L11" s="179">
        <v>85.28</v>
      </c>
      <c r="M11" s="180">
        <v>149.88</v>
      </c>
      <c r="N11" s="181">
        <v>30.32</v>
      </c>
      <c r="O11" s="182">
        <v>0</v>
      </c>
      <c r="P11" s="182">
        <v>0</v>
      </c>
      <c r="Q11" s="182">
        <v>0</v>
      </c>
      <c r="R11" s="182">
        <v>0</v>
      </c>
      <c r="S11" s="179">
        <f>E11+G11+I11+K11+M11+O11+Q11</f>
        <v>3056.35</v>
      </c>
      <c r="T11" s="183">
        <f>P11+N11+L11+J11+H11+F11+R11</f>
        <v>327.84999999999997</v>
      </c>
      <c r="U11" s="179">
        <v>103.43</v>
      </c>
      <c r="V11" s="179">
        <v>139.64</v>
      </c>
      <c r="W11" s="179">
        <v>270.53</v>
      </c>
      <c r="X11" s="179">
        <v>232.71</v>
      </c>
      <c r="Y11" s="179">
        <v>82.75</v>
      </c>
      <c r="Z11" s="179">
        <v>0</v>
      </c>
      <c r="AA11" s="182">
        <v>0</v>
      </c>
      <c r="AB11" s="184">
        <f>SUM(U11:AA11)</f>
        <v>829.06</v>
      </c>
      <c r="AC11" s="185">
        <f>D11+T11+AB11</f>
        <v>2470.4395745</v>
      </c>
      <c r="AD11" s="186">
        <f>P11+Z11</f>
        <v>0</v>
      </c>
      <c r="AE11" s="186">
        <f>R11+AA11</f>
        <v>0</v>
      </c>
      <c r="AF11" s="186"/>
      <c r="AG11" s="179">
        <f>0.6*B11</f>
        <v>379.08</v>
      </c>
      <c r="AH11" s="179">
        <f>B11*0.2*1.02524</f>
        <v>129.54932639999998</v>
      </c>
      <c r="AI11" s="179">
        <f>0.84932*B11</f>
        <v>536.600376</v>
      </c>
      <c r="AJ11" s="179">
        <f>AI11*0.18</f>
        <v>96.58806768</v>
      </c>
      <c r="AK11" s="179">
        <f>1.04*B11*0.95033</f>
        <v>624.43523376</v>
      </c>
      <c r="AL11" s="179">
        <f>AK11*0.18</f>
        <v>112.39834207679999</v>
      </c>
      <c r="AM11" s="179">
        <f>(1.91)*B11*0.95033</f>
        <v>1146.79932354</v>
      </c>
      <c r="AN11" s="179">
        <f>AM11*0.18</f>
        <v>206.42387823719997</v>
      </c>
      <c r="AO11" s="179"/>
      <c r="AP11" s="179">
        <f>AO11*0.18</f>
        <v>0</v>
      </c>
      <c r="AS11" s="187"/>
      <c r="AT11" s="187"/>
      <c r="AU11" s="187">
        <f>(AS11+AT11)*0.18</f>
        <v>0</v>
      </c>
      <c r="AV11" s="188"/>
      <c r="AW11" s="189"/>
      <c r="AX11" s="179">
        <f>AV11*AW11*1.12*1.18</f>
        <v>0</v>
      </c>
      <c r="AY11" s="131"/>
      <c r="AZ11" s="182"/>
      <c r="BA11" s="182">
        <f>AZ11*0.18</f>
        <v>0</v>
      </c>
      <c r="BB11" s="182">
        <f>SUM(AG11:BA11)-AV11-AW11</f>
        <v>3231.874547694</v>
      </c>
      <c r="BC11" s="182"/>
      <c r="BD11" s="184">
        <f>BB11-(AF11-BC11)</f>
        <v>3231.874547694</v>
      </c>
      <c r="BE11" s="190">
        <f>AC11-BB11</f>
        <v>-761.4349731939997</v>
      </c>
      <c r="BF11" s="190">
        <f>AB11-S11</f>
        <v>-2227.29</v>
      </c>
    </row>
    <row r="12" spans="1:58" s="23" customFormat="1" ht="15" customHeight="1" thickBot="1">
      <c r="A12" s="43" t="s">
        <v>3</v>
      </c>
      <c r="B12" s="69"/>
      <c r="C12" s="69">
        <f>SUM(C9:C11)</f>
        <v>16395.21</v>
      </c>
      <c r="D12" s="69">
        <f aca="true" t="shared" si="0" ref="D12:AM12">SUM(D9:D11)</f>
        <v>3946.3816976999997</v>
      </c>
      <c r="E12" s="69">
        <f t="shared" si="0"/>
        <v>650.54</v>
      </c>
      <c r="F12" s="69">
        <f t="shared" si="0"/>
        <v>113.69999999999999</v>
      </c>
      <c r="G12" s="69">
        <f t="shared" si="0"/>
        <v>878.1999999999999</v>
      </c>
      <c r="H12" s="69">
        <f t="shared" si="0"/>
        <v>153.51</v>
      </c>
      <c r="I12" s="69">
        <f t="shared" si="0"/>
        <v>3550.26</v>
      </c>
      <c r="J12" s="69">
        <f t="shared" si="0"/>
        <v>369.53999999999996</v>
      </c>
      <c r="K12" s="69">
        <f t="shared" si="0"/>
        <v>1463.72</v>
      </c>
      <c r="L12" s="69">
        <f t="shared" si="0"/>
        <v>255.84</v>
      </c>
      <c r="M12" s="69">
        <f t="shared" si="0"/>
        <v>520.46</v>
      </c>
      <c r="N12" s="69">
        <f t="shared" si="0"/>
        <v>90.96000000000001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7063.18</v>
      </c>
      <c r="T12" s="69">
        <f t="shared" si="0"/>
        <v>983.55</v>
      </c>
      <c r="U12" s="69">
        <f t="shared" si="0"/>
        <v>389.22</v>
      </c>
      <c r="V12" s="69">
        <f t="shared" si="0"/>
        <v>525.47</v>
      </c>
      <c r="W12" s="69">
        <f t="shared" si="0"/>
        <v>2797.75</v>
      </c>
      <c r="X12" s="69">
        <f t="shared" si="0"/>
        <v>875.76</v>
      </c>
      <c r="Y12" s="69">
        <f t="shared" si="0"/>
        <v>311.38</v>
      </c>
      <c r="Z12" s="69">
        <f t="shared" si="0"/>
        <v>0</v>
      </c>
      <c r="AA12" s="69">
        <f t="shared" si="0"/>
        <v>0</v>
      </c>
      <c r="AB12" s="69">
        <f t="shared" si="0"/>
        <v>4899.58</v>
      </c>
      <c r="AC12" s="69">
        <f t="shared" si="0"/>
        <v>9829.5116977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 t="shared" si="0"/>
        <v>1137.24</v>
      </c>
      <c r="AH12" s="69">
        <f t="shared" si="0"/>
        <v>390.26286</v>
      </c>
      <c r="AI12" s="69">
        <f t="shared" si="0"/>
        <v>1612.9348559999999</v>
      </c>
      <c r="AJ12" s="69">
        <f t="shared" si="0"/>
        <v>290.32827407999997</v>
      </c>
      <c r="AK12" s="69">
        <f t="shared" si="0"/>
        <v>1876.94588016</v>
      </c>
      <c r="AL12" s="69">
        <f t="shared" si="0"/>
        <v>337.8502584288</v>
      </c>
      <c r="AM12" s="69">
        <f t="shared" si="0"/>
        <v>3447.0832991399993</v>
      </c>
      <c r="AN12" s="69">
        <f aca="true" t="shared" si="1" ref="AN12:BF12">SUM(AN9:AN11)</f>
        <v>620.4749938451998</v>
      </c>
      <c r="AO12" s="69">
        <f t="shared" si="1"/>
        <v>0</v>
      </c>
      <c r="AP12" s="69">
        <f t="shared" si="1"/>
        <v>0</v>
      </c>
      <c r="AQ12" s="69">
        <f t="shared" si="1"/>
        <v>0</v>
      </c>
      <c r="AR12" s="69">
        <f t="shared" si="1"/>
        <v>0</v>
      </c>
      <c r="AS12" s="69">
        <f t="shared" si="1"/>
        <v>0</v>
      </c>
      <c r="AT12" s="69">
        <f t="shared" si="1"/>
        <v>0</v>
      </c>
      <c r="AU12" s="69">
        <f t="shared" si="1"/>
        <v>0</v>
      </c>
      <c r="AV12" s="69">
        <f t="shared" si="1"/>
        <v>0</v>
      </c>
      <c r="AW12" s="69">
        <f t="shared" si="1"/>
        <v>0</v>
      </c>
      <c r="AX12" s="69">
        <f t="shared" si="1"/>
        <v>0</v>
      </c>
      <c r="AY12" s="69">
        <f t="shared" si="1"/>
        <v>0</v>
      </c>
      <c r="AZ12" s="69">
        <f t="shared" si="1"/>
        <v>0</v>
      </c>
      <c r="BA12" s="69">
        <f t="shared" si="1"/>
        <v>0</v>
      </c>
      <c r="BB12" s="69">
        <f t="shared" si="1"/>
        <v>9713.120421653999</v>
      </c>
      <c r="BC12" s="69">
        <f t="shared" si="1"/>
        <v>0</v>
      </c>
      <c r="BD12" s="69">
        <f t="shared" si="1"/>
        <v>9713.120421653999</v>
      </c>
      <c r="BE12" s="69">
        <f t="shared" si="1"/>
        <v>116.39127604600026</v>
      </c>
      <c r="BF12" s="69">
        <f t="shared" si="1"/>
        <v>-2163.6000000000004</v>
      </c>
    </row>
    <row r="13" spans="1:58" ht="15" customHeight="1">
      <c r="A13" s="8" t="s">
        <v>42</v>
      </c>
      <c r="B13" s="134"/>
      <c r="C13" s="135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P13" s="138"/>
      <c r="Q13" s="139"/>
      <c r="R13" s="139"/>
      <c r="S13" s="139"/>
      <c r="T13" s="139"/>
      <c r="U13" s="140"/>
      <c r="V13" s="140"/>
      <c r="W13" s="140"/>
      <c r="X13" s="140"/>
      <c r="Y13" s="140"/>
      <c r="Z13" s="140"/>
      <c r="AA13" s="141"/>
      <c r="AB13" s="141"/>
      <c r="AC13" s="98"/>
      <c r="AD13" s="99"/>
      <c r="AE13" s="99"/>
      <c r="AF13" s="52"/>
      <c r="AG13" s="52"/>
      <c r="AH13" s="52"/>
      <c r="AI13" s="52"/>
      <c r="AJ13" s="52"/>
      <c r="AK13" s="52"/>
      <c r="AL13" s="52"/>
      <c r="AM13" s="52"/>
      <c r="AN13" s="67"/>
      <c r="AO13" s="67"/>
      <c r="AP13" s="67"/>
      <c r="AQ13" s="160"/>
      <c r="AR13" s="161"/>
      <c r="AS13" s="96"/>
      <c r="AT13" s="96"/>
      <c r="AU13" s="142"/>
      <c r="AV13" s="52"/>
      <c r="AW13" s="52"/>
      <c r="AX13" s="53"/>
      <c r="AY13" s="1"/>
      <c r="AZ13" s="1"/>
      <c r="BA13" s="1"/>
      <c r="BB13" s="1"/>
      <c r="BC13" s="1"/>
      <c r="BD13" s="1"/>
      <c r="BE13" s="1"/>
      <c r="BF13" s="143"/>
    </row>
    <row r="14" spans="1:58" ht="12.75">
      <c r="A14" s="14" t="s">
        <v>43</v>
      </c>
      <c r="B14" s="211">
        <v>631.8</v>
      </c>
      <c r="C14" s="124">
        <f>B14*8.65</f>
        <v>5465.07</v>
      </c>
      <c r="D14" s="130">
        <f>C14*0.125</f>
        <v>683.13375</v>
      </c>
      <c r="E14" s="179">
        <v>231.62</v>
      </c>
      <c r="F14" s="179">
        <v>37.9</v>
      </c>
      <c r="G14" s="179">
        <v>312.68</v>
      </c>
      <c r="H14" s="179">
        <v>51.17</v>
      </c>
      <c r="I14" s="179">
        <v>752.76</v>
      </c>
      <c r="J14" s="179">
        <v>123.18</v>
      </c>
      <c r="K14" s="179">
        <v>521.14</v>
      </c>
      <c r="L14" s="179">
        <v>85.28</v>
      </c>
      <c r="M14" s="180">
        <v>185.3</v>
      </c>
      <c r="N14" s="181">
        <v>30.32</v>
      </c>
      <c r="O14" s="182">
        <v>0</v>
      </c>
      <c r="P14" s="182">
        <v>0</v>
      </c>
      <c r="Q14" s="182">
        <v>0</v>
      </c>
      <c r="R14" s="182">
        <v>0</v>
      </c>
      <c r="S14" s="179">
        <f>E14+G14+I14+K14+M14+O14+Q14</f>
        <v>2003.4999999999998</v>
      </c>
      <c r="T14" s="183">
        <f>P14+N14+L14+J14+H14+F14+R14</f>
        <v>327.84999999999997</v>
      </c>
      <c r="U14" s="179">
        <v>195.64</v>
      </c>
      <c r="V14" s="179">
        <v>264.1</v>
      </c>
      <c r="W14" s="179">
        <v>540.22</v>
      </c>
      <c r="X14" s="179">
        <v>440.18</v>
      </c>
      <c r="Y14" s="179">
        <v>156.49</v>
      </c>
      <c r="Z14" s="179">
        <v>0</v>
      </c>
      <c r="AA14" s="182">
        <v>0</v>
      </c>
      <c r="AB14" s="144">
        <f>SUM(U14:AA14)</f>
        <v>1596.63</v>
      </c>
      <c r="AC14" s="185">
        <f>D14+T14+AB14</f>
        <v>2607.61375</v>
      </c>
      <c r="AD14" s="186">
        <f>P14+Z14</f>
        <v>0</v>
      </c>
      <c r="AE14" s="186">
        <f>R14+AA14</f>
        <v>0</v>
      </c>
      <c r="AF14" s="186"/>
      <c r="AG14" s="179">
        <f>0.6*B14*0.9</f>
        <v>341.17199999999997</v>
      </c>
      <c r="AH14" s="179">
        <f>B14*0.2*0.891</f>
        <v>112.58676</v>
      </c>
      <c r="AI14" s="179">
        <f>0.85*B14*0.867-0.02</f>
        <v>465.58501</v>
      </c>
      <c r="AJ14" s="179">
        <f>AI14*0.18</f>
        <v>83.8053018</v>
      </c>
      <c r="AK14" s="179">
        <f>0.83*B14*0.8685</f>
        <v>455.43618899999996</v>
      </c>
      <c r="AL14" s="179">
        <f>AK14*0.18</f>
        <v>81.97851401999999</v>
      </c>
      <c r="AM14" s="179">
        <f>1.91*B14*0.8686</f>
        <v>1048.1726268</v>
      </c>
      <c r="AN14" s="179">
        <f>AM14*0.18</f>
        <v>188.671072824</v>
      </c>
      <c r="AO14" s="179"/>
      <c r="AP14" s="179">
        <f>AO14*0.18</f>
        <v>0</v>
      </c>
      <c r="AQ14" s="195"/>
      <c r="AR14" s="195">
        <f>AQ14*0.18</f>
        <v>0</v>
      </c>
      <c r="AS14" s="187">
        <v>4500</v>
      </c>
      <c r="AT14" s="187"/>
      <c r="AU14" s="187">
        <f>(AS14+AT14)*0.18+0.01</f>
        <v>810.01</v>
      </c>
      <c r="AV14" s="188">
        <v>508</v>
      </c>
      <c r="AW14" s="189">
        <v>0.3</v>
      </c>
      <c r="AX14" s="179">
        <f>AV14*AW14*1.12*1.18</f>
        <v>201.41184</v>
      </c>
      <c r="AY14" s="131"/>
      <c r="AZ14" s="182"/>
      <c r="BA14" s="182">
        <f>AZ14*0.18</f>
        <v>0</v>
      </c>
      <c r="BB14" s="182">
        <f aca="true" t="shared" si="2" ref="BB14:BB22">SUM(AG14:BA14)-AV14-AW14</f>
        <v>8288.829314444001</v>
      </c>
      <c r="BC14" s="212"/>
      <c r="BD14" s="176">
        <f>BB14-(AF14-BC14)</f>
        <v>8288.829314444001</v>
      </c>
      <c r="BE14" s="190">
        <f>(AC14-BB14)+(AF14-BC14)</f>
        <v>-5681.215564444001</v>
      </c>
      <c r="BF14" s="190">
        <f>AB14-S14</f>
        <v>-406.86999999999966</v>
      </c>
    </row>
    <row r="15" spans="1:58" ht="12.75">
      <c r="A15" s="14" t="s">
        <v>44</v>
      </c>
      <c r="B15" s="211">
        <v>631.8</v>
      </c>
      <c r="C15" s="124">
        <f>B15*8.65</f>
        <v>5465.07</v>
      </c>
      <c r="D15" s="130">
        <f>C15*0.125</f>
        <v>683.13375</v>
      </c>
      <c r="E15" s="179">
        <v>241.07</v>
      </c>
      <c r="F15" s="179">
        <v>37.9</v>
      </c>
      <c r="G15" s="179">
        <v>325.44</v>
      </c>
      <c r="H15" s="179">
        <v>51.17</v>
      </c>
      <c r="I15" s="179">
        <v>783.45</v>
      </c>
      <c r="J15" s="179">
        <v>123.18</v>
      </c>
      <c r="K15" s="179">
        <v>542.41</v>
      </c>
      <c r="L15" s="179">
        <v>85.28</v>
      </c>
      <c r="M15" s="180">
        <v>192.85</v>
      </c>
      <c r="N15" s="181">
        <v>30.32</v>
      </c>
      <c r="O15" s="182">
        <v>0</v>
      </c>
      <c r="P15" s="182">
        <v>0</v>
      </c>
      <c r="Q15" s="182">
        <v>0</v>
      </c>
      <c r="R15" s="182">
        <v>0</v>
      </c>
      <c r="S15" s="179">
        <f>E15+G15+I15+K15+M15+O15+Q15</f>
        <v>2085.22</v>
      </c>
      <c r="T15" s="183">
        <f>P15+N15+L15+J15+H15+F15+R15</f>
        <v>327.84999999999997</v>
      </c>
      <c r="U15" s="179">
        <v>200.02</v>
      </c>
      <c r="V15" s="179">
        <v>270.03</v>
      </c>
      <c r="W15" s="179">
        <v>648.96</v>
      </c>
      <c r="X15" s="179">
        <v>450.06</v>
      </c>
      <c r="Y15" s="179">
        <v>160</v>
      </c>
      <c r="Z15" s="179">
        <v>0</v>
      </c>
      <c r="AA15" s="182">
        <v>0</v>
      </c>
      <c r="AB15" s="184">
        <f>SUM(U15:AA15)</f>
        <v>1729.07</v>
      </c>
      <c r="AC15" s="185">
        <f>D15+T15+AB15</f>
        <v>2740.05375</v>
      </c>
      <c r="AD15" s="186">
        <f>P15+Z15</f>
        <v>0</v>
      </c>
      <c r="AE15" s="186">
        <f>R15+AA15</f>
        <v>0</v>
      </c>
      <c r="AF15" s="186"/>
      <c r="AG15" s="179">
        <f>0.6*B15*0.9</f>
        <v>341.17199999999997</v>
      </c>
      <c r="AH15" s="179">
        <f>B15*0.2*0.9153</f>
        <v>115.657308</v>
      </c>
      <c r="AI15" s="179">
        <f>0.85*B15*0.867</f>
        <v>465.60501</v>
      </c>
      <c r="AJ15" s="179">
        <f>AI15*0.18</f>
        <v>83.8089018</v>
      </c>
      <c r="AK15" s="179">
        <f>0.83*B15*0.8684</f>
        <v>455.3837495999999</v>
      </c>
      <c r="AL15" s="179">
        <f>AK15*0.18</f>
        <v>81.96907492799997</v>
      </c>
      <c r="AM15" s="179">
        <f>(1.91)*B15*0.8684</f>
        <v>1047.9312791999998</v>
      </c>
      <c r="AN15" s="179">
        <f>AM15*0.18</f>
        <v>188.62763025599997</v>
      </c>
      <c r="AO15" s="179"/>
      <c r="AP15" s="179">
        <f>AO15*0.18</f>
        <v>0</v>
      </c>
      <c r="AQ15" s="195"/>
      <c r="AR15" s="195">
        <f>AQ15*0.18</f>
        <v>0</v>
      </c>
      <c r="AS15" s="187"/>
      <c r="AT15" s="187"/>
      <c r="AU15" s="187">
        <f>(AS15+AT15)*0.18</f>
        <v>0</v>
      </c>
      <c r="AV15" s="188">
        <v>407</v>
      </c>
      <c r="AW15" s="189">
        <v>0.3</v>
      </c>
      <c r="AX15" s="179">
        <f>AV15*AW15*1.12*1.18</f>
        <v>161.36736</v>
      </c>
      <c r="AY15" s="131"/>
      <c r="AZ15" s="182"/>
      <c r="BA15" s="182">
        <f>AZ15*0.18</f>
        <v>0</v>
      </c>
      <c r="BB15" s="182">
        <f t="shared" si="2"/>
        <v>2941.522313784</v>
      </c>
      <c r="BC15" s="196"/>
      <c r="BD15" s="176">
        <f>BB15-(AF15-BC15)</f>
        <v>2941.522313784</v>
      </c>
      <c r="BE15" s="190">
        <f>(AC15-BB15)+(AF15-BC15)</f>
        <v>-201.4685637839998</v>
      </c>
      <c r="BF15" s="190">
        <f>AB15-S15</f>
        <v>-356.14999999999986</v>
      </c>
    </row>
    <row r="16" spans="1:58" ht="13.5" thickBot="1">
      <c r="A16" s="148" t="s">
        <v>45</v>
      </c>
      <c r="B16" s="197">
        <v>631.8</v>
      </c>
      <c r="C16" s="149">
        <f aca="true" t="shared" si="3" ref="C16:C24">B16*8.65</f>
        <v>5465.07</v>
      </c>
      <c r="D16" s="150">
        <f>C16*0.125</f>
        <v>683.13375</v>
      </c>
      <c r="E16" s="198">
        <v>171.42</v>
      </c>
      <c r="F16" s="198">
        <v>37.9</v>
      </c>
      <c r="G16" s="198">
        <v>180.26</v>
      </c>
      <c r="H16" s="198">
        <v>51.17</v>
      </c>
      <c r="I16" s="198">
        <v>557.11</v>
      </c>
      <c r="J16" s="198">
        <v>123.18</v>
      </c>
      <c r="K16" s="198">
        <v>385.69</v>
      </c>
      <c r="L16" s="198">
        <v>85.28</v>
      </c>
      <c r="M16" s="199">
        <v>137.15</v>
      </c>
      <c r="N16" s="200">
        <v>30.32</v>
      </c>
      <c r="O16" s="201">
        <v>0</v>
      </c>
      <c r="P16" s="201">
        <v>0</v>
      </c>
      <c r="Q16" s="201">
        <v>0</v>
      </c>
      <c r="R16" s="201">
        <v>0</v>
      </c>
      <c r="S16" s="198">
        <f aca="true" t="shared" si="4" ref="S16:S24">E16+G16+I16+K16+M16+O16+Q16</f>
        <v>1431.63</v>
      </c>
      <c r="T16" s="202">
        <f aca="true" t="shared" si="5" ref="T16:T24">P16+N16+L16+J16+H16+F16+R16</f>
        <v>327.84999999999997</v>
      </c>
      <c r="U16" s="146">
        <v>276.85</v>
      </c>
      <c r="V16" s="146">
        <v>373.75</v>
      </c>
      <c r="W16" s="146">
        <v>899.62</v>
      </c>
      <c r="X16" s="146">
        <v>622.87</v>
      </c>
      <c r="Y16" s="146">
        <v>221.48</v>
      </c>
      <c r="Z16" s="146">
        <v>0</v>
      </c>
      <c r="AA16" s="151">
        <v>0</v>
      </c>
      <c r="AB16" s="152">
        <f aca="true" t="shared" si="6" ref="AB16:AB22">SUM(U16:AA16)</f>
        <v>2394.57</v>
      </c>
      <c r="AC16" s="203">
        <f aca="true" t="shared" si="7" ref="AC16:AC22">D16+T16+AB16</f>
        <v>3405.55375</v>
      </c>
      <c r="AD16" s="204">
        <f aca="true" t="shared" si="8" ref="AD16:AD24">P16+Z16</f>
        <v>0</v>
      </c>
      <c r="AE16" s="204">
        <f aca="true" t="shared" si="9" ref="AE16:AE24">R16+AA16</f>
        <v>0</v>
      </c>
      <c r="AF16" s="204"/>
      <c r="AG16" s="198">
        <f>0.6*B16*0.9</f>
        <v>341.17199999999997</v>
      </c>
      <c r="AH16" s="146">
        <f>B16*0.2*0.9082</f>
        <v>114.760152</v>
      </c>
      <c r="AI16" s="198">
        <f>0.85*B16*0.8675</f>
        <v>465.87352500000003</v>
      </c>
      <c r="AJ16" s="198">
        <f aca="true" t="shared" si="10" ref="AJ16:AJ24">AI16*0.18</f>
        <v>83.8572345</v>
      </c>
      <c r="AK16" s="146">
        <f>0.83*B16*0.838</f>
        <v>439.4421719999999</v>
      </c>
      <c r="AL16" s="198">
        <f aca="true" t="shared" si="11" ref="AL16:AL24">AK16*0.18</f>
        <v>79.09959095999999</v>
      </c>
      <c r="AM16" s="198">
        <f>1.91*B16*0.8381</f>
        <v>1011.3671177999998</v>
      </c>
      <c r="AN16" s="198">
        <f aca="true" t="shared" si="12" ref="AN16:AN24">AM16*0.18</f>
        <v>182.04608120399996</v>
      </c>
      <c r="AO16" s="198"/>
      <c r="AP16" s="198">
        <f aca="true" t="shared" si="13" ref="AP16:AR24">AO16*0.18</f>
        <v>0</v>
      </c>
      <c r="AQ16" s="205"/>
      <c r="AR16" s="205">
        <f>AQ16*0.18</f>
        <v>0</v>
      </c>
      <c r="AS16" s="206">
        <v>2138</v>
      </c>
      <c r="AT16" s="206"/>
      <c r="AU16" s="206">
        <f aca="true" t="shared" si="14" ref="AU16:AU24">(AS16+AT16)*0.18</f>
        <v>384.84</v>
      </c>
      <c r="AV16" s="207">
        <v>383</v>
      </c>
      <c r="AW16" s="208">
        <v>0.3</v>
      </c>
      <c r="AX16" s="198">
        <f aca="true" t="shared" si="15" ref="AX16:AX24">AV16*AW16*1.12*1.18</f>
        <v>151.85184</v>
      </c>
      <c r="AY16" s="153"/>
      <c r="AZ16" s="201"/>
      <c r="BA16" s="201">
        <f>AZ16*0.18</f>
        <v>0</v>
      </c>
      <c r="BB16" s="198">
        <f t="shared" si="2"/>
        <v>5392.309713464</v>
      </c>
      <c r="BC16" s="209"/>
      <c r="BD16" s="177">
        <f aca="true" t="shared" si="16" ref="BD16:BD25">BB16-(AF16-BC16)</f>
        <v>5392.309713464</v>
      </c>
      <c r="BE16" s="210">
        <f aca="true" t="shared" si="17" ref="BE16:BE24">(AC16-BB16)+(AF16-BC16)</f>
        <v>-1986.7559634640002</v>
      </c>
      <c r="BF16" s="210">
        <f aca="true" t="shared" si="18" ref="BF16:BF24">AB16-S16</f>
        <v>962.94</v>
      </c>
    </row>
    <row r="17" spans="1:58" ht="12.75">
      <c r="A17" s="147" t="s">
        <v>46</v>
      </c>
      <c r="B17" s="154">
        <v>631.8</v>
      </c>
      <c r="C17" s="216">
        <f t="shared" si="3"/>
        <v>5465.07</v>
      </c>
      <c r="D17" s="217">
        <f>C17*0.125</f>
        <v>683.13375</v>
      </c>
      <c r="E17" s="154">
        <v>231.62</v>
      </c>
      <c r="F17" s="154">
        <v>37.9</v>
      </c>
      <c r="G17" s="154">
        <v>312.68</v>
      </c>
      <c r="H17" s="154">
        <v>51.17</v>
      </c>
      <c r="I17" s="154">
        <v>752.76</v>
      </c>
      <c r="J17" s="154">
        <v>123.18</v>
      </c>
      <c r="K17" s="154">
        <v>521.14</v>
      </c>
      <c r="L17" s="154">
        <v>85.28</v>
      </c>
      <c r="M17" s="154">
        <v>185.3</v>
      </c>
      <c r="N17" s="218">
        <v>30.32</v>
      </c>
      <c r="O17" s="218">
        <v>0</v>
      </c>
      <c r="P17" s="218">
        <v>0</v>
      </c>
      <c r="Q17" s="218">
        <v>0</v>
      </c>
      <c r="R17" s="218">
        <v>0</v>
      </c>
      <c r="S17" s="194">
        <f t="shared" si="4"/>
        <v>2003.4999999999998</v>
      </c>
      <c r="T17" s="219">
        <f t="shared" si="5"/>
        <v>327.84999999999997</v>
      </c>
      <c r="U17" s="194">
        <v>501.15</v>
      </c>
      <c r="V17" s="194">
        <v>676.49</v>
      </c>
      <c r="W17" s="194">
        <v>1628.85</v>
      </c>
      <c r="X17" s="194">
        <v>1127.7</v>
      </c>
      <c r="Y17" s="194">
        <v>400.93</v>
      </c>
      <c r="Z17" s="194">
        <v>0</v>
      </c>
      <c r="AA17" s="194">
        <v>0</v>
      </c>
      <c r="AB17" s="184">
        <f t="shared" si="6"/>
        <v>4335.12</v>
      </c>
      <c r="AC17" s="220">
        <f t="shared" si="7"/>
        <v>5346.10375</v>
      </c>
      <c r="AD17" s="221">
        <f t="shared" si="8"/>
        <v>0</v>
      </c>
      <c r="AE17" s="221">
        <f t="shared" si="9"/>
        <v>0</v>
      </c>
      <c r="AF17" s="221"/>
      <c r="AG17" s="194">
        <f>0.6*B17*0.9</f>
        <v>341.17199999999997</v>
      </c>
      <c r="AH17" s="154">
        <f>B17*0.2*0.9234</f>
        <v>116.680824</v>
      </c>
      <c r="AI17" s="194">
        <f>0.85*B17*0.8934</f>
        <v>479.78260199999994</v>
      </c>
      <c r="AJ17" s="194">
        <f t="shared" si="10"/>
        <v>86.36086835999998</v>
      </c>
      <c r="AK17" s="194">
        <f>0.83*B17*0.8498</f>
        <v>445.63002119999993</v>
      </c>
      <c r="AL17" s="194">
        <f t="shared" si="11"/>
        <v>80.21340381599998</v>
      </c>
      <c r="AM17" s="194">
        <f>(1.91)*B17*0.8498</f>
        <v>1025.4859523999999</v>
      </c>
      <c r="AN17" s="194">
        <f t="shared" si="12"/>
        <v>184.58747143199997</v>
      </c>
      <c r="AO17" s="194"/>
      <c r="AP17" s="194">
        <f t="shared" si="13"/>
        <v>0</v>
      </c>
      <c r="AQ17" s="222"/>
      <c r="AR17" s="222">
        <f t="shared" si="13"/>
        <v>0</v>
      </c>
      <c r="AS17" s="223">
        <v>307</v>
      </c>
      <c r="AT17" s="224"/>
      <c r="AU17" s="224">
        <f t="shared" si="14"/>
        <v>55.26</v>
      </c>
      <c r="AV17" s="194">
        <v>307</v>
      </c>
      <c r="AW17" s="194">
        <v>0.3</v>
      </c>
      <c r="AX17" s="194">
        <f t="shared" si="15"/>
        <v>121.71936</v>
      </c>
      <c r="AY17" s="225"/>
      <c r="AZ17" s="226"/>
      <c r="BA17" s="226">
        <f>AZ17*0.18</f>
        <v>0</v>
      </c>
      <c r="BB17" s="230">
        <f t="shared" si="2"/>
        <v>3243.8925032079997</v>
      </c>
      <c r="BC17" s="227"/>
      <c r="BD17" s="226">
        <f>BB17-(AF17-BC17)</f>
        <v>3243.8925032079997</v>
      </c>
      <c r="BE17" s="228">
        <f>(AC17-BB17)+(AF17-BC17)</f>
        <v>2102.2112467920006</v>
      </c>
      <c r="BF17" s="229">
        <f>AB17-S17</f>
        <v>2331.62</v>
      </c>
    </row>
    <row r="18" spans="1:58" ht="12.75">
      <c r="A18" s="14" t="s">
        <v>47</v>
      </c>
      <c r="B18" s="194">
        <v>631.8</v>
      </c>
      <c r="C18" s="124">
        <f t="shared" si="3"/>
        <v>5465.07</v>
      </c>
      <c r="D18" s="156">
        <f>C18-E18-F18-G18-H18-I18-J18-K18-L18-M18-N18</f>
        <v>2936.0299999999997</v>
      </c>
      <c r="E18" s="78">
        <v>251</v>
      </c>
      <c r="F18" s="78">
        <v>40.99</v>
      </c>
      <c r="G18" s="78">
        <v>339.73</v>
      </c>
      <c r="H18" s="78">
        <v>55.58</v>
      </c>
      <c r="I18" s="78">
        <v>816.65</v>
      </c>
      <c r="J18" s="78">
        <v>133.42</v>
      </c>
      <c r="K18" s="78">
        <v>565.63</v>
      </c>
      <c r="L18" s="78">
        <v>92.46</v>
      </c>
      <c r="M18" s="155">
        <v>200.8</v>
      </c>
      <c r="N18" s="174">
        <v>32.78</v>
      </c>
      <c r="O18" s="79">
        <v>0</v>
      </c>
      <c r="P18" s="79">
        <v>0</v>
      </c>
      <c r="Q18" s="79">
        <v>0</v>
      </c>
      <c r="R18" s="79">
        <v>0</v>
      </c>
      <c r="S18" s="179">
        <f t="shared" si="4"/>
        <v>2173.8100000000004</v>
      </c>
      <c r="T18" s="183">
        <f t="shared" si="5"/>
        <v>355.22999999999996</v>
      </c>
      <c r="U18" s="78">
        <v>177.04</v>
      </c>
      <c r="V18" s="78">
        <v>239</v>
      </c>
      <c r="W18" s="78">
        <v>575.38</v>
      </c>
      <c r="X18" s="78">
        <v>398.34</v>
      </c>
      <c r="Y18" s="78">
        <v>141.65</v>
      </c>
      <c r="Z18" s="78">
        <v>0</v>
      </c>
      <c r="AA18" s="79">
        <v>0</v>
      </c>
      <c r="AB18" s="144">
        <f t="shared" si="6"/>
        <v>1531.41</v>
      </c>
      <c r="AC18" s="185">
        <f t="shared" si="7"/>
        <v>4822.67</v>
      </c>
      <c r="AD18" s="186">
        <f t="shared" si="8"/>
        <v>0</v>
      </c>
      <c r="AE18" s="186">
        <f t="shared" si="9"/>
        <v>0</v>
      </c>
      <c r="AF18" s="186"/>
      <c r="AG18" s="179">
        <f>0.6*B18</f>
        <v>379.08</v>
      </c>
      <c r="AH18" s="179">
        <f>B18*0.2*1.01</f>
        <v>127.6236</v>
      </c>
      <c r="AI18" s="179">
        <f>0.85*B18</f>
        <v>537.03</v>
      </c>
      <c r="AJ18" s="179">
        <f t="shared" si="10"/>
        <v>96.66539999999999</v>
      </c>
      <c r="AK18" s="179">
        <f>0.83*B18</f>
        <v>524.3939999999999</v>
      </c>
      <c r="AL18" s="179">
        <f t="shared" si="11"/>
        <v>94.39091999999998</v>
      </c>
      <c r="AM18" s="179">
        <f>(1.91)*B18</f>
        <v>1206.7379999999998</v>
      </c>
      <c r="AN18" s="179">
        <f t="shared" si="12"/>
        <v>217.21283999999997</v>
      </c>
      <c r="AO18" s="179"/>
      <c r="AP18" s="179">
        <f t="shared" si="13"/>
        <v>0</v>
      </c>
      <c r="AQ18" s="195"/>
      <c r="AR18" s="195">
        <f t="shared" si="13"/>
        <v>0</v>
      </c>
      <c r="AS18" s="187">
        <v>1807.21</v>
      </c>
      <c r="AT18" s="187"/>
      <c r="AU18" s="187">
        <f t="shared" si="14"/>
        <v>325.2978</v>
      </c>
      <c r="AV18" s="188">
        <v>263</v>
      </c>
      <c r="AW18" s="189">
        <v>0.3</v>
      </c>
      <c r="AX18" s="179">
        <f t="shared" si="15"/>
        <v>104.27423999999999</v>
      </c>
      <c r="AY18" s="131"/>
      <c r="AZ18" s="182"/>
      <c r="BA18" s="182">
        <f>AZ18*0.18</f>
        <v>0</v>
      </c>
      <c r="BB18" s="182">
        <f t="shared" si="2"/>
        <v>5419.9168</v>
      </c>
      <c r="BC18" s="196"/>
      <c r="BD18" s="184">
        <f>BB18-(AF18-BC18)</f>
        <v>5419.9168</v>
      </c>
      <c r="BE18" s="190">
        <f>(AC18-BB18)+(AF18-BC18)</f>
        <v>-597.2467999999999</v>
      </c>
      <c r="BF18" s="190">
        <f>AB18-S18</f>
        <v>-642.4000000000003</v>
      </c>
    </row>
    <row r="19" spans="1:58" ht="13.5" thickBot="1">
      <c r="A19" s="148" t="s">
        <v>48</v>
      </c>
      <c r="B19" s="197">
        <v>631.8</v>
      </c>
      <c r="C19" s="149">
        <f t="shared" si="3"/>
        <v>5465.07</v>
      </c>
      <c r="D19" s="150">
        <f aca="true" t="shared" si="19" ref="D19:D25">C19-E19-F19-G19-H19-I19-J19-K19-L19-M19-N19</f>
        <v>2929.609999999999</v>
      </c>
      <c r="E19" s="146">
        <v>250.42</v>
      </c>
      <c r="F19" s="146">
        <v>42.31</v>
      </c>
      <c r="G19" s="146">
        <v>338.96</v>
      </c>
      <c r="H19" s="146">
        <v>57.36</v>
      </c>
      <c r="I19" s="146">
        <v>814.77</v>
      </c>
      <c r="J19" s="146">
        <v>137.71</v>
      </c>
      <c r="K19" s="146">
        <v>564.34</v>
      </c>
      <c r="L19" s="146">
        <v>95.42</v>
      </c>
      <c r="M19" s="157">
        <v>200.33</v>
      </c>
      <c r="N19" s="175">
        <v>33.84</v>
      </c>
      <c r="O19" s="151">
        <v>0</v>
      </c>
      <c r="P19" s="151">
        <v>0</v>
      </c>
      <c r="Q19" s="151">
        <v>0</v>
      </c>
      <c r="R19" s="151">
        <v>0</v>
      </c>
      <c r="S19" s="198">
        <f t="shared" si="4"/>
        <v>2168.82</v>
      </c>
      <c r="T19" s="202">
        <f t="shared" si="5"/>
        <v>366.64000000000004</v>
      </c>
      <c r="U19" s="146">
        <v>174.33</v>
      </c>
      <c r="V19" s="146">
        <v>235.92</v>
      </c>
      <c r="W19" s="146">
        <v>567.19</v>
      </c>
      <c r="X19" s="146">
        <v>392.8</v>
      </c>
      <c r="Y19" s="146">
        <v>139.49</v>
      </c>
      <c r="Z19" s="146">
        <v>0</v>
      </c>
      <c r="AA19" s="151">
        <v>0</v>
      </c>
      <c r="AB19" s="152">
        <f t="shared" si="6"/>
        <v>1509.73</v>
      </c>
      <c r="AC19" s="203">
        <f t="shared" si="7"/>
        <v>4805.98</v>
      </c>
      <c r="AD19" s="204">
        <f t="shared" si="8"/>
        <v>0</v>
      </c>
      <c r="AE19" s="204">
        <f t="shared" si="9"/>
        <v>0</v>
      </c>
      <c r="AF19" s="204"/>
      <c r="AG19" s="198">
        <f aca="true" t="shared" si="20" ref="AG19:AG25">0.6*B19</f>
        <v>379.08</v>
      </c>
      <c r="AH19" s="198">
        <f>B19*0.2*1.01045</f>
        <v>127.680462</v>
      </c>
      <c r="AI19" s="198">
        <f>0.85*B19</f>
        <v>537.03</v>
      </c>
      <c r="AJ19" s="198">
        <f t="shared" si="10"/>
        <v>96.66539999999999</v>
      </c>
      <c r="AK19" s="198">
        <f>0.83*B19</f>
        <v>524.3939999999999</v>
      </c>
      <c r="AL19" s="198">
        <f t="shared" si="11"/>
        <v>94.39091999999998</v>
      </c>
      <c r="AM19" s="198">
        <f>(1.91)*B19</f>
        <v>1206.7379999999998</v>
      </c>
      <c r="AN19" s="198">
        <f t="shared" si="12"/>
        <v>217.21283999999997</v>
      </c>
      <c r="AO19" s="198"/>
      <c r="AP19" s="198">
        <f t="shared" si="13"/>
        <v>0</v>
      </c>
      <c r="AQ19" s="205"/>
      <c r="AR19" s="205">
        <f t="shared" si="13"/>
        <v>0</v>
      </c>
      <c r="AS19" s="206"/>
      <c r="AT19" s="206"/>
      <c r="AU19" s="206">
        <f t="shared" si="14"/>
        <v>0</v>
      </c>
      <c r="AV19" s="207">
        <v>233</v>
      </c>
      <c r="AW19" s="208">
        <v>0.3</v>
      </c>
      <c r="AX19" s="198">
        <f t="shared" si="15"/>
        <v>92.37983999999999</v>
      </c>
      <c r="AY19" s="153"/>
      <c r="AZ19" s="201"/>
      <c r="BA19" s="201">
        <f aca="true" t="shared" si="21" ref="BA19:BA24">AZ19*0.18</f>
        <v>0</v>
      </c>
      <c r="BB19" s="201">
        <f t="shared" si="2"/>
        <v>3275.5714620000003</v>
      </c>
      <c r="BC19" s="209"/>
      <c r="BD19" s="213">
        <f t="shared" si="16"/>
        <v>3275.5714620000003</v>
      </c>
      <c r="BE19" s="214">
        <f t="shared" si="17"/>
        <v>1530.4085379999992</v>
      </c>
      <c r="BF19" s="215">
        <f t="shared" si="18"/>
        <v>-659.0900000000001</v>
      </c>
    </row>
    <row r="20" spans="1:58" ht="12.75">
      <c r="A20" s="147" t="s">
        <v>49</v>
      </c>
      <c r="B20" s="231">
        <v>631.8</v>
      </c>
      <c r="C20" s="124">
        <f t="shared" si="3"/>
        <v>5465.07</v>
      </c>
      <c r="D20" s="156">
        <f t="shared" si="19"/>
        <v>2929.6199999999985</v>
      </c>
      <c r="E20" s="78">
        <v>250.42</v>
      </c>
      <c r="F20" s="78">
        <v>42.31</v>
      </c>
      <c r="G20" s="78">
        <v>338.96</v>
      </c>
      <c r="H20" s="78">
        <v>57.35</v>
      </c>
      <c r="I20" s="78">
        <v>814.77</v>
      </c>
      <c r="J20" s="78">
        <v>137.71</v>
      </c>
      <c r="K20" s="78">
        <v>564.34</v>
      </c>
      <c r="L20" s="78">
        <v>95.42</v>
      </c>
      <c r="M20" s="155">
        <v>200.33</v>
      </c>
      <c r="N20" s="174">
        <v>33.84</v>
      </c>
      <c r="O20" s="79">
        <v>0</v>
      </c>
      <c r="P20" s="79">
        <v>0</v>
      </c>
      <c r="Q20" s="79">
        <v>0</v>
      </c>
      <c r="R20" s="79">
        <v>0</v>
      </c>
      <c r="S20" s="179">
        <f t="shared" si="4"/>
        <v>2168.82</v>
      </c>
      <c r="T20" s="183">
        <f t="shared" si="5"/>
        <v>366.63000000000005</v>
      </c>
      <c r="U20" s="78">
        <v>227.92</v>
      </c>
      <c r="V20" s="78">
        <v>308.46</v>
      </c>
      <c r="W20" s="78">
        <v>741.53</v>
      </c>
      <c r="X20" s="78">
        <v>513.57</v>
      </c>
      <c r="Y20" s="78">
        <v>182.35</v>
      </c>
      <c r="Z20" s="78">
        <v>0</v>
      </c>
      <c r="AA20" s="79">
        <v>0</v>
      </c>
      <c r="AB20" s="144">
        <f t="shared" si="6"/>
        <v>1973.83</v>
      </c>
      <c r="AC20" s="185">
        <f t="shared" si="7"/>
        <v>5270.079999999998</v>
      </c>
      <c r="AD20" s="186">
        <f t="shared" si="8"/>
        <v>0</v>
      </c>
      <c r="AE20" s="186">
        <f t="shared" si="9"/>
        <v>0</v>
      </c>
      <c r="AF20" s="186"/>
      <c r="AG20" s="179">
        <f t="shared" si="20"/>
        <v>379.08</v>
      </c>
      <c r="AH20" s="179">
        <f>B20*0.2*0.99426</f>
        <v>125.6346936</v>
      </c>
      <c r="AI20" s="179">
        <f>0.85*B20*0.9857</f>
        <v>529.350471</v>
      </c>
      <c r="AJ20" s="179">
        <f t="shared" si="10"/>
        <v>95.28308478</v>
      </c>
      <c r="AK20" s="179">
        <f>0.83*B20*0.9905</f>
        <v>519.412257</v>
      </c>
      <c r="AL20" s="179">
        <f t="shared" si="11"/>
        <v>93.49420625999998</v>
      </c>
      <c r="AM20" s="179">
        <f>(1.91)*B20*0.9905</f>
        <v>1195.2739889999998</v>
      </c>
      <c r="AN20" s="179">
        <f t="shared" si="12"/>
        <v>215.14931801999995</v>
      </c>
      <c r="AO20" s="179"/>
      <c r="AP20" s="179">
        <f t="shared" si="13"/>
        <v>0</v>
      </c>
      <c r="AQ20" s="195"/>
      <c r="AR20" s="195">
        <f t="shared" si="13"/>
        <v>0</v>
      </c>
      <c r="AS20" s="187">
        <f>338</f>
        <v>338</v>
      </c>
      <c r="AT20" s="187">
        <v>463.56</v>
      </c>
      <c r="AU20" s="187">
        <f t="shared" si="14"/>
        <v>144.28079999999997</v>
      </c>
      <c r="AV20" s="188">
        <v>248</v>
      </c>
      <c r="AW20" s="189">
        <v>0.3</v>
      </c>
      <c r="AX20" s="179">
        <f t="shared" si="15"/>
        <v>98.32704</v>
      </c>
      <c r="AY20" s="131"/>
      <c r="AZ20" s="182"/>
      <c r="BA20" s="182">
        <f t="shared" si="21"/>
        <v>0</v>
      </c>
      <c r="BB20" s="182">
        <f t="shared" si="2"/>
        <v>4196.845859659999</v>
      </c>
      <c r="BC20" s="196"/>
      <c r="BD20" s="184">
        <f t="shared" si="16"/>
        <v>4196.845859659999</v>
      </c>
      <c r="BE20" s="190">
        <f t="shared" si="17"/>
        <v>1073.2341403399987</v>
      </c>
      <c r="BF20" s="193">
        <f t="shared" si="18"/>
        <v>-194.99000000000024</v>
      </c>
    </row>
    <row r="21" spans="1:58" ht="12.75">
      <c r="A21" s="14" t="s">
        <v>50</v>
      </c>
      <c r="B21" s="232">
        <v>631.8</v>
      </c>
      <c r="C21" s="124">
        <f t="shared" si="3"/>
        <v>5465.07</v>
      </c>
      <c r="D21" s="156">
        <f t="shared" si="19"/>
        <v>2929.6199999999985</v>
      </c>
      <c r="E21" s="78">
        <v>250.42</v>
      </c>
      <c r="F21" s="78">
        <v>42.31</v>
      </c>
      <c r="G21" s="78">
        <v>338.96</v>
      </c>
      <c r="H21" s="78">
        <v>57.35</v>
      </c>
      <c r="I21" s="78">
        <v>814.77</v>
      </c>
      <c r="J21" s="78">
        <v>137.71</v>
      </c>
      <c r="K21" s="78">
        <v>564.34</v>
      </c>
      <c r="L21" s="78">
        <v>95.42</v>
      </c>
      <c r="M21" s="155">
        <v>200.33</v>
      </c>
      <c r="N21" s="174">
        <v>33.84</v>
      </c>
      <c r="O21" s="79">
        <v>0</v>
      </c>
      <c r="P21" s="79">
        <v>0</v>
      </c>
      <c r="Q21" s="78">
        <v>0</v>
      </c>
      <c r="R21" s="78">
        <v>0</v>
      </c>
      <c r="S21" s="179">
        <f t="shared" si="4"/>
        <v>2168.82</v>
      </c>
      <c r="T21" s="183">
        <f t="shared" si="5"/>
        <v>366.63000000000005</v>
      </c>
      <c r="U21" s="78">
        <v>271.68</v>
      </c>
      <c r="V21" s="78">
        <v>367.8</v>
      </c>
      <c r="W21" s="78">
        <v>884</v>
      </c>
      <c r="X21" s="78">
        <v>612.28</v>
      </c>
      <c r="Y21" s="78">
        <v>217.33</v>
      </c>
      <c r="Z21" s="78">
        <v>0</v>
      </c>
      <c r="AA21" s="79">
        <v>0</v>
      </c>
      <c r="AB21" s="144">
        <f t="shared" si="6"/>
        <v>2353.09</v>
      </c>
      <c r="AC21" s="185">
        <f t="shared" si="7"/>
        <v>5649.339999999998</v>
      </c>
      <c r="AD21" s="186">
        <f t="shared" si="8"/>
        <v>0</v>
      </c>
      <c r="AE21" s="186">
        <f t="shared" si="9"/>
        <v>0</v>
      </c>
      <c r="AF21" s="186"/>
      <c r="AG21" s="179">
        <f t="shared" si="20"/>
        <v>379.08</v>
      </c>
      <c r="AH21" s="179">
        <f>B21*0.2*0.99875</f>
        <v>126.20205</v>
      </c>
      <c r="AI21" s="179">
        <f>0.85*B21*0.98526</f>
        <v>529.1141778</v>
      </c>
      <c r="AJ21" s="179">
        <f t="shared" si="10"/>
        <v>95.240552004</v>
      </c>
      <c r="AK21" s="179">
        <f>0.83*B21*0.99</f>
        <v>519.1500599999999</v>
      </c>
      <c r="AL21" s="179">
        <f t="shared" si="11"/>
        <v>93.44701079999999</v>
      </c>
      <c r="AM21" s="179">
        <f>(1.91)*B21*0.99</f>
        <v>1194.6706199999999</v>
      </c>
      <c r="AN21" s="179">
        <f t="shared" si="12"/>
        <v>215.04071159999998</v>
      </c>
      <c r="AO21" s="179"/>
      <c r="AP21" s="179">
        <f t="shared" si="13"/>
        <v>0</v>
      </c>
      <c r="AQ21" s="195"/>
      <c r="AR21" s="195">
        <f t="shared" si="13"/>
        <v>0</v>
      </c>
      <c r="AS21" s="187">
        <v>3332</v>
      </c>
      <c r="AT21" s="187"/>
      <c r="AU21" s="187">
        <f t="shared" si="14"/>
        <v>599.76</v>
      </c>
      <c r="AV21" s="188">
        <v>293</v>
      </c>
      <c r="AW21" s="189">
        <v>0.3</v>
      </c>
      <c r="AX21" s="179">
        <f t="shared" si="15"/>
        <v>116.16863999999998</v>
      </c>
      <c r="AY21" s="131"/>
      <c r="AZ21" s="182"/>
      <c r="BA21" s="182">
        <f t="shared" si="21"/>
        <v>0</v>
      </c>
      <c r="BB21" s="182">
        <f t="shared" si="2"/>
        <v>7199.873822203999</v>
      </c>
      <c r="BC21" s="196"/>
      <c r="BD21" s="184">
        <f t="shared" si="16"/>
        <v>7199.873822203999</v>
      </c>
      <c r="BE21" s="190">
        <f t="shared" si="17"/>
        <v>-1550.533822204001</v>
      </c>
      <c r="BF21" s="193">
        <f t="shared" si="18"/>
        <v>184.26999999999998</v>
      </c>
    </row>
    <row r="22" spans="1:58" ht="13.5" thickBot="1">
      <c r="A22" s="148" t="s">
        <v>51</v>
      </c>
      <c r="B22" s="233">
        <v>631.8</v>
      </c>
      <c r="C22" s="149">
        <f t="shared" si="3"/>
        <v>5465.07</v>
      </c>
      <c r="D22" s="150">
        <f t="shared" si="19"/>
        <v>2926.8199999999983</v>
      </c>
      <c r="E22" s="198">
        <v>250.75</v>
      </c>
      <c r="F22" s="198">
        <v>42.31</v>
      </c>
      <c r="G22" s="198">
        <v>339.38</v>
      </c>
      <c r="H22" s="198">
        <v>57.35</v>
      </c>
      <c r="I22" s="198">
        <v>815.82</v>
      </c>
      <c r="J22" s="198">
        <v>137.71</v>
      </c>
      <c r="K22" s="198">
        <v>565.07</v>
      </c>
      <c r="L22" s="198">
        <v>95.42</v>
      </c>
      <c r="M22" s="199">
        <v>200.6</v>
      </c>
      <c r="N22" s="200">
        <v>33.84</v>
      </c>
      <c r="O22" s="201">
        <v>0</v>
      </c>
      <c r="P22" s="201">
        <v>0</v>
      </c>
      <c r="Q22" s="201">
        <v>0</v>
      </c>
      <c r="R22" s="201">
        <v>0</v>
      </c>
      <c r="S22" s="198">
        <f t="shared" si="4"/>
        <v>2171.62</v>
      </c>
      <c r="T22" s="202">
        <f t="shared" si="5"/>
        <v>366.63000000000005</v>
      </c>
      <c r="U22" s="198">
        <v>226.44</v>
      </c>
      <c r="V22" s="198">
        <v>306.57</v>
      </c>
      <c r="W22" s="198">
        <v>736.82</v>
      </c>
      <c r="X22" s="198">
        <v>510.35</v>
      </c>
      <c r="Y22" s="198">
        <v>181.16</v>
      </c>
      <c r="Z22" s="198">
        <v>0</v>
      </c>
      <c r="AA22" s="201">
        <v>0</v>
      </c>
      <c r="AB22" s="152">
        <f t="shared" si="6"/>
        <v>1961.34</v>
      </c>
      <c r="AC22" s="203">
        <f t="shared" si="7"/>
        <v>5254.789999999998</v>
      </c>
      <c r="AD22" s="204">
        <f t="shared" si="8"/>
        <v>0</v>
      </c>
      <c r="AE22" s="204">
        <f t="shared" si="9"/>
        <v>0</v>
      </c>
      <c r="AF22" s="204"/>
      <c r="AG22" s="198">
        <f t="shared" si="20"/>
        <v>379.08</v>
      </c>
      <c r="AH22" s="198">
        <f>B22*0.2*0.9997</f>
        <v>126.322092</v>
      </c>
      <c r="AI22" s="198">
        <f>0.85*B22*0.98509</f>
        <v>529.0228827</v>
      </c>
      <c r="AJ22" s="198">
        <f t="shared" si="10"/>
        <v>95.22411888599999</v>
      </c>
      <c r="AK22" s="198">
        <f>0.83*B22*0.98981</f>
        <v>519.0504251399999</v>
      </c>
      <c r="AL22" s="198">
        <f t="shared" si="11"/>
        <v>93.42907652519997</v>
      </c>
      <c r="AM22" s="198">
        <f>(1.91)*B22*0.9898</f>
        <v>1194.4292724</v>
      </c>
      <c r="AN22" s="198">
        <f t="shared" si="12"/>
        <v>214.997269032</v>
      </c>
      <c r="AO22" s="198"/>
      <c r="AP22" s="198">
        <f t="shared" si="13"/>
        <v>0</v>
      </c>
      <c r="AQ22" s="205"/>
      <c r="AR22" s="205">
        <f t="shared" si="13"/>
        <v>0</v>
      </c>
      <c r="AS22" s="206"/>
      <c r="AT22" s="206"/>
      <c r="AU22" s="206">
        <f t="shared" si="14"/>
        <v>0</v>
      </c>
      <c r="AV22" s="207">
        <v>349</v>
      </c>
      <c r="AW22" s="208">
        <v>0.3</v>
      </c>
      <c r="AX22" s="198">
        <f t="shared" si="15"/>
        <v>138.37152</v>
      </c>
      <c r="AY22" s="153"/>
      <c r="AZ22" s="201"/>
      <c r="BA22" s="201">
        <f t="shared" si="21"/>
        <v>0</v>
      </c>
      <c r="BB22" s="201">
        <f t="shared" si="2"/>
        <v>3289.9266566832</v>
      </c>
      <c r="BC22" s="209"/>
      <c r="BD22" s="213">
        <f t="shared" si="16"/>
        <v>3289.9266566832</v>
      </c>
      <c r="BE22" s="210">
        <f t="shared" si="17"/>
        <v>1964.8633433167984</v>
      </c>
      <c r="BF22" s="215">
        <f t="shared" si="18"/>
        <v>-210.27999999999997</v>
      </c>
    </row>
    <row r="23" spans="1:58" ht="12.75">
      <c r="A23" s="234" t="s">
        <v>39</v>
      </c>
      <c r="B23" s="240">
        <v>631.8</v>
      </c>
      <c r="C23" s="123">
        <f t="shared" si="3"/>
        <v>5465.07</v>
      </c>
      <c r="D23" s="156">
        <f t="shared" si="19"/>
        <v>2925.799999999999</v>
      </c>
      <c r="E23" s="235">
        <v>250.87</v>
      </c>
      <c r="F23" s="179">
        <v>42.31</v>
      </c>
      <c r="G23" s="179">
        <v>339.54</v>
      </c>
      <c r="H23" s="179">
        <v>57.35</v>
      </c>
      <c r="I23" s="179">
        <v>816.21</v>
      </c>
      <c r="J23" s="179">
        <v>137.71</v>
      </c>
      <c r="K23" s="179">
        <v>565.33</v>
      </c>
      <c r="L23" s="179">
        <v>95.42</v>
      </c>
      <c r="M23" s="179">
        <v>200.69</v>
      </c>
      <c r="N23" s="182">
        <v>33.84</v>
      </c>
      <c r="O23" s="182">
        <v>0</v>
      </c>
      <c r="P23" s="182">
        <v>0</v>
      </c>
      <c r="Q23" s="179">
        <v>0</v>
      </c>
      <c r="R23" s="179">
        <v>0</v>
      </c>
      <c r="S23" s="179">
        <f t="shared" si="4"/>
        <v>2172.6400000000003</v>
      </c>
      <c r="T23" s="183">
        <f t="shared" si="5"/>
        <v>366.63000000000005</v>
      </c>
      <c r="U23" s="236">
        <f>122.03+86.5</f>
        <v>208.53</v>
      </c>
      <c r="V23" s="179">
        <f>165.19+117.27</f>
        <v>282.46</v>
      </c>
      <c r="W23" s="179">
        <f>397.08+281.69</f>
        <v>678.77</v>
      </c>
      <c r="X23" s="179">
        <f>275.04+195.17</f>
        <v>470.21000000000004</v>
      </c>
      <c r="Y23" s="179">
        <f>97.63+69.19</f>
        <v>166.82</v>
      </c>
      <c r="Z23" s="179">
        <v>0</v>
      </c>
      <c r="AA23" s="182">
        <v>0</v>
      </c>
      <c r="AB23" s="182">
        <f>SUM(U23:AA23)</f>
        <v>1806.79</v>
      </c>
      <c r="AC23" s="185">
        <f>AB23+T23+D23</f>
        <v>5099.219999999999</v>
      </c>
      <c r="AD23" s="179">
        <f t="shared" si="8"/>
        <v>0</v>
      </c>
      <c r="AE23" s="179">
        <f t="shared" si="9"/>
        <v>0</v>
      </c>
      <c r="AF23" s="179"/>
      <c r="AG23" s="179">
        <f t="shared" si="20"/>
        <v>379.08</v>
      </c>
      <c r="AH23" s="179">
        <f>B23*0.2</f>
        <v>126.36</v>
      </c>
      <c r="AI23" s="179">
        <f>0.847*B23</f>
        <v>535.1346</v>
      </c>
      <c r="AJ23" s="179">
        <f t="shared" si="10"/>
        <v>96.32422799999999</v>
      </c>
      <c r="AK23" s="179">
        <f>0.83*B23</f>
        <v>524.3939999999999</v>
      </c>
      <c r="AL23" s="179">
        <f t="shared" si="11"/>
        <v>94.39091999999998</v>
      </c>
      <c r="AM23" s="179">
        <f>(2.25/1.18)*B23</f>
        <v>1204.7033898305085</v>
      </c>
      <c r="AN23" s="179">
        <f t="shared" si="12"/>
        <v>216.84661016949153</v>
      </c>
      <c r="AO23" s="179"/>
      <c r="AP23" s="179">
        <f t="shared" si="13"/>
        <v>0</v>
      </c>
      <c r="AQ23" s="195"/>
      <c r="AR23" s="195">
        <f t="shared" si="13"/>
        <v>0</v>
      </c>
      <c r="AS23" s="187">
        <v>0</v>
      </c>
      <c r="AT23" s="187"/>
      <c r="AU23" s="187">
        <f t="shared" si="14"/>
        <v>0</v>
      </c>
      <c r="AV23" s="188">
        <v>425</v>
      </c>
      <c r="AW23" s="189">
        <v>0.3</v>
      </c>
      <c r="AX23" s="179">
        <f t="shared" si="15"/>
        <v>168.504</v>
      </c>
      <c r="AY23" s="131"/>
      <c r="AZ23" s="182"/>
      <c r="BA23" s="182">
        <f t="shared" si="21"/>
        <v>0</v>
      </c>
      <c r="BB23" s="182">
        <f>SUM(AG23:AU23)+AX23+AY23+AZ23+BA23</f>
        <v>3345.737748</v>
      </c>
      <c r="BC23" s="237"/>
      <c r="BD23" s="238">
        <f t="shared" si="16"/>
        <v>3345.737748</v>
      </c>
      <c r="BE23" s="190">
        <f t="shared" si="17"/>
        <v>1753.4822519999993</v>
      </c>
      <c r="BF23" s="190">
        <f t="shared" si="18"/>
        <v>-365.85000000000036</v>
      </c>
    </row>
    <row r="24" spans="1:58" ht="12.75">
      <c r="A24" s="14" t="s">
        <v>40</v>
      </c>
      <c r="B24" s="232">
        <v>631.8</v>
      </c>
      <c r="C24" s="123">
        <f t="shared" si="3"/>
        <v>5465.07</v>
      </c>
      <c r="D24" s="156">
        <f t="shared" si="19"/>
        <v>2925.799999999999</v>
      </c>
      <c r="E24" s="179">
        <v>250.87</v>
      </c>
      <c r="F24" s="179">
        <v>42.31</v>
      </c>
      <c r="G24" s="179">
        <v>339.54</v>
      </c>
      <c r="H24" s="179">
        <v>57.35</v>
      </c>
      <c r="I24" s="179">
        <v>816.21</v>
      </c>
      <c r="J24" s="179">
        <v>137.71</v>
      </c>
      <c r="K24" s="179">
        <v>565.33</v>
      </c>
      <c r="L24" s="179">
        <v>95.42</v>
      </c>
      <c r="M24" s="180">
        <v>200.69</v>
      </c>
      <c r="N24" s="181">
        <v>33.84</v>
      </c>
      <c r="O24" s="182">
        <v>0</v>
      </c>
      <c r="P24" s="182">
        <v>0</v>
      </c>
      <c r="Q24" s="182">
        <v>0</v>
      </c>
      <c r="R24" s="182">
        <v>0</v>
      </c>
      <c r="S24" s="179">
        <f t="shared" si="4"/>
        <v>2172.6400000000003</v>
      </c>
      <c r="T24" s="183">
        <f t="shared" si="5"/>
        <v>366.63000000000005</v>
      </c>
      <c r="U24" s="179">
        <v>194.68</v>
      </c>
      <c r="V24" s="179">
        <v>263.58</v>
      </c>
      <c r="W24" s="179">
        <v>633.49</v>
      </c>
      <c r="X24" s="179">
        <v>438.74</v>
      </c>
      <c r="Y24" s="179">
        <v>155.77</v>
      </c>
      <c r="Z24" s="179">
        <v>0</v>
      </c>
      <c r="AA24" s="182">
        <v>0</v>
      </c>
      <c r="AB24" s="182">
        <f>SUM(U24:AA24)</f>
        <v>1686.26</v>
      </c>
      <c r="AC24" s="185">
        <f>D24+T24+AB24</f>
        <v>4978.689999999999</v>
      </c>
      <c r="AD24" s="186">
        <f t="shared" si="8"/>
        <v>0</v>
      </c>
      <c r="AE24" s="186">
        <f t="shared" si="9"/>
        <v>0</v>
      </c>
      <c r="AF24" s="186"/>
      <c r="AG24" s="179">
        <f t="shared" si="20"/>
        <v>379.08</v>
      </c>
      <c r="AH24" s="179">
        <f>B24*0.2</f>
        <v>126.36</v>
      </c>
      <c r="AI24" s="179">
        <f>0.85*B24</f>
        <v>537.03</v>
      </c>
      <c r="AJ24" s="179">
        <f t="shared" si="10"/>
        <v>96.66539999999999</v>
      </c>
      <c r="AK24" s="179">
        <f>0.83*B24</f>
        <v>524.3939999999999</v>
      </c>
      <c r="AL24" s="179">
        <f t="shared" si="11"/>
        <v>94.39091999999998</v>
      </c>
      <c r="AM24" s="179">
        <f>(1.91)*B24</f>
        <v>1206.7379999999998</v>
      </c>
      <c r="AN24" s="179">
        <f t="shared" si="12"/>
        <v>217.21283999999997</v>
      </c>
      <c r="AO24" s="179"/>
      <c r="AP24" s="179">
        <f t="shared" si="13"/>
        <v>0</v>
      </c>
      <c r="AQ24" s="195"/>
      <c r="AR24" s="195">
        <f t="shared" si="13"/>
        <v>0</v>
      </c>
      <c r="AS24" s="187">
        <v>0</v>
      </c>
      <c r="AT24" s="187"/>
      <c r="AU24" s="187">
        <f t="shared" si="14"/>
        <v>0</v>
      </c>
      <c r="AV24" s="188">
        <v>470</v>
      </c>
      <c r="AW24" s="189">
        <v>0.3</v>
      </c>
      <c r="AX24" s="179">
        <f t="shared" si="15"/>
        <v>186.34560000000002</v>
      </c>
      <c r="AY24" s="131"/>
      <c r="AZ24" s="182"/>
      <c r="BA24" s="182">
        <f t="shared" si="21"/>
        <v>0</v>
      </c>
      <c r="BB24" s="182">
        <f>SUM(AG24:AU24)+AX24+AY24+AZ24+BA24</f>
        <v>3368.21676</v>
      </c>
      <c r="BC24" s="212"/>
      <c r="BD24" s="239">
        <f t="shared" si="16"/>
        <v>3368.21676</v>
      </c>
      <c r="BE24" s="190">
        <f t="shared" si="17"/>
        <v>1610.473239999999</v>
      </c>
      <c r="BF24" s="190">
        <f t="shared" si="18"/>
        <v>-486.38000000000034</v>
      </c>
    </row>
    <row r="25" spans="1:58" s="132" customFormat="1" ht="12.75">
      <c r="A25" s="133" t="s">
        <v>41</v>
      </c>
      <c r="B25" s="241">
        <v>631.8</v>
      </c>
      <c r="C25" s="123">
        <f>B25*8.65</f>
        <v>5465.07</v>
      </c>
      <c r="D25" s="156">
        <f t="shared" si="19"/>
        <v>2925.799999999999</v>
      </c>
      <c r="E25" s="179">
        <v>250.87</v>
      </c>
      <c r="F25" s="179">
        <v>42.31</v>
      </c>
      <c r="G25" s="179">
        <v>339.54</v>
      </c>
      <c r="H25" s="179">
        <v>57.35</v>
      </c>
      <c r="I25" s="179">
        <v>816.21</v>
      </c>
      <c r="J25" s="179">
        <v>137.71</v>
      </c>
      <c r="K25" s="179">
        <v>565.33</v>
      </c>
      <c r="L25" s="179">
        <v>95.42</v>
      </c>
      <c r="M25" s="180">
        <v>200.69</v>
      </c>
      <c r="N25" s="181">
        <v>33.84</v>
      </c>
      <c r="O25" s="182">
        <v>0</v>
      </c>
      <c r="P25" s="182">
        <v>0</v>
      </c>
      <c r="Q25" s="182"/>
      <c r="R25" s="182"/>
      <c r="S25" s="179">
        <f>E25+G25+I25+K25+M25+O25+Q25</f>
        <v>2172.6400000000003</v>
      </c>
      <c r="T25" s="183">
        <f>P25+N25+L25+J25+H25+F25+R25</f>
        <v>366.63000000000005</v>
      </c>
      <c r="U25" s="179">
        <v>190.3</v>
      </c>
      <c r="V25" s="179">
        <v>257.27</v>
      </c>
      <c r="W25" s="179">
        <v>618.47</v>
      </c>
      <c r="X25" s="179">
        <v>428.36</v>
      </c>
      <c r="Y25" s="179">
        <v>152.06</v>
      </c>
      <c r="Z25" s="179">
        <v>0</v>
      </c>
      <c r="AA25" s="182">
        <v>0</v>
      </c>
      <c r="AB25" s="182">
        <f>SUM(U25:AA25)</f>
        <v>1646.46</v>
      </c>
      <c r="AC25" s="185">
        <f>D25+T25+AB25</f>
        <v>4938.889999999999</v>
      </c>
      <c r="AD25" s="186">
        <f>P25+Z25</f>
        <v>0</v>
      </c>
      <c r="AE25" s="186">
        <f>R25+AA25</f>
        <v>0</v>
      </c>
      <c r="AF25" s="186"/>
      <c r="AG25" s="179">
        <f t="shared" si="20"/>
        <v>379.08</v>
      </c>
      <c r="AH25" s="179">
        <f>B25*0.2</f>
        <v>126.36</v>
      </c>
      <c r="AI25" s="179">
        <f>0.85*B25</f>
        <v>537.03</v>
      </c>
      <c r="AJ25" s="179">
        <f>AI25*0.18</f>
        <v>96.66539999999999</v>
      </c>
      <c r="AK25" s="179">
        <f>0.83*B25</f>
        <v>524.3939999999999</v>
      </c>
      <c r="AL25" s="179">
        <f>AK25*0.18</f>
        <v>94.39091999999998</v>
      </c>
      <c r="AM25" s="179">
        <f>(1.91)*B25</f>
        <v>1206.7379999999998</v>
      </c>
      <c r="AN25" s="179">
        <f>AM25*0.18</f>
        <v>217.21283999999997</v>
      </c>
      <c r="AO25" s="179"/>
      <c r="AP25" s="179">
        <f>AO25*0.18</f>
        <v>0</v>
      </c>
      <c r="AQ25" s="195"/>
      <c r="AR25" s="195">
        <f>AQ25*0.18</f>
        <v>0</v>
      </c>
      <c r="AS25" s="187">
        <v>1487</v>
      </c>
      <c r="AT25" s="187"/>
      <c r="AU25" s="187">
        <f>(AS25+AT25)*0.18</f>
        <v>267.65999999999997</v>
      </c>
      <c r="AV25" s="188">
        <v>514</v>
      </c>
      <c r="AW25" s="189">
        <v>0.3</v>
      </c>
      <c r="AX25" s="179">
        <f>AV25*AW25*1.12*1.18</f>
        <v>203.79072</v>
      </c>
      <c r="AY25" s="131"/>
      <c r="AZ25" s="182"/>
      <c r="BA25" s="182">
        <f>AZ25*0.18</f>
        <v>0</v>
      </c>
      <c r="BB25" s="182">
        <f>SUM(AG25:BA25)-AV25-AW25</f>
        <v>5140.3218799999995</v>
      </c>
      <c r="BC25" s="212"/>
      <c r="BD25" s="182">
        <f t="shared" si="16"/>
        <v>5140.3218799999995</v>
      </c>
      <c r="BE25" s="190">
        <f>(AC25-BB25)+(AF25-BC25)</f>
        <v>-201.4318800000001</v>
      </c>
      <c r="BF25" s="190">
        <f>AB25-S25</f>
        <v>-526.1800000000003</v>
      </c>
    </row>
    <row r="26" spans="1:58" s="23" customFormat="1" ht="12.75">
      <c r="A26" s="18" t="s">
        <v>3</v>
      </c>
      <c r="B26" s="19"/>
      <c r="C26" s="19">
        <f>SUM(C14:C25)</f>
        <v>65580.84</v>
      </c>
      <c r="D26" s="19">
        <f aca="true" t="shared" si="22" ref="D26:BF26">SUM(D14:D25)</f>
        <v>26161.634999999995</v>
      </c>
      <c r="E26" s="19">
        <f t="shared" si="22"/>
        <v>2881.35</v>
      </c>
      <c r="F26" s="19">
        <f t="shared" si="22"/>
        <v>488.76000000000005</v>
      </c>
      <c r="G26" s="19">
        <f t="shared" si="22"/>
        <v>3845.67</v>
      </c>
      <c r="H26" s="19">
        <f t="shared" si="22"/>
        <v>661.7200000000001</v>
      </c>
      <c r="I26" s="19">
        <f t="shared" si="22"/>
        <v>9371.490000000002</v>
      </c>
      <c r="J26" s="19">
        <f t="shared" si="22"/>
        <v>1590.1100000000001</v>
      </c>
      <c r="K26" s="19">
        <f t="shared" si="22"/>
        <v>6490.09</v>
      </c>
      <c r="L26" s="19">
        <f t="shared" si="22"/>
        <v>1101.5199999999998</v>
      </c>
      <c r="M26" s="19">
        <f t="shared" si="22"/>
        <v>2305.0599999999995</v>
      </c>
      <c r="N26" s="19">
        <f t="shared" si="22"/>
        <v>390.94000000000005</v>
      </c>
      <c r="O26" s="19">
        <f t="shared" si="22"/>
        <v>0</v>
      </c>
      <c r="P26" s="19">
        <f t="shared" si="22"/>
        <v>0</v>
      </c>
      <c r="Q26" s="19">
        <f t="shared" si="22"/>
        <v>0</v>
      </c>
      <c r="R26" s="19">
        <f t="shared" si="22"/>
        <v>0</v>
      </c>
      <c r="S26" s="19">
        <f t="shared" si="22"/>
        <v>24893.659999999996</v>
      </c>
      <c r="T26" s="19">
        <f t="shared" si="22"/>
        <v>4233.05</v>
      </c>
      <c r="U26" s="19">
        <f t="shared" si="22"/>
        <v>2844.58</v>
      </c>
      <c r="V26" s="19">
        <f t="shared" si="22"/>
        <v>3845.4300000000003</v>
      </c>
      <c r="W26" s="19">
        <f t="shared" si="22"/>
        <v>9153.299999999997</v>
      </c>
      <c r="X26" s="19">
        <f t="shared" si="22"/>
        <v>6405.460000000001</v>
      </c>
      <c r="Y26" s="19">
        <f t="shared" si="22"/>
        <v>2275.53</v>
      </c>
      <c r="Z26" s="19">
        <f t="shared" si="22"/>
        <v>0</v>
      </c>
      <c r="AA26" s="19">
        <f t="shared" si="22"/>
        <v>0</v>
      </c>
      <c r="AB26" s="19">
        <f t="shared" si="22"/>
        <v>24524.299999999996</v>
      </c>
      <c r="AC26" s="19">
        <f t="shared" si="22"/>
        <v>54918.985</v>
      </c>
      <c r="AD26" s="19">
        <f t="shared" si="22"/>
        <v>0</v>
      </c>
      <c r="AE26" s="19">
        <f t="shared" si="22"/>
        <v>0</v>
      </c>
      <c r="AF26" s="19">
        <f t="shared" si="22"/>
        <v>0</v>
      </c>
      <c r="AG26" s="19">
        <f t="shared" si="22"/>
        <v>4397.3279999999995</v>
      </c>
      <c r="AH26" s="19">
        <f t="shared" si="22"/>
        <v>1472.2279416</v>
      </c>
      <c r="AI26" s="19">
        <f t="shared" si="22"/>
        <v>6147.588278499999</v>
      </c>
      <c r="AJ26" s="19">
        <f t="shared" si="22"/>
        <v>1106.5658901299998</v>
      </c>
      <c r="AK26" s="19">
        <f t="shared" si="22"/>
        <v>5975.47487394</v>
      </c>
      <c r="AL26" s="19">
        <f t="shared" si="22"/>
        <v>1075.5854773091996</v>
      </c>
      <c r="AM26" s="19">
        <f t="shared" si="22"/>
        <v>13748.986247430505</v>
      </c>
      <c r="AN26" s="19">
        <f t="shared" si="22"/>
        <v>2474.8175245374914</v>
      </c>
      <c r="AO26" s="19">
        <f t="shared" si="22"/>
        <v>0</v>
      </c>
      <c r="AP26" s="19">
        <f t="shared" si="22"/>
        <v>0</v>
      </c>
      <c r="AQ26" s="162">
        <f t="shared" si="22"/>
        <v>0</v>
      </c>
      <c r="AR26" s="162">
        <f t="shared" si="22"/>
        <v>0</v>
      </c>
      <c r="AS26" s="20">
        <f t="shared" si="22"/>
        <v>13909.21</v>
      </c>
      <c r="AT26" s="20">
        <f t="shared" si="22"/>
        <v>463.56</v>
      </c>
      <c r="AU26" s="20">
        <f t="shared" si="22"/>
        <v>2587.1085999999996</v>
      </c>
      <c r="AV26" s="19">
        <f t="shared" si="22"/>
        <v>4400</v>
      </c>
      <c r="AW26" s="19">
        <f t="shared" si="22"/>
        <v>3.599999999999999</v>
      </c>
      <c r="AX26" s="19">
        <f t="shared" si="22"/>
        <v>1744.512</v>
      </c>
      <c r="AY26" s="19">
        <f t="shared" si="22"/>
        <v>0</v>
      </c>
      <c r="AZ26" s="19">
        <f t="shared" si="22"/>
        <v>0</v>
      </c>
      <c r="BA26" s="19">
        <f t="shared" si="22"/>
        <v>0</v>
      </c>
      <c r="BB26" s="19">
        <f t="shared" si="22"/>
        <v>55102.9648334472</v>
      </c>
      <c r="BC26" s="19">
        <f t="shared" si="22"/>
        <v>0</v>
      </c>
      <c r="BD26" s="19">
        <f t="shared" si="22"/>
        <v>55102.9648334472</v>
      </c>
      <c r="BE26" s="19">
        <f t="shared" si="22"/>
        <v>-183.9798334472057</v>
      </c>
      <c r="BF26" s="158">
        <f t="shared" si="22"/>
        <v>-369.36000000000126</v>
      </c>
    </row>
    <row r="27" spans="1:58" s="23" customFormat="1" ht="12.75">
      <c r="A27" s="18"/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97"/>
      <c r="AE27" s="97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73"/>
      <c r="AQ27" s="163"/>
      <c r="AR27" s="163"/>
      <c r="AS27" s="73"/>
      <c r="AT27" s="73"/>
      <c r="AU27" s="73"/>
      <c r="AV27" s="22"/>
      <c r="AW27" s="22"/>
      <c r="AX27" s="80"/>
      <c r="AY27" s="51"/>
      <c r="AZ27" s="51"/>
      <c r="BA27" s="51"/>
      <c r="BB27" s="51"/>
      <c r="BC27" s="51"/>
      <c r="BD27" s="51"/>
      <c r="BE27" s="51"/>
      <c r="BF27" s="159"/>
    </row>
    <row r="28" spans="1:58" s="23" customFormat="1" ht="13.5" thickBot="1">
      <c r="A28" s="25" t="s">
        <v>52</v>
      </c>
      <c r="B28" s="26"/>
      <c r="C28" s="26">
        <f>C12+C26</f>
        <v>81976.04999999999</v>
      </c>
      <c r="D28" s="26">
        <f aca="true" t="shared" si="23" ref="D28:BF28">D12+D26</f>
        <v>30108.016697699994</v>
      </c>
      <c r="E28" s="26">
        <f t="shared" si="23"/>
        <v>3531.89</v>
      </c>
      <c r="F28" s="26">
        <f t="shared" si="23"/>
        <v>602.46</v>
      </c>
      <c r="G28" s="26">
        <f t="shared" si="23"/>
        <v>4723.87</v>
      </c>
      <c r="H28" s="26">
        <f t="shared" si="23"/>
        <v>815.2300000000001</v>
      </c>
      <c r="I28" s="26">
        <f t="shared" si="23"/>
        <v>12921.750000000002</v>
      </c>
      <c r="J28" s="26">
        <f t="shared" si="23"/>
        <v>1959.65</v>
      </c>
      <c r="K28" s="26">
        <f t="shared" si="23"/>
        <v>7953.81</v>
      </c>
      <c r="L28" s="26">
        <f t="shared" si="23"/>
        <v>1357.3599999999997</v>
      </c>
      <c r="M28" s="26">
        <f t="shared" si="23"/>
        <v>2825.5199999999995</v>
      </c>
      <c r="N28" s="26">
        <f t="shared" si="23"/>
        <v>481.9000000000001</v>
      </c>
      <c r="O28" s="26">
        <f t="shared" si="23"/>
        <v>0</v>
      </c>
      <c r="P28" s="26">
        <f t="shared" si="23"/>
        <v>0</v>
      </c>
      <c r="Q28" s="26">
        <f t="shared" si="23"/>
        <v>0</v>
      </c>
      <c r="R28" s="26">
        <f t="shared" si="23"/>
        <v>0</v>
      </c>
      <c r="S28" s="26">
        <f t="shared" si="23"/>
        <v>31956.839999999997</v>
      </c>
      <c r="T28" s="26">
        <f t="shared" si="23"/>
        <v>5216.6</v>
      </c>
      <c r="U28" s="26">
        <f t="shared" si="23"/>
        <v>3233.8</v>
      </c>
      <c r="V28" s="26">
        <f t="shared" si="23"/>
        <v>4370.900000000001</v>
      </c>
      <c r="W28" s="26">
        <f t="shared" si="23"/>
        <v>11951.049999999997</v>
      </c>
      <c r="X28" s="26">
        <f t="shared" si="23"/>
        <v>7281.220000000001</v>
      </c>
      <c r="Y28" s="26">
        <f t="shared" si="23"/>
        <v>2586.9100000000003</v>
      </c>
      <c r="Z28" s="26">
        <f t="shared" si="23"/>
        <v>0</v>
      </c>
      <c r="AA28" s="26">
        <f t="shared" si="23"/>
        <v>0</v>
      </c>
      <c r="AB28" s="26">
        <f t="shared" si="23"/>
        <v>29423.879999999997</v>
      </c>
      <c r="AC28" s="26">
        <f t="shared" si="23"/>
        <v>64748.4966977</v>
      </c>
      <c r="AD28" s="26">
        <f t="shared" si="23"/>
        <v>0</v>
      </c>
      <c r="AE28" s="26">
        <f t="shared" si="23"/>
        <v>0</v>
      </c>
      <c r="AF28" s="26">
        <f t="shared" si="23"/>
        <v>0</v>
      </c>
      <c r="AG28" s="26">
        <f t="shared" si="23"/>
        <v>5534.567999999999</v>
      </c>
      <c r="AH28" s="26">
        <f t="shared" si="23"/>
        <v>1862.4908016</v>
      </c>
      <c r="AI28" s="26">
        <f t="shared" si="23"/>
        <v>7760.523134499999</v>
      </c>
      <c r="AJ28" s="26">
        <f>AJ12+AJ26</f>
        <v>1396.8941642099999</v>
      </c>
      <c r="AK28" s="26">
        <f t="shared" si="23"/>
        <v>7852.4207541</v>
      </c>
      <c r="AL28" s="26">
        <f t="shared" si="23"/>
        <v>1413.4357357379995</v>
      </c>
      <c r="AM28" s="26">
        <f t="shared" si="23"/>
        <v>17196.069546570503</v>
      </c>
      <c r="AN28" s="26">
        <f t="shared" si="23"/>
        <v>3095.292518382691</v>
      </c>
      <c r="AO28" s="26">
        <f t="shared" si="23"/>
        <v>0</v>
      </c>
      <c r="AP28" s="26">
        <f t="shared" si="23"/>
        <v>0</v>
      </c>
      <c r="AQ28" s="166">
        <f t="shared" si="23"/>
        <v>0</v>
      </c>
      <c r="AR28" s="166">
        <f t="shared" si="23"/>
        <v>0</v>
      </c>
      <c r="AS28" s="165">
        <f t="shared" si="23"/>
        <v>13909.21</v>
      </c>
      <c r="AT28" s="165">
        <f t="shared" si="23"/>
        <v>463.56</v>
      </c>
      <c r="AU28" s="165">
        <f t="shared" si="23"/>
        <v>2587.1085999999996</v>
      </c>
      <c r="AV28" s="26">
        <f t="shared" si="23"/>
        <v>4400</v>
      </c>
      <c r="AW28" s="26">
        <f t="shared" si="23"/>
        <v>3.599999999999999</v>
      </c>
      <c r="AX28" s="26">
        <f t="shared" si="23"/>
        <v>1744.512</v>
      </c>
      <c r="AY28" s="26">
        <f t="shared" si="23"/>
        <v>0</v>
      </c>
      <c r="AZ28" s="26">
        <f t="shared" si="23"/>
        <v>0</v>
      </c>
      <c r="BA28" s="26">
        <f t="shared" si="23"/>
        <v>0</v>
      </c>
      <c r="BB28" s="26">
        <f t="shared" si="23"/>
        <v>64816.0852551012</v>
      </c>
      <c r="BC28" s="26">
        <f t="shared" si="23"/>
        <v>0</v>
      </c>
      <c r="BD28" s="26">
        <f t="shared" si="23"/>
        <v>64816.0852551012</v>
      </c>
      <c r="BE28" s="26">
        <f t="shared" si="23"/>
        <v>-67.58855740120543</v>
      </c>
      <c r="BF28" s="26">
        <f t="shared" si="23"/>
        <v>-2532.960000000002</v>
      </c>
    </row>
    <row r="29" spans="1:58" ht="15" customHeight="1">
      <c r="A29" s="8" t="s">
        <v>93</v>
      </c>
      <c r="B29" s="134"/>
      <c r="C29" s="135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38"/>
      <c r="Q29" s="139"/>
      <c r="R29" s="139"/>
      <c r="S29" s="139"/>
      <c r="T29" s="139"/>
      <c r="U29" s="140"/>
      <c r="V29" s="140"/>
      <c r="W29" s="140"/>
      <c r="X29" s="140"/>
      <c r="Y29" s="140"/>
      <c r="Z29" s="140"/>
      <c r="AA29" s="141"/>
      <c r="AB29" s="141"/>
      <c r="AC29" s="98"/>
      <c r="AD29" s="99"/>
      <c r="AE29" s="99"/>
      <c r="AF29" s="52"/>
      <c r="AG29" s="52"/>
      <c r="AH29" s="52"/>
      <c r="AI29" s="52"/>
      <c r="AJ29" s="52"/>
      <c r="AK29" s="52"/>
      <c r="AL29" s="52"/>
      <c r="AM29" s="52"/>
      <c r="AN29" s="67"/>
      <c r="AO29" s="67"/>
      <c r="AP29" s="67"/>
      <c r="AQ29" s="160"/>
      <c r="AR29" s="161"/>
      <c r="AS29" s="96"/>
      <c r="AT29" s="96"/>
      <c r="AU29" s="142"/>
      <c r="AV29" s="52"/>
      <c r="AW29" s="52"/>
      <c r="AX29" s="53"/>
      <c r="AY29" s="1"/>
      <c r="AZ29" s="1"/>
      <c r="BA29" s="1"/>
      <c r="BB29" s="1"/>
      <c r="BC29" s="1"/>
      <c r="BD29" s="1"/>
      <c r="BE29" s="1"/>
      <c r="BF29" s="143"/>
    </row>
    <row r="30" spans="1:58" ht="12.75">
      <c r="A30" s="14" t="s">
        <v>43</v>
      </c>
      <c r="B30" s="244">
        <v>631.8</v>
      </c>
      <c r="C30" s="245">
        <f aca="true" t="shared" si="24" ref="C30:C41">B30*8.65</f>
        <v>5465.07</v>
      </c>
      <c r="D30" s="246">
        <f aca="true" t="shared" si="25" ref="D30:D41">C30-E30-F30-G30-H30-I30-J30-K30-L30-M30-N30</f>
        <v>2924.929999999998</v>
      </c>
      <c r="E30" s="247">
        <v>250.97</v>
      </c>
      <c r="F30" s="247">
        <v>42.31</v>
      </c>
      <c r="G30" s="247">
        <v>339.68</v>
      </c>
      <c r="H30" s="247">
        <v>57.35</v>
      </c>
      <c r="I30" s="247">
        <v>816.54</v>
      </c>
      <c r="J30" s="247">
        <v>137.71</v>
      </c>
      <c r="K30" s="247">
        <v>565.55</v>
      </c>
      <c r="L30" s="247">
        <v>95.42</v>
      </c>
      <c r="M30" s="248">
        <v>200.77</v>
      </c>
      <c r="N30" s="249">
        <v>33.84</v>
      </c>
      <c r="O30" s="250">
        <v>0</v>
      </c>
      <c r="P30" s="250">
        <v>0</v>
      </c>
      <c r="Q30" s="250"/>
      <c r="R30" s="250"/>
      <c r="S30" s="247">
        <f aca="true" t="shared" si="26" ref="S30:S41">E30+G30+I30+K30+M30+O30+Q30</f>
        <v>2173.51</v>
      </c>
      <c r="T30" s="251">
        <f aca="true" t="shared" si="27" ref="T30:T41">P30+N30+L30+J30+H30+F30+R30</f>
        <v>366.63000000000005</v>
      </c>
      <c r="U30" s="247">
        <v>235.08</v>
      </c>
      <c r="V30" s="247">
        <v>318.56</v>
      </c>
      <c r="W30" s="247">
        <v>765.65</v>
      </c>
      <c r="X30" s="247">
        <v>530.35</v>
      </c>
      <c r="Y30" s="247">
        <v>188.24</v>
      </c>
      <c r="Z30" s="247">
        <v>0</v>
      </c>
      <c r="AA30" s="250">
        <v>0</v>
      </c>
      <c r="AB30" s="250">
        <f>SUM(U30:AA30)</f>
        <v>2037.8799999999999</v>
      </c>
      <c r="AC30" s="252">
        <f aca="true" t="shared" si="28" ref="AC30:AC41">D30+T30+AB30</f>
        <v>5329.439999999998</v>
      </c>
      <c r="AD30" s="253">
        <f aca="true" t="shared" si="29" ref="AD30:AD41">P30+Z30</f>
        <v>0</v>
      </c>
      <c r="AE30" s="253">
        <f aca="true" t="shared" si="30" ref="AE30:AE41">R30+AA30</f>
        <v>0</v>
      </c>
      <c r="AF30" s="253"/>
      <c r="AG30" s="254">
        <f aca="true" t="shared" si="31" ref="AG30:AG41">0.6*B30</f>
        <v>379.08</v>
      </c>
      <c r="AH30" s="254">
        <f aca="true" t="shared" si="32" ref="AH30:AH41">B30*0.2</f>
        <v>126.36</v>
      </c>
      <c r="AI30" s="254">
        <f aca="true" t="shared" si="33" ref="AI30:AI41">1*B30</f>
        <v>631.8</v>
      </c>
      <c r="AJ30" s="254">
        <v>0</v>
      </c>
      <c r="AK30" s="254">
        <f aca="true" t="shared" si="34" ref="AK30:AK41">0.98*B30</f>
        <v>619.164</v>
      </c>
      <c r="AL30" s="254">
        <v>0</v>
      </c>
      <c r="AM30" s="254">
        <f aca="true" t="shared" si="35" ref="AM30:AM41">2.25*B30</f>
        <v>1421.55</v>
      </c>
      <c r="AN30" s="254">
        <v>0</v>
      </c>
      <c r="AO30" s="254"/>
      <c r="AP30" s="254">
        <v>0</v>
      </c>
      <c r="AQ30" s="255"/>
      <c r="AR30" s="255"/>
      <c r="AS30" s="256">
        <v>0</v>
      </c>
      <c r="AT30" s="256"/>
      <c r="AU30" s="256">
        <f aca="true" t="shared" si="36" ref="AU30:AU40">AT30*0.18</f>
        <v>0</v>
      </c>
      <c r="AV30" s="257">
        <v>508</v>
      </c>
      <c r="AW30" s="258">
        <v>0.3</v>
      </c>
      <c r="AX30" s="254">
        <f aca="true" t="shared" si="37" ref="AX30:AX41">AV30*AW30*1.4</f>
        <v>213.35999999999999</v>
      </c>
      <c r="AY30" s="259"/>
      <c r="AZ30" s="260"/>
      <c r="BA30" s="260">
        <f aca="true" t="shared" si="38" ref="BA30:BA41">AZ30*0.18</f>
        <v>0</v>
      </c>
      <c r="BB30" s="260">
        <f>SUM(AG30:BA30)-AV30-AW30</f>
        <v>3391.314</v>
      </c>
      <c r="BC30" s="261"/>
      <c r="BD30" s="176"/>
      <c r="BE30" s="190">
        <f>(AC30-BB30)+(AF30-BC30)</f>
        <v>1938.125999999998</v>
      </c>
      <c r="BF30" s="190">
        <f>AB30-S30</f>
        <v>-135.63000000000034</v>
      </c>
    </row>
    <row r="31" spans="1:58" ht="12.75">
      <c r="A31" s="14" t="s">
        <v>44</v>
      </c>
      <c r="B31" s="262">
        <v>632</v>
      </c>
      <c r="C31" s="245">
        <f t="shared" si="24"/>
        <v>5466.8</v>
      </c>
      <c r="D31" s="246">
        <f t="shared" si="25"/>
        <v>2926.6599999999985</v>
      </c>
      <c r="E31" s="263">
        <v>250.97</v>
      </c>
      <c r="F31" s="247">
        <v>42.31</v>
      </c>
      <c r="G31" s="247">
        <v>339.68</v>
      </c>
      <c r="H31" s="247">
        <v>57.35</v>
      </c>
      <c r="I31" s="247">
        <v>816.54</v>
      </c>
      <c r="J31" s="247">
        <v>137.71</v>
      </c>
      <c r="K31" s="247">
        <v>565.55</v>
      </c>
      <c r="L31" s="247">
        <v>95.42</v>
      </c>
      <c r="M31" s="248">
        <v>200.77</v>
      </c>
      <c r="N31" s="249">
        <v>33.84</v>
      </c>
      <c r="O31" s="250">
        <v>0</v>
      </c>
      <c r="P31" s="250">
        <v>0</v>
      </c>
      <c r="Q31" s="247">
        <v>0</v>
      </c>
      <c r="R31" s="250">
        <v>0</v>
      </c>
      <c r="S31" s="247">
        <f t="shared" si="26"/>
        <v>2173.51</v>
      </c>
      <c r="T31" s="251">
        <f t="shared" si="27"/>
        <v>366.63000000000005</v>
      </c>
      <c r="U31" s="247">
        <v>161.91</v>
      </c>
      <c r="V31" s="247">
        <v>219.2</v>
      </c>
      <c r="W31" s="247">
        <v>526.92</v>
      </c>
      <c r="X31" s="247">
        <v>364.93</v>
      </c>
      <c r="Y31" s="247">
        <v>129.57</v>
      </c>
      <c r="Z31" s="247">
        <v>0</v>
      </c>
      <c r="AA31" s="250">
        <v>0</v>
      </c>
      <c r="AB31" s="250">
        <f>SUM(U31:AA31)</f>
        <v>1402.53</v>
      </c>
      <c r="AC31" s="252">
        <f t="shared" si="28"/>
        <v>4695.819999999999</v>
      </c>
      <c r="AD31" s="253">
        <f t="shared" si="29"/>
        <v>0</v>
      </c>
      <c r="AE31" s="253">
        <f t="shared" si="30"/>
        <v>0</v>
      </c>
      <c r="AF31" s="253"/>
      <c r="AG31" s="254">
        <f t="shared" si="31"/>
        <v>379.2</v>
      </c>
      <c r="AH31" s="254">
        <f t="shared" si="32"/>
        <v>126.4</v>
      </c>
      <c r="AI31" s="254">
        <f t="shared" si="33"/>
        <v>632</v>
      </c>
      <c r="AJ31" s="254">
        <v>0</v>
      </c>
      <c r="AK31" s="254">
        <f t="shared" si="34"/>
        <v>619.36</v>
      </c>
      <c r="AL31" s="254">
        <v>0</v>
      </c>
      <c r="AM31" s="254">
        <f t="shared" si="35"/>
        <v>1422</v>
      </c>
      <c r="AN31" s="254">
        <v>0</v>
      </c>
      <c r="AO31" s="254"/>
      <c r="AP31" s="254"/>
      <c r="AQ31" s="255"/>
      <c r="AR31" s="255"/>
      <c r="AS31" s="256"/>
      <c r="AT31" s="256"/>
      <c r="AU31" s="256">
        <f t="shared" si="36"/>
        <v>0</v>
      </c>
      <c r="AV31" s="257">
        <v>407</v>
      </c>
      <c r="AW31" s="258">
        <v>0.3</v>
      </c>
      <c r="AX31" s="254">
        <f t="shared" si="37"/>
        <v>170.93999999999997</v>
      </c>
      <c r="AY31" s="259"/>
      <c r="AZ31" s="260"/>
      <c r="BA31" s="260">
        <f t="shared" si="38"/>
        <v>0</v>
      </c>
      <c r="BB31" s="260">
        <f>SUM(AG31:BA31)-AV31-AW31</f>
        <v>3349.9</v>
      </c>
      <c r="BC31" s="261"/>
      <c r="BD31" s="176"/>
      <c r="BE31" s="190">
        <f aca="true" t="shared" si="39" ref="BE31:BE41">(AC31-BB31)+(AF31-BC31)</f>
        <v>1345.9199999999987</v>
      </c>
      <c r="BF31" s="190">
        <f aca="true" t="shared" si="40" ref="BF31:BF41">AB31-S31</f>
        <v>-770.9800000000002</v>
      </c>
    </row>
    <row r="32" spans="1:58" ht="13.5" thickBot="1">
      <c r="A32" s="148" t="s">
        <v>45</v>
      </c>
      <c r="B32" s="244">
        <v>632</v>
      </c>
      <c r="C32" s="245">
        <f t="shared" si="24"/>
        <v>5466.8</v>
      </c>
      <c r="D32" s="246">
        <f t="shared" si="25"/>
        <v>2926.6499999999987</v>
      </c>
      <c r="E32" s="247">
        <v>250.97</v>
      </c>
      <c r="F32" s="247">
        <v>42.31</v>
      </c>
      <c r="G32" s="247">
        <v>339.68</v>
      </c>
      <c r="H32" s="247">
        <v>57.35</v>
      </c>
      <c r="I32" s="247">
        <v>816.54</v>
      </c>
      <c r="J32" s="247">
        <v>137.71</v>
      </c>
      <c r="K32" s="247">
        <v>565.56</v>
      </c>
      <c r="L32" s="247">
        <v>95.42</v>
      </c>
      <c r="M32" s="248">
        <v>200.77</v>
      </c>
      <c r="N32" s="249">
        <v>33.84</v>
      </c>
      <c r="O32" s="250">
        <v>0</v>
      </c>
      <c r="P32" s="250">
        <v>0</v>
      </c>
      <c r="Q32" s="250">
        <v>0</v>
      </c>
      <c r="R32" s="250">
        <v>0</v>
      </c>
      <c r="S32" s="247">
        <f t="shared" si="26"/>
        <v>2173.52</v>
      </c>
      <c r="T32" s="251">
        <f t="shared" si="27"/>
        <v>366.63000000000005</v>
      </c>
      <c r="U32" s="247">
        <v>193.66</v>
      </c>
      <c r="V32" s="247">
        <v>260.97</v>
      </c>
      <c r="W32" s="247">
        <v>627.37</v>
      </c>
      <c r="X32" s="247">
        <v>434.54</v>
      </c>
      <c r="Y32" s="247">
        <v>154.24</v>
      </c>
      <c r="Z32" s="247">
        <v>0</v>
      </c>
      <c r="AA32" s="250">
        <v>0</v>
      </c>
      <c r="AB32" s="250">
        <f>SUM(U32:AA32)</f>
        <v>1670.78</v>
      </c>
      <c r="AC32" s="252">
        <f t="shared" si="28"/>
        <v>4964.059999999999</v>
      </c>
      <c r="AD32" s="253">
        <f t="shared" si="29"/>
        <v>0</v>
      </c>
      <c r="AE32" s="253">
        <f t="shared" si="30"/>
        <v>0</v>
      </c>
      <c r="AF32" s="253"/>
      <c r="AG32" s="254">
        <f t="shared" si="31"/>
        <v>379.2</v>
      </c>
      <c r="AH32" s="254">
        <f t="shared" si="32"/>
        <v>126.4</v>
      </c>
      <c r="AI32" s="254">
        <f t="shared" si="33"/>
        <v>632</v>
      </c>
      <c r="AJ32" s="254">
        <v>0</v>
      </c>
      <c r="AK32" s="254">
        <f t="shared" si="34"/>
        <v>619.36</v>
      </c>
      <c r="AL32" s="254">
        <v>0</v>
      </c>
      <c r="AM32" s="254">
        <f t="shared" si="35"/>
        <v>1422</v>
      </c>
      <c r="AN32" s="254">
        <v>0</v>
      </c>
      <c r="AO32" s="254"/>
      <c r="AP32" s="254"/>
      <c r="AQ32" s="255"/>
      <c r="AR32" s="255"/>
      <c r="AS32" s="256"/>
      <c r="AT32" s="256"/>
      <c r="AU32" s="256">
        <f t="shared" si="36"/>
        <v>0</v>
      </c>
      <c r="AV32" s="257">
        <v>383</v>
      </c>
      <c r="AW32" s="258">
        <v>0.3</v>
      </c>
      <c r="AX32" s="254">
        <f t="shared" si="37"/>
        <v>160.85999999999999</v>
      </c>
      <c r="AY32" s="259"/>
      <c r="AZ32" s="260"/>
      <c r="BA32" s="260">
        <f t="shared" si="38"/>
        <v>0</v>
      </c>
      <c r="BB32" s="260">
        <f>SUM(AG32:BA32)-AV32-AW32</f>
        <v>3339.82</v>
      </c>
      <c r="BC32" s="261"/>
      <c r="BD32" s="177"/>
      <c r="BE32" s="190">
        <f t="shared" si="39"/>
        <v>1624.2399999999984</v>
      </c>
      <c r="BF32" s="190">
        <f t="shared" si="40"/>
        <v>-502.74</v>
      </c>
    </row>
    <row r="33" spans="1:58" ht="12.75">
      <c r="A33" s="147" t="s">
        <v>46</v>
      </c>
      <c r="B33" s="244">
        <v>632</v>
      </c>
      <c r="C33" s="245">
        <f t="shared" si="24"/>
        <v>5466.8</v>
      </c>
      <c r="D33" s="246">
        <f t="shared" si="25"/>
        <v>2926.6499999999987</v>
      </c>
      <c r="E33" s="247">
        <v>250.97</v>
      </c>
      <c r="F33" s="247">
        <v>42.31</v>
      </c>
      <c r="G33" s="247">
        <v>339.68</v>
      </c>
      <c r="H33" s="247">
        <v>57.35</v>
      </c>
      <c r="I33" s="247">
        <v>816.54</v>
      </c>
      <c r="J33" s="247">
        <v>137.71</v>
      </c>
      <c r="K33" s="247">
        <v>565.56</v>
      </c>
      <c r="L33" s="247">
        <v>95.42</v>
      </c>
      <c r="M33" s="248">
        <v>200.77</v>
      </c>
      <c r="N33" s="249">
        <v>33.84</v>
      </c>
      <c r="O33" s="250">
        <v>0</v>
      </c>
      <c r="P33" s="250">
        <v>0</v>
      </c>
      <c r="Q33" s="250"/>
      <c r="R33" s="250"/>
      <c r="S33" s="247">
        <f t="shared" si="26"/>
        <v>2173.52</v>
      </c>
      <c r="T33" s="251">
        <f t="shared" si="27"/>
        <v>366.63000000000005</v>
      </c>
      <c r="U33" s="247">
        <v>501.15</v>
      </c>
      <c r="V33" s="247">
        <v>676.49</v>
      </c>
      <c r="W33" s="247">
        <v>1628.85</v>
      </c>
      <c r="X33" s="247">
        <v>1127.7</v>
      </c>
      <c r="Y33" s="247">
        <v>400.93</v>
      </c>
      <c r="Z33" s="247">
        <v>0</v>
      </c>
      <c r="AA33" s="250">
        <v>0</v>
      </c>
      <c r="AB33" s="250">
        <f>SUM(U33:AA33)</f>
        <v>4335.12</v>
      </c>
      <c r="AC33" s="252">
        <f t="shared" si="28"/>
        <v>7628.399999999999</v>
      </c>
      <c r="AD33" s="253">
        <f t="shared" si="29"/>
        <v>0</v>
      </c>
      <c r="AE33" s="253">
        <f t="shared" si="30"/>
        <v>0</v>
      </c>
      <c r="AF33" s="253"/>
      <c r="AG33" s="254">
        <f t="shared" si="31"/>
        <v>379.2</v>
      </c>
      <c r="AH33" s="254">
        <f t="shared" si="32"/>
        <v>126.4</v>
      </c>
      <c r="AI33" s="254">
        <f t="shared" si="33"/>
        <v>632</v>
      </c>
      <c r="AJ33" s="254">
        <v>0</v>
      </c>
      <c r="AK33" s="254">
        <f t="shared" si="34"/>
        <v>619.36</v>
      </c>
      <c r="AL33" s="254">
        <v>0</v>
      </c>
      <c r="AM33" s="254">
        <f t="shared" si="35"/>
        <v>1422</v>
      </c>
      <c r="AN33" s="254">
        <v>0</v>
      </c>
      <c r="AO33" s="254"/>
      <c r="AP33" s="254"/>
      <c r="AQ33" s="255"/>
      <c r="AR33" s="255"/>
      <c r="AS33" s="256">
        <v>838</v>
      </c>
      <c r="AT33" s="256"/>
      <c r="AU33" s="256">
        <f t="shared" si="36"/>
        <v>0</v>
      </c>
      <c r="AV33" s="257">
        <v>307</v>
      </c>
      <c r="AW33" s="258">
        <v>0.3</v>
      </c>
      <c r="AX33" s="254">
        <f t="shared" si="37"/>
        <v>128.94</v>
      </c>
      <c r="AY33" s="259"/>
      <c r="AZ33" s="260"/>
      <c r="BA33" s="260">
        <f t="shared" si="38"/>
        <v>0</v>
      </c>
      <c r="BB33" s="260">
        <f aca="true" t="shared" si="41" ref="BB33:BB41">SUM(AG33:BA33)-AV33-AW33</f>
        <v>4145.9</v>
      </c>
      <c r="BC33" s="261"/>
      <c r="BD33" s="226"/>
      <c r="BE33" s="190">
        <f t="shared" si="39"/>
        <v>3482.499999999999</v>
      </c>
      <c r="BF33" s="190">
        <f t="shared" si="40"/>
        <v>2161.6</v>
      </c>
    </row>
    <row r="34" spans="1:58" ht="12.75">
      <c r="A34" s="14" t="s">
        <v>47</v>
      </c>
      <c r="B34" s="244">
        <v>634.4</v>
      </c>
      <c r="C34" s="245">
        <f t="shared" si="24"/>
        <v>5487.56</v>
      </c>
      <c r="D34" s="246">
        <f t="shared" si="25"/>
        <v>2937.0699999999993</v>
      </c>
      <c r="E34" s="247">
        <v>252.16</v>
      </c>
      <c r="F34" s="247">
        <v>42.31</v>
      </c>
      <c r="G34" s="247">
        <v>341.31</v>
      </c>
      <c r="H34" s="247">
        <v>57.35</v>
      </c>
      <c r="I34" s="247">
        <v>820.43</v>
      </c>
      <c r="J34" s="247">
        <v>137.71</v>
      </c>
      <c r="K34" s="247">
        <v>568.23</v>
      </c>
      <c r="L34" s="247">
        <v>95.42</v>
      </c>
      <c r="M34" s="248">
        <v>201.73</v>
      </c>
      <c r="N34" s="249">
        <v>33.84</v>
      </c>
      <c r="O34" s="250">
        <v>0</v>
      </c>
      <c r="P34" s="250">
        <v>0</v>
      </c>
      <c r="Q34" s="250"/>
      <c r="R34" s="250"/>
      <c r="S34" s="247">
        <f t="shared" si="26"/>
        <v>2183.86</v>
      </c>
      <c r="T34" s="251">
        <f t="shared" si="27"/>
        <v>366.63000000000005</v>
      </c>
      <c r="U34" s="264">
        <v>204.18</v>
      </c>
      <c r="V34" s="264">
        <v>276.32</v>
      </c>
      <c r="W34" s="264">
        <v>664.32</v>
      </c>
      <c r="X34" s="264">
        <v>460.09</v>
      </c>
      <c r="Y34" s="264">
        <v>163.37</v>
      </c>
      <c r="Z34" s="264">
        <v>0</v>
      </c>
      <c r="AA34" s="265">
        <v>0</v>
      </c>
      <c r="AB34" s="250">
        <f aca="true" t="shared" si="42" ref="AB34:AB41">SUM(U34:AA34)</f>
        <v>1768.2800000000002</v>
      </c>
      <c r="AC34" s="252">
        <f t="shared" si="28"/>
        <v>5071.98</v>
      </c>
      <c r="AD34" s="253">
        <f t="shared" si="29"/>
        <v>0</v>
      </c>
      <c r="AE34" s="253">
        <f t="shared" si="30"/>
        <v>0</v>
      </c>
      <c r="AF34" s="253"/>
      <c r="AG34" s="254">
        <f t="shared" si="31"/>
        <v>380.64</v>
      </c>
      <c r="AH34" s="254">
        <f t="shared" si="32"/>
        <v>126.88</v>
      </c>
      <c r="AI34" s="254">
        <f t="shared" si="33"/>
        <v>634.4</v>
      </c>
      <c r="AJ34" s="254">
        <v>0</v>
      </c>
      <c r="AK34" s="254">
        <f t="shared" si="34"/>
        <v>621.712</v>
      </c>
      <c r="AL34" s="254">
        <v>0</v>
      </c>
      <c r="AM34" s="254">
        <f t="shared" si="35"/>
        <v>1427.3999999999999</v>
      </c>
      <c r="AN34" s="254">
        <v>0</v>
      </c>
      <c r="AO34" s="254"/>
      <c r="AP34" s="254"/>
      <c r="AQ34" s="255"/>
      <c r="AR34" s="255"/>
      <c r="AS34" s="256"/>
      <c r="AT34" s="256"/>
      <c r="AU34" s="256">
        <f t="shared" si="36"/>
        <v>0</v>
      </c>
      <c r="AV34" s="257">
        <v>263</v>
      </c>
      <c r="AW34" s="258">
        <v>0.3</v>
      </c>
      <c r="AX34" s="254">
        <f t="shared" si="37"/>
        <v>110.45999999999998</v>
      </c>
      <c r="AY34" s="259"/>
      <c r="AZ34" s="260"/>
      <c r="BA34" s="260">
        <f t="shared" si="38"/>
        <v>0</v>
      </c>
      <c r="BB34" s="260">
        <f t="shared" si="41"/>
        <v>3301.492</v>
      </c>
      <c r="BC34" s="261"/>
      <c r="BD34" s="184"/>
      <c r="BE34" s="190">
        <f t="shared" si="39"/>
        <v>1770.4879999999994</v>
      </c>
      <c r="BF34" s="190">
        <f t="shared" si="40"/>
        <v>-415.5799999999999</v>
      </c>
    </row>
    <row r="35" spans="1:58" ht="13.5" thickBot="1">
      <c r="A35" s="148" t="s">
        <v>48</v>
      </c>
      <c r="B35" s="244">
        <v>634.4</v>
      </c>
      <c r="C35" s="245">
        <f t="shared" si="24"/>
        <v>5487.56</v>
      </c>
      <c r="D35" s="246">
        <f t="shared" si="25"/>
        <v>2937.0699999999993</v>
      </c>
      <c r="E35" s="247">
        <v>252.16</v>
      </c>
      <c r="F35" s="247">
        <v>42.31</v>
      </c>
      <c r="G35" s="247">
        <v>341.31</v>
      </c>
      <c r="H35" s="247">
        <v>57.35</v>
      </c>
      <c r="I35" s="247">
        <v>820.43</v>
      </c>
      <c r="J35" s="247">
        <v>137.71</v>
      </c>
      <c r="K35" s="247">
        <v>568.23</v>
      </c>
      <c r="L35" s="247">
        <v>95.42</v>
      </c>
      <c r="M35" s="248">
        <v>201.73</v>
      </c>
      <c r="N35" s="249">
        <v>33.84</v>
      </c>
      <c r="O35" s="250">
        <v>0</v>
      </c>
      <c r="P35" s="250">
        <v>0</v>
      </c>
      <c r="Q35" s="250">
        <v>0</v>
      </c>
      <c r="R35" s="250">
        <v>0</v>
      </c>
      <c r="S35" s="247">
        <f t="shared" si="26"/>
        <v>2183.86</v>
      </c>
      <c r="T35" s="251">
        <f t="shared" si="27"/>
        <v>366.63000000000005</v>
      </c>
      <c r="U35" s="247">
        <v>210.24</v>
      </c>
      <c r="V35" s="247">
        <v>284.51</v>
      </c>
      <c r="W35" s="247">
        <v>683.99</v>
      </c>
      <c r="X35" s="247">
        <v>473.69</v>
      </c>
      <c r="Y35" s="247">
        <v>168.18</v>
      </c>
      <c r="Z35" s="247">
        <v>0</v>
      </c>
      <c r="AA35" s="250">
        <v>0</v>
      </c>
      <c r="AB35" s="250">
        <f t="shared" si="42"/>
        <v>1820.6100000000001</v>
      </c>
      <c r="AC35" s="252">
        <f t="shared" si="28"/>
        <v>5124.3099999999995</v>
      </c>
      <c r="AD35" s="253">
        <f t="shared" si="29"/>
        <v>0</v>
      </c>
      <c r="AE35" s="253">
        <f t="shared" si="30"/>
        <v>0</v>
      </c>
      <c r="AF35" s="253"/>
      <c r="AG35" s="254">
        <f t="shared" si="31"/>
        <v>380.64</v>
      </c>
      <c r="AH35" s="254">
        <f t="shared" si="32"/>
        <v>126.88</v>
      </c>
      <c r="AI35" s="254">
        <f t="shared" si="33"/>
        <v>634.4</v>
      </c>
      <c r="AJ35" s="254">
        <v>0</v>
      </c>
      <c r="AK35" s="254">
        <f t="shared" si="34"/>
        <v>621.712</v>
      </c>
      <c r="AL35" s="254">
        <v>0</v>
      </c>
      <c r="AM35" s="254">
        <f t="shared" si="35"/>
        <v>1427.3999999999999</v>
      </c>
      <c r="AN35" s="254">
        <v>0</v>
      </c>
      <c r="AO35" s="254"/>
      <c r="AP35" s="254"/>
      <c r="AQ35" s="255"/>
      <c r="AR35" s="255"/>
      <c r="AS35" s="256">
        <v>7028</v>
      </c>
      <c r="AT35" s="256"/>
      <c r="AU35" s="256">
        <f t="shared" si="36"/>
        <v>0</v>
      </c>
      <c r="AV35" s="257">
        <v>233</v>
      </c>
      <c r="AW35" s="258">
        <v>0.3</v>
      </c>
      <c r="AX35" s="254">
        <f t="shared" si="37"/>
        <v>97.85999999999999</v>
      </c>
      <c r="AY35" s="259"/>
      <c r="AZ35" s="260"/>
      <c r="BA35" s="260">
        <f t="shared" si="38"/>
        <v>0</v>
      </c>
      <c r="BB35" s="260">
        <f t="shared" si="41"/>
        <v>10316.892</v>
      </c>
      <c r="BC35" s="261"/>
      <c r="BD35" s="213"/>
      <c r="BE35" s="190">
        <f t="shared" si="39"/>
        <v>-5192.582</v>
      </c>
      <c r="BF35" s="190">
        <f t="shared" si="40"/>
        <v>-363.25</v>
      </c>
    </row>
    <row r="36" spans="1:58" ht="12.75">
      <c r="A36" s="147" t="s">
        <v>49</v>
      </c>
      <c r="B36" s="244">
        <v>634.4</v>
      </c>
      <c r="C36" s="245">
        <f t="shared" si="24"/>
        <v>5487.56</v>
      </c>
      <c r="D36" s="246">
        <f t="shared" si="25"/>
        <v>2937.07</v>
      </c>
      <c r="E36" s="263">
        <v>294.47</v>
      </c>
      <c r="F36" s="247">
        <v>0</v>
      </c>
      <c r="G36" s="247">
        <v>398.66</v>
      </c>
      <c r="H36" s="247">
        <v>0</v>
      </c>
      <c r="I36" s="247">
        <v>958.14</v>
      </c>
      <c r="J36" s="247">
        <v>0</v>
      </c>
      <c r="K36" s="247">
        <v>663.65</v>
      </c>
      <c r="L36" s="247">
        <v>0</v>
      </c>
      <c r="M36" s="248">
        <v>235.57</v>
      </c>
      <c r="N36" s="249">
        <v>0</v>
      </c>
      <c r="O36" s="250">
        <v>0</v>
      </c>
      <c r="P36" s="250">
        <v>0</v>
      </c>
      <c r="Q36" s="250"/>
      <c r="R36" s="250"/>
      <c r="S36" s="247">
        <f t="shared" si="26"/>
        <v>2550.4900000000002</v>
      </c>
      <c r="T36" s="251">
        <f t="shared" si="27"/>
        <v>0</v>
      </c>
      <c r="U36" s="263">
        <v>274.4</v>
      </c>
      <c r="V36" s="247">
        <v>371.29</v>
      </c>
      <c r="W36" s="247">
        <v>892.76</v>
      </c>
      <c r="X36" s="247">
        <v>618.3</v>
      </c>
      <c r="Y36" s="247">
        <v>219.54</v>
      </c>
      <c r="Z36" s="247">
        <v>0</v>
      </c>
      <c r="AA36" s="250">
        <v>0</v>
      </c>
      <c r="AB36" s="250">
        <f t="shared" si="42"/>
        <v>2376.29</v>
      </c>
      <c r="AC36" s="252">
        <f t="shared" si="28"/>
        <v>5313.360000000001</v>
      </c>
      <c r="AD36" s="253">
        <f t="shared" si="29"/>
        <v>0</v>
      </c>
      <c r="AE36" s="253">
        <f t="shared" si="30"/>
        <v>0</v>
      </c>
      <c r="AF36" s="253"/>
      <c r="AG36" s="254">
        <f t="shared" si="31"/>
        <v>380.64</v>
      </c>
      <c r="AH36" s="254">
        <f t="shared" si="32"/>
        <v>126.88</v>
      </c>
      <c r="AI36" s="254">
        <f t="shared" si="33"/>
        <v>634.4</v>
      </c>
      <c r="AJ36" s="254">
        <v>0</v>
      </c>
      <c r="AK36" s="254">
        <f t="shared" si="34"/>
        <v>621.712</v>
      </c>
      <c r="AL36" s="254">
        <v>0</v>
      </c>
      <c r="AM36" s="254">
        <f t="shared" si="35"/>
        <v>1427.3999999999999</v>
      </c>
      <c r="AN36" s="254">
        <v>0</v>
      </c>
      <c r="AO36" s="254"/>
      <c r="AP36" s="254"/>
      <c r="AQ36" s="255"/>
      <c r="AR36" s="255"/>
      <c r="AS36" s="256"/>
      <c r="AT36" s="256"/>
      <c r="AU36" s="256">
        <f t="shared" si="36"/>
        <v>0</v>
      </c>
      <c r="AV36" s="257">
        <v>248</v>
      </c>
      <c r="AW36" s="258">
        <v>0.3</v>
      </c>
      <c r="AX36" s="254">
        <f t="shared" si="37"/>
        <v>104.15999999999998</v>
      </c>
      <c r="AY36" s="259"/>
      <c r="AZ36" s="260"/>
      <c r="BA36" s="260">
        <f t="shared" si="38"/>
        <v>0</v>
      </c>
      <c r="BB36" s="260">
        <f t="shared" si="41"/>
        <v>3295.192</v>
      </c>
      <c r="BC36" s="261"/>
      <c r="BD36" s="184"/>
      <c r="BE36" s="190">
        <f t="shared" si="39"/>
        <v>2018.1680000000006</v>
      </c>
      <c r="BF36" s="190">
        <f t="shared" si="40"/>
        <v>-174.20000000000027</v>
      </c>
    </row>
    <row r="37" spans="1:58" ht="12.75">
      <c r="A37" s="14" t="s">
        <v>50</v>
      </c>
      <c r="B37" s="244">
        <v>634.4</v>
      </c>
      <c r="C37" s="245">
        <f t="shared" si="24"/>
        <v>5487.56</v>
      </c>
      <c r="D37" s="246">
        <f t="shared" si="25"/>
        <v>2937.07</v>
      </c>
      <c r="E37" s="263">
        <v>294.47</v>
      </c>
      <c r="F37" s="247">
        <v>0</v>
      </c>
      <c r="G37" s="247">
        <v>398.66</v>
      </c>
      <c r="H37" s="247">
        <v>0</v>
      </c>
      <c r="I37" s="247">
        <v>958.14</v>
      </c>
      <c r="J37" s="247">
        <v>0</v>
      </c>
      <c r="K37" s="247">
        <v>663.65</v>
      </c>
      <c r="L37" s="247">
        <v>0</v>
      </c>
      <c r="M37" s="248">
        <v>235.57</v>
      </c>
      <c r="N37" s="249">
        <v>0</v>
      </c>
      <c r="O37" s="250">
        <v>0</v>
      </c>
      <c r="P37" s="250">
        <v>0</v>
      </c>
      <c r="Q37" s="250"/>
      <c r="R37" s="250"/>
      <c r="S37" s="247">
        <f t="shared" si="26"/>
        <v>2550.4900000000002</v>
      </c>
      <c r="T37" s="251">
        <f t="shared" si="27"/>
        <v>0</v>
      </c>
      <c r="U37" s="264">
        <v>168.29</v>
      </c>
      <c r="V37" s="264">
        <v>227.82</v>
      </c>
      <c r="W37" s="264">
        <v>547.52</v>
      </c>
      <c r="X37" s="264">
        <v>379.26</v>
      </c>
      <c r="Y37" s="264">
        <v>134.61</v>
      </c>
      <c r="Z37" s="264">
        <v>0</v>
      </c>
      <c r="AA37" s="265">
        <v>0</v>
      </c>
      <c r="AB37" s="250">
        <f t="shared" si="42"/>
        <v>1457.5</v>
      </c>
      <c r="AC37" s="252">
        <f t="shared" si="28"/>
        <v>4394.57</v>
      </c>
      <c r="AD37" s="253">
        <f t="shared" si="29"/>
        <v>0</v>
      </c>
      <c r="AE37" s="253">
        <f t="shared" si="30"/>
        <v>0</v>
      </c>
      <c r="AF37" s="253"/>
      <c r="AG37" s="254">
        <f t="shared" si="31"/>
        <v>380.64</v>
      </c>
      <c r="AH37" s="254">
        <f t="shared" si="32"/>
        <v>126.88</v>
      </c>
      <c r="AI37" s="254">
        <f t="shared" si="33"/>
        <v>634.4</v>
      </c>
      <c r="AJ37" s="254">
        <v>0</v>
      </c>
      <c r="AK37" s="254">
        <f t="shared" si="34"/>
        <v>621.712</v>
      </c>
      <c r="AL37" s="254">
        <v>0</v>
      </c>
      <c r="AM37" s="254">
        <f t="shared" si="35"/>
        <v>1427.3999999999999</v>
      </c>
      <c r="AN37" s="254">
        <v>0</v>
      </c>
      <c r="AO37" s="254"/>
      <c r="AP37" s="254"/>
      <c r="AQ37" s="255"/>
      <c r="AR37" s="255"/>
      <c r="AS37" s="256"/>
      <c r="AT37" s="256">
        <f>47.8</f>
        <v>47.8</v>
      </c>
      <c r="AU37" s="256">
        <f t="shared" si="36"/>
        <v>8.604</v>
      </c>
      <c r="AV37" s="257">
        <v>293</v>
      </c>
      <c r="AW37" s="258">
        <v>0.3</v>
      </c>
      <c r="AX37" s="254">
        <f t="shared" si="37"/>
        <v>123.05999999999997</v>
      </c>
      <c r="AY37" s="259"/>
      <c r="AZ37" s="260"/>
      <c r="BA37" s="260">
        <f t="shared" si="38"/>
        <v>0</v>
      </c>
      <c r="BB37" s="260">
        <f t="shared" si="41"/>
        <v>3370.496</v>
      </c>
      <c r="BC37" s="261"/>
      <c r="BD37" s="184"/>
      <c r="BE37" s="190">
        <f t="shared" si="39"/>
        <v>1024.0739999999996</v>
      </c>
      <c r="BF37" s="190">
        <f t="shared" si="40"/>
        <v>-1092.9900000000002</v>
      </c>
    </row>
    <row r="38" spans="1:58" ht="13.5" thickBot="1">
      <c r="A38" s="148" t="s">
        <v>51</v>
      </c>
      <c r="B38" s="244">
        <v>634.4</v>
      </c>
      <c r="C38" s="245">
        <f t="shared" si="24"/>
        <v>5487.56</v>
      </c>
      <c r="D38" s="246">
        <f t="shared" si="25"/>
        <v>2937.07</v>
      </c>
      <c r="E38" s="247">
        <v>294.47</v>
      </c>
      <c r="F38" s="247">
        <v>0</v>
      </c>
      <c r="G38" s="247">
        <v>398.66</v>
      </c>
      <c r="H38" s="247">
        <v>0</v>
      </c>
      <c r="I38" s="247">
        <v>958.14</v>
      </c>
      <c r="J38" s="247">
        <v>0</v>
      </c>
      <c r="K38" s="247">
        <v>663.65</v>
      </c>
      <c r="L38" s="247">
        <v>0</v>
      </c>
      <c r="M38" s="248">
        <v>235.57</v>
      </c>
      <c r="N38" s="249">
        <v>0</v>
      </c>
      <c r="O38" s="250">
        <v>0</v>
      </c>
      <c r="P38" s="250">
        <v>0</v>
      </c>
      <c r="Q38" s="250"/>
      <c r="R38" s="250"/>
      <c r="S38" s="247">
        <f t="shared" si="26"/>
        <v>2550.4900000000002</v>
      </c>
      <c r="T38" s="251">
        <f t="shared" si="27"/>
        <v>0</v>
      </c>
      <c r="U38" s="247">
        <v>241.93</v>
      </c>
      <c r="V38" s="247">
        <v>327.67</v>
      </c>
      <c r="W38" s="247">
        <v>787.37</v>
      </c>
      <c r="X38" s="247">
        <v>545.42</v>
      </c>
      <c r="Y38" s="247">
        <v>193.52</v>
      </c>
      <c r="Z38" s="247">
        <v>0</v>
      </c>
      <c r="AA38" s="250">
        <v>0</v>
      </c>
      <c r="AB38" s="250">
        <f t="shared" si="42"/>
        <v>2095.91</v>
      </c>
      <c r="AC38" s="252">
        <f t="shared" si="28"/>
        <v>5032.98</v>
      </c>
      <c r="AD38" s="253">
        <f t="shared" si="29"/>
        <v>0</v>
      </c>
      <c r="AE38" s="253">
        <f t="shared" si="30"/>
        <v>0</v>
      </c>
      <c r="AF38" s="253"/>
      <c r="AG38" s="254">
        <f t="shared" si="31"/>
        <v>380.64</v>
      </c>
      <c r="AH38" s="254">
        <f t="shared" si="32"/>
        <v>126.88</v>
      </c>
      <c r="AI38" s="254">
        <f t="shared" si="33"/>
        <v>634.4</v>
      </c>
      <c r="AJ38" s="254">
        <v>0</v>
      </c>
      <c r="AK38" s="254">
        <f t="shared" si="34"/>
        <v>621.712</v>
      </c>
      <c r="AL38" s="254">
        <v>0</v>
      </c>
      <c r="AM38" s="254">
        <f t="shared" si="35"/>
        <v>1427.3999999999999</v>
      </c>
      <c r="AN38" s="254">
        <v>0</v>
      </c>
      <c r="AO38" s="254"/>
      <c r="AP38" s="254"/>
      <c r="AQ38" s="255"/>
      <c r="AR38" s="255"/>
      <c r="AS38" s="256"/>
      <c r="AT38" s="256"/>
      <c r="AU38" s="266">
        <f t="shared" si="36"/>
        <v>0</v>
      </c>
      <c r="AV38" s="257">
        <v>349</v>
      </c>
      <c r="AW38" s="258">
        <v>0.3</v>
      </c>
      <c r="AX38" s="254">
        <f t="shared" si="37"/>
        <v>146.57999999999998</v>
      </c>
      <c r="AY38" s="259"/>
      <c r="AZ38" s="260"/>
      <c r="BA38" s="260">
        <f t="shared" si="38"/>
        <v>0</v>
      </c>
      <c r="BB38" s="260">
        <f t="shared" si="41"/>
        <v>3337.612</v>
      </c>
      <c r="BC38" s="261"/>
      <c r="BD38" s="213"/>
      <c r="BE38" s="190">
        <f t="shared" si="39"/>
        <v>1695.3679999999995</v>
      </c>
      <c r="BF38" s="190">
        <f t="shared" si="40"/>
        <v>-454.5800000000004</v>
      </c>
    </row>
    <row r="39" spans="1:58" ht="12.75">
      <c r="A39" s="234" t="s">
        <v>39</v>
      </c>
      <c r="B39" s="244">
        <v>634.4</v>
      </c>
      <c r="C39" s="245">
        <f t="shared" si="24"/>
        <v>5487.56</v>
      </c>
      <c r="D39" s="246">
        <f t="shared" si="25"/>
        <v>2937.07</v>
      </c>
      <c r="E39" s="267">
        <v>294.47</v>
      </c>
      <c r="F39" s="267">
        <v>0</v>
      </c>
      <c r="G39" s="267">
        <v>398.66</v>
      </c>
      <c r="H39" s="267">
        <v>0</v>
      </c>
      <c r="I39" s="267">
        <v>958.14</v>
      </c>
      <c r="J39" s="267">
        <v>0</v>
      </c>
      <c r="K39" s="267">
        <v>663.65</v>
      </c>
      <c r="L39" s="267">
        <v>0</v>
      </c>
      <c r="M39" s="268">
        <v>235.57</v>
      </c>
      <c r="N39" s="269">
        <v>0</v>
      </c>
      <c r="O39" s="270">
        <v>0</v>
      </c>
      <c r="P39" s="270">
        <v>0</v>
      </c>
      <c r="Q39" s="270"/>
      <c r="R39" s="270"/>
      <c r="S39" s="247">
        <f t="shared" si="26"/>
        <v>2550.4900000000002</v>
      </c>
      <c r="T39" s="251">
        <f t="shared" si="27"/>
        <v>0</v>
      </c>
      <c r="U39" s="247">
        <v>233.82</v>
      </c>
      <c r="V39" s="247">
        <v>316.55</v>
      </c>
      <c r="W39" s="247">
        <v>760.78</v>
      </c>
      <c r="X39" s="247">
        <v>526.97</v>
      </c>
      <c r="Y39" s="247">
        <v>187.05</v>
      </c>
      <c r="Z39" s="247">
        <v>0</v>
      </c>
      <c r="AA39" s="250">
        <v>0</v>
      </c>
      <c r="AB39" s="250">
        <f t="shared" si="42"/>
        <v>2025.17</v>
      </c>
      <c r="AC39" s="252">
        <f t="shared" si="28"/>
        <v>4962.24</v>
      </c>
      <c r="AD39" s="253">
        <f t="shared" si="29"/>
        <v>0</v>
      </c>
      <c r="AE39" s="253">
        <f t="shared" si="30"/>
        <v>0</v>
      </c>
      <c r="AF39" s="253"/>
      <c r="AG39" s="254">
        <f t="shared" si="31"/>
        <v>380.64</v>
      </c>
      <c r="AH39" s="254">
        <f t="shared" si="32"/>
        <v>126.88</v>
      </c>
      <c r="AI39" s="254">
        <f t="shared" si="33"/>
        <v>634.4</v>
      </c>
      <c r="AJ39" s="254">
        <v>0</v>
      </c>
      <c r="AK39" s="254">
        <f t="shared" si="34"/>
        <v>621.712</v>
      </c>
      <c r="AL39" s="254">
        <v>0</v>
      </c>
      <c r="AM39" s="254">
        <f t="shared" si="35"/>
        <v>1427.3999999999999</v>
      </c>
      <c r="AN39" s="254">
        <v>0</v>
      </c>
      <c r="AO39" s="254"/>
      <c r="AP39" s="254"/>
      <c r="AQ39" s="255"/>
      <c r="AR39" s="255"/>
      <c r="AS39" s="256">
        <v>3828</v>
      </c>
      <c r="AT39" s="256"/>
      <c r="AU39" s="256">
        <f t="shared" si="36"/>
        <v>0</v>
      </c>
      <c r="AV39" s="257">
        <v>425</v>
      </c>
      <c r="AW39" s="258">
        <v>0.3</v>
      </c>
      <c r="AX39" s="254">
        <f t="shared" si="37"/>
        <v>178.5</v>
      </c>
      <c r="AY39" s="259"/>
      <c r="AZ39" s="260"/>
      <c r="BA39" s="260">
        <f t="shared" si="38"/>
        <v>0</v>
      </c>
      <c r="BB39" s="260">
        <f t="shared" si="41"/>
        <v>7197.532</v>
      </c>
      <c r="BC39" s="261"/>
      <c r="BD39" s="238"/>
      <c r="BE39" s="190">
        <f t="shared" si="39"/>
        <v>-2235.2920000000004</v>
      </c>
      <c r="BF39" s="190">
        <f t="shared" si="40"/>
        <v>-525.3200000000002</v>
      </c>
    </row>
    <row r="40" spans="1:58" ht="12.75">
      <c r="A40" s="14" t="s">
        <v>40</v>
      </c>
      <c r="B40" s="244">
        <v>634.4</v>
      </c>
      <c r="C40" s="245">
        <f t="shared" si="24"/>
        <v>5487.56</v>
      </c>
      <c r="D40" s="246">
        <f t="shared" si="25"/>
        <v>2937.07</v>
      </c>
      <c r="E40" s="247">
        <v>294.47</v>
      </c>
      <c r="F40" s="247">
        <v>0</v>
      </c>
      <c r="G40" s="247">
        <v>398.66</v>
      </c>
      <c r="H40" s="247">
        <v>0</v>
      </c>
      <c r="I40" s="247">
        <v>958.14</v>
      </c>
      <c r="J40" s="247">
        <v>0</v>
      </c>
      <c r="K40" s="247">
        <v>663.65</v>
      </c>
      <c r="L40" s="247">
        <v>0</v>
      </c>
      <c r="M40" s="248">
        <v>235.57</v>
      </c>
      <c r="N40" s="249">
        <v>0</v>
      </c>
      <c r="O40" s="250">
        <v>0</v>
      </c>
      <c r="P40" s="250">
        <v>0</v>
      </c>
      <c r="Q40" s="250"/>
      <c r="R40" s="250"/>
      <c r="S40" s="247">
        <f t="shared" si="26"/>
        <v>2550.4900000000002</v>
      </c>
      <c r="T40" s="251">
        <f t="shared" si="27"/>
        <v>0</v>
      </c>
      <c r="U40" s="263">
        <v>238.12</v>
      </c>
      <c r="V40" s="247">
        <v>322.53</v>
      </c>
      <c r="W40" s="247">
        <v>774.97</v>
      </c>
      <c r="X40" s="247">
        <v>536.8</v>
      </c>
      <c r="Y40" s="247">
        <v>190.51</v>
      </c>
      <c r="Z40" s="247">
        <v>0</v>
      </c>
      <c r="AA40" s="250">
        <v>0</v>
      </c>
      <c r="AB40" s="250">
        <f t="shared" si="42"/>
        <v>2062.93</v>
      </c>
      <c r="AC40" s="252">
        <f t="shared" si="28"/>
        <v>5000</v>
      </c>
      <c r="AD40" s="253">
        <f t="shared" si="29"/>
        <v>0</v>
      </c>
      <c r="AE40" s="253">
        <f t="shared" si="30"/>
        <v>0</v>
      </c>
      <c r="AF40" s="253"/>
      <c r="AG40" s="254">
        <f t="shared" si="31"/>
        <v>380.64</v>
      </c>
      <c r="AH40" s="254">
        <f t="shared" si="32"/>
        <v>126.88</v>
      </c>
      <c r="AI40" s="254">
        <f t="shared" si="33"/>
        <v>634.4</v>
      </c>
      <c r="AJ40" s="254">
        <v>0</v>
      </c>
      <c r="AK40" s="254">
        <f t="shared" si="34"/>
        <v>621.712</v>
      </c>
      <c r="AL40" s="254">
        <v>0</v>
      </c>
      <c r="AM40" s="254">
        <f t="shared" si="35"/>
        <v>1427.3999999999999</v>
      </c>
      <c r="AN40" s="254">
        <v>0</v>
      </c>
      <c r="AO40" s="254"/>
      <c r="AP40" s="254"/>
      <c r="AQ40" s="255"/>
      <c r="AR40" s="255"/>
      <c r="AS40" s="256">
        <v>1998</v>
      </c>
      <c r="AT40" s="256"/>
      <c r="AU40" s="256">
        <f t="shared" si="36"/>
        <v>0</v>
      </c>
      <c r="AV40" s="257">
        <v>470</v>
      </c>
      <c r="AW40" s="258">
        <v>0.3</v>
      </c>
      <c r="AX40" s="254">
        <f t="shared" si="37"/>
        <v>197.39999999999998</v>
      </c>
      <c r="AY40" s="259"/>
      <c r="AZ40" s="260"/>
      <c r="BA40" s="260">
        <f t="shared" si="38"/>
        <v>0</v>
      </c>
      <c r="BB40" s="260">
        <f t="shared" si="41"/>
        <v>5386.432</v>
      </c>
      <c r="BC40" s="261"/>
      <c r="BD40" s="239"/>
      <c r="BE40" s="190">
        <f t="shared" si="39"/>
        <v>-386.4319999999998</v>
      </c>
      <c r="BF40" s="190">
        <f t="shared" si="40"/>
        <v>-487.5600000000004</v>
      </c>
    </row>
    <row r="41" spans="1:58" s="132" customFormat="1" ht="12.75">
      <c r="A41" s="133" t="s">
        <v>41</v>
      </c>
      <c r="B41" s="244">
        <v>634.4</v>
      </c>
      <c r="C41" s="245">
        <f t="shared" si="24"/>
        <v>5487.56</v>
      </c>
      <c r="D41" s="246">
        <f t="shared" si="25"/>
        <v>2937.0900000000006</v>
      </c>
      <c r="E41" s="247">
        <v>294.46</v>
      </c>
      <c r="F41" s="247">
        <v>0</v>
      </c>
      <c r="G41" s="247">
        <v>398.65</v>
      </c>
      <c r="H41" s="247">
        <v>0</v>
      </c>
      <c r="I41" s="247">
        <v>958.14</v>
      </c>
      <c r="J41" s="247">
        <v>0</v>
      </c>
      <c r="K41" s="247">
        <v>663.65</v>
      </c>
      <c r="L41" s="247">
        <v>0</v>
      </c>
      <c r="M41" s="248">
        <v>235.57</v>
      </c>
      <c r="N41" s="249">
        <v>0</v>
      </c>
      <c r="O41" s="250">
        <v>0</v>
      </c>
      <c r="P41" s="250">
        <v>0</v>
      </c>
      <c r="Q41" s="250"/>
      <c r="R41" s="250"/>
      <c r="S41" s="247">
        <f t="shared" si="26"/>
        <v>2550.4700000000003</v>
      </c>
      <c r="T41" s="251">
        <f t="shared" si="27"/>
        <v>0</v>
      </c>
      <c r="U41" s="247">
        <v>306.84</v>
      </c>
      <c r="V41" s="247">
        <v>415.59</v>
      </c>
      <c r="W41" s="247">
        <v>2561.42</v>
      </c>
      <c r="X41" s="247">
        <v>693.12</v>
      </c>
      <c r="Y41" s="247">
        <v>245.96</v>
      </c>
      <c r="Z41" s="247">
        <v>0</v>
      </c>
      <c r="AA41" s="250">
        <v>0</v>
      </c>
      <c r="AB41" s="250">
        <f t="shared" si="42"/>
        <v>4222.929999999999</v>
      </c>
      <c r="AC41" s="252">
        <f t="shared" si="28"/>
        <v>7160.02</v>
      </c>
      <c r="AD41" s="253">
        <f t="shared" si="29"/>
        <v>0</v>
      </c>
      <c r="AE41" s="253">
        <f t="shared" si="30"/>
        <v>0</v>
      </c>
      <c r="AF41" s="253"/>
      <c r="AG41" s="254">
        <f t="shared" si="31"/>
        <v>380.64</v>
      </c>
      <c r="AH41" s="254">
        <f t="shared" si="32"/>
        <v>126.88</v>
      </c>
      <c r="AI41" s="254">
        <f t="shared" si="33"/>
        <v>634.4</v>
      </c>
      <c r="AJ41" s="254">
        <v>0</v>
      </c>
      <c r="AK41" s="254">
        <f t="shared" si="34"/>
        <v>621.712</v>
      </c>
      <c r="AL41" s="254">
        <v>0</v>
      </c>
      <c r="AM41" s="254">
        <f t="shared" si="35"/>
        <v>1427.3999999999999</v>
      </c>
      <c r="AN41" s="254">
        <v>0</v>
      </c>
      <c r="AO41" s="254"/>
      <c r="AP41" s="254"/>
      <c r="AQ41" s="255"/>
      <c r="AR41" s="255"/>
      <c r="AS41" s="256"/>
      <c r="AT41" s="256"/>
      <c r="AU41" s="256">
        <f>0*0.18</f>
        <v>0</v>
      </c>
      <c r="AV41" s="257">
        <v>514</v>
      </c>
      <c r="AW41" s="258">
        <v>0.3</v>
      </c>
      <c r="AX41" s="254">
        <f t="shared" si="37"/>
        <v>215.87999999999997</v>
      </c>
      <c r="AY41" s="259"/>
      <c r="AZ41" s="260"/>
      <c r="BA41" s="260">
        <f t="shared" si="38"/>
        <v>0</v>
      </c>
      <c r="BB41" s="260">
        <f t="shared" si="41"/>
        <v>3406.9120000000003</v>
      </c>
      <c r="BC41" s="261"/>
      <c r="BD41" s="182"/>
      <c r="BE41" s="190">
        <f t="shared" si="39"/>
        <v>3753.108</v>
      </c>
      <c r="BF41" s="190">
        <f t="shared" si="40"/>
        <v>1672.4599999999991</v>
      </c>
    </row>
    <row r="42" spans="1:58" s="23" customFormat="1" ht="12.75">
      <c r="A42" s="18" t="s">
        <v>3</v>
      </c>
      <c r="B42" s="19"/>
      <c r="C42" s="19">
        <f>SUM(C30:C41)</f>
        <v>65765.94999999998</v>
      </c>
      <c r="D42" s="19">
        <f aca="true" t="shared" si="43" ref="D42:BF42">SUM(D30:D41)</f>
        <v>35201.469999999994</v>
      </c>
      <c r="E42" s="19">
        <f t="shared" si="43"/>
        <v>3275.010000000001</v>
      </c>
      <c r="F42" s="19">
        <f t="shared" si="43"/>
        <v>253.86</v>
      </c>
      <c r="G42" s="19">
        <f t="shared" si="43"/>
        <v>4433.289999999999</v>
      </c>
      <c r="H42" s="19">
        <f t="shared" si="43"/>
        <v>344.1</v>
      </c>
      <c r="I42" s="19">
        <f t="shared" si="43"/>
        <v>10655.859999999999</v>
      </c>
      <c r="J42" s="19">
        <f t="shared" si="43"/>
        <v>826.2600000000001</v>
      </c>
      <c r="K42" s="19">
        <f t="shared" si="43"/>
        <v>7380.579999999998</v>
      </c>
      <c r="L42" s="19">
        <f t="shared" si="43"/>
        <v>572.52</v>
      </c>
      <c r="M42" s="19">
        <f t="shared" si="43"/>
        <v>2619.96</v>
      </c>
      <c r="N42" s="19">
        <f t="shared" si="43"/>
        <v>203.04000000000002</v>
      </c>
      <c r="O42" s="19">
        <f t="shared" si="43"/>
        <v>0</v>
      </c>
      <c r="P42" s="19">
        <f t="shared" si="43"/>
        <v>0</v>
      </c>
      <c r="Q42" s="19">
        <f t="shared" si="43"/>
        <v>0</v>
      </c>
      <c r="R42" s="19">
        <f t="shared" si="43"/>
        <v>0</v>
      </c>
      <c r="S42" s="19">
        <f t="shared" si="43"/>
        <v>28364.700000000008</v>
      </c>
      <c r="T42" s="19">
        <f t="shared" si="43"/>
        <v>2199.78</v>
      </c>
      <c r="U42" s="19">
        <f t="shared" si="43"/>
        <v>2969.62</v>
      </c>
      <c r="V42" s="19">
        <f t="shared" si="43"/>
        <v>4017.500000000001</v>
      </c>
      <c r="W42" s="19">
        <f t="shared" si="43"/>
        <v>11221.919999999998</v>
      </c>
      <c r="X42" s="19">
        <f t="shared" si="43"/>
        <v>6691.170000000001</v>
      </c>
      <c r="Y42" s="19">
        <f t="shared" si="43"/>
        <v>2375.72</v>
      </c>
      <c r="Z42" s="19">
        <f t="shared" si="43"/>
        <v>0</v>
      </c>
      <c r="AA42" s="19">
        <f t="shared" si="43"/>
        <v>0</v>
      </c>
      <c r="AB42" s="19">
        <f t="shared" si="43"/>
        <v>27275.93</v>
      </c>
      <c r="AC42" s="19">
        <f t="shared" si="43"/>
        <v>64677.17999999999</v>
      </c>
      <c r="AD42" s="19">
        <f t="shared" si="43"/>
        <v>0</v>
      </c>
      <c r="AE42" s="19">
        <f t="shared" si="43"/>
        <v>0</v>
      </c>
      <c r="AF42" s="19">
        <f t="shared" si="43"/>
        <v>0</v>
      </c>
      <c r="AG42" s="19">
        <f t="shared" si="43"/>
        <v>4561.8</v>
      </c>
      <c r="AH42" s="19">
        <f t="shared" si="43"/>
        <v>1520.6000000000004</v>
      </c>
      <c r="AI42" s="19">
        <f t="shared" si="43"/>
        <v>7602.999999999998</v>
      </c>
      <c r="AJ42" s="19">
        <f t="shared" si="43"/>
        <v>0</v>
      </c>
      <c r="AK42" s="19">
        <f t="shared" si="43"/>
        <v>7450.939999999999</v>
      </c>
      <c r="AL42" s="19">
        <f t="shared" si="43"/>
        <v>0</v>
      </c>
      <c r="AM42" s="19">
        <f t="shared" si="43"/>
        <v>17106.75</v>
      </c>
      <c r="AN42" s="19">
        <f t="shared" si="43"/>
        <v>0</v>
      </c>
      <c r="AO42" s="19">
        <f t="shared" si="43"/>
        <v>0</v>
      </c>
      <c r="AP42" s="19">
        <f t="shared" si="43"/>
        <v>0</v>
      </c>
      <c r="AQ42" s="162">
        <f t="shared" si="43"/>
        <v>0</v>
      </c>
      <c r="AR42" s="162">
        <f t="shared" si="43"/>
        <v>0</v>
      </c>
      <c r="AS42" s="20">
        <f t="shared" si="43"/>
        <v>13692</v>
      </c>
      <c r="AT42" s="20">
        <f t="shared" si="43"/>
        <v>47.8</v>
      </c>
      <c r="AU42" s="20">
        <f t="shared" si="43"/>
        <v>8.604</v>
      </c>
      <c r="AV42" s="19">
        <f t="shared" si="43"/>
        <v>4400</v>
      </c>
      <c r="AW42" s="19">
        <f t="shared" si="43"/>
        <v>3.599999999999999</v>
      </c>
      <c r="AX42" s="19">
        <f t="shared" si="43"/>
        <v>1847.9999999999998</v>
      </c>
      <c r="AY42" s="19">
        <f t="shared" si="43"/>
        <v>0</v>
      </c>
      <c r="AZ42" s="19">
        <f t="shared" si="43"/>
        <v>0</v>
      </c>
      <c r="BA42" s="19">
        <f t="shared" si="43"/>
        <v>0</v>
      </c>
      <c r="BB42" s="19">
        <f t="shared" si="43"/>
        <v>53839.494000000006</v>
      </c>
      <c r="BC42" s="19">
        <f t="shared" si="43"/>
        <v>0</v>
      </c>
      <c r="BD42" s="19">
        <f t="shared" si="43"/>
        <v>0</v>
      </c>
      <c r="BE42" s="19">
        <f t="shared" si="43"/>
        <v>10837.685999999992</v>
      </c>
      <c r="BF42" s="158">
        <f t="shared" si="43"/>
        <v>-1088.7700000000032</v>
      </c>
    </row>
    <row r="43" spans="1:58" s="23" customFormat="1" ht="12.75">
      <c r="A43" s="18"/>
      <c r="B43" s="19"/>
      <c r="C43" s="19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21"/>
      <c r="W43" s="21"/>
      <c r="X43" s="21"/>
      <c r="Y43" s="21"/>
      <c r="Z43" s="21"/>
      <c r="AA43" s="21"/>
      <c r="AB43" s="21"/>
      <c r="AC43" s="21"/>
      <c r="AD43" s="97"/>
      <c r="AE43" s="97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73"/>
      <c r="AQ43" s="163"/>
      <c r="AR43" s="163"/>
      <c r="AS43" s="73"/>
      <c r="AT43" s="73"/>
      <c r="AU43" s="73"/>
      <c r="AV43" s="22"/>
      <c r="AW43" s="22"/>
      <c r="AX43" s="80"/>
      <c r="AY43" s="51"/>
      <c r="AZ43" s="51"/>
      <c r="BA43" s="51"/>
      <c r="BB43" s="51"/>
      <c r="BC43" s="51"/>
      <c r="BD43" s="51"/>
      <c r="BE43" s="51"/>
      <c r="BF43" s="159"/>
    </row>
    <row r="44" spans="1:58" s="23" customFormat="1" ht="13.5" thickBot="1">
      <c r="A44" s="25" t="s">
        <v>52</v>
      </c>
      <c r="B44" s="26"/>
      <c r="C44" s="26">
        <f>C28+C42</f>
        <v>147741.99999999997</v>
      </c>
      <c r="D44" s="26">
        <f aca="true" t="shared" si="44" ref="D44:AI44">D28+D42</f>
        <v>65309.48669769999</v>
      </c>
      <c r="E44" s="26">
        <f t="shared" si="44"/>
        <v>6806.9000000000015</v>
      </c>
      <c r="F44" s="26">
        <f t="shared" si="44"/>
        <v>856.32</v>
      </c>
      <c r="G44" s="26">
        <f t="shared" si="44"/>
        <v>9157.16</v>
      </c>
      <c r="H44" s="26">
        <f t="shared" si="44"/>
        <v>1159.3300000000002</v>
      </c>
      <c r="I44" s="26">
        <f t="shared" si="44"/>
        <v>23577.61</v>
      </c>
      <c r="J44" s="26">
        <f t="shared" si="44"/>
        <v>2785.9100000000003</v>
      </c>
      <c r="K44" s="26">
        <f t="shared" si="44"/>
        <v>15334.39</v>
      </c>
      <c r="L44" s="26">
        <f t="shared" si="44"/>
        <v>1929.8799999999997</v>
      </c>
      <c r="M44" s="26">
        <f t="shared" si="44"/>
        <v>5445.48</v>
      </c>
      <c r="N44" s="26">
        <f t="shared" si="44"/>
        <v>684.94</v>
      </c>
      <c r="O44" s="26">
        <f t="shared" si="44"/>
        <v>0</v>
      </c>
      <c r="P44" s="26">
        <f t="shared" si="44"/>
        <v>0</v>
      </c>
      <c r="Q44" s="26">
        <f t="shared" si="44"/>
        <v>0</v>
      </c>
      <c r="R44" s="26">
        <f t="shared" si="44"/>
        <v>0</v>
      </c>
      <c r="S44" s="26">
        <f t="shared" si="44"/>
        <v>60321.54000000001</v>
      </c>
      <c r="T44" s="26">
        <f t="shared" si="44"/>
        <v>7416.380000000001</v>
      </c>
      <c r="U44" s="26">
        <f t="shared" si="44"/>
        <v>6203.42</v>
      </c>
      <c r="V44" s="26">
        <f t="shared" si="44"/>
        <v>8388.400000000001</v>
      </c>
      <c r="W44" s="26">
        <f t="shared" si="44"/>
        <v>23172.969999999994</v>
      </c>
      <c r="X44" s="26">
        <f t="shared" si="44"/>
        <v>13972.390000000003</v>
      </c>
      <c r="Y44" s="26">
        <f t="shared" si="44"/>
        <v>4962.63</v>
      </c>
      <c r="Z44" s="26">
        <f t="shared" si="44"/>
        <v>0</v>
      </c>
      <c r="AA44" s="26">
        <f t="shared" si="44"/>
        <v>0</v>
      </c>
      <c r="AB44" s="26">
        <f t="shared" si="44"/>
        <v>56699.81</v>
      </c>
      <c r="AC44" s="26">
        <f t="shared" si="44"/>
        <v>129425.6766977</v>
      </c>
      <c r="AD44" s="26">
        <f t="shared" si="44"/>
        <v>0</v>
      </c>
      <c r="AE44" s="26">
        <f t="shared" si="44"/>
        <v>0</v>
      </c>
      <c r="AF44" s="26">
        <f t="shared" si="44"/>
        <v>0</v>
      </c>
      <c r="AG44" s="26">
        <f t="shared" si="44"/>
        <v>10096.367999999999</v>
      </c>
      <c r="AH44" s="26">
        <f t="shared" si="44"/>
        <v>3383.0908016000003</v>
      </c>
      <c r="AI44" s="26">
        <f t="shared" si="44"/>
        <v>15363.523134499997</v>
      </c>
      <c r="AJ44" s="26">
        <f aca="true" t="shared" si="45" ref="AJ44:BF44">AJ28+AJ42</f>
        <v>1396.8941642099999</v>
      </c>
      <c r="AK44" s="26">
        <f t="shared" si="45"/>
        <v>15303.360754099998</v>
      </c>
      <c r="AL44" s="26">
        <f t="shared" si="45"/>
        <v>1413.4357357379995</v>
      </c>
      <c r="AM44" s="26">
        <f t="shared" si="45"/>
        <v>34302.81954657051</v>
      </c>
      <c r="AN44" s="26">
        <f t="shared" si="45"/>
        <v>3095.292518382691</v>
      </c>
      <c r="AO44" s="26">
        <f t="shared" si="45"/>
        <v>0</v>
      </c>
      <c r="AP44" s="26">
        <f t="shared" si="45"/>
        <v>0</v>
      </c>
      <c r="AQ44" s="166">
        <f t="shared" si="45"/>
        <v>0</v>
      </c>
      <c r="AR44" s="166">
        <f t="shared" si="45"/>
        <v>0</v>
      </c>
      <c r="AS44" s="165">
        <f t="shared" si="45"/>
        <v>27601.21</v>
      </c>
      <c r="AT44" s="165">
        <f t="shared" si="45"/>
        <v>511.36</v>
      </c>
      <c r="AU44" s="165">
        <f t="shared" si="45"/>
        <v>2595.7125999999994</v>
      </c>
      <c r="AV44" s="26">
        <f t="shared" si="45"/>
        <v>8800</v>
      </c>
      <c r="AW44" s="26">
        <f t="shared" si="45"/>
        <v>7.199999999999998</v>
      </c>
      <c r="AX44" s="26">
        <f t="shared" si="45"/>
        <v>3592.5119999999997</v>
      </c>
      <c r="AY44" s="26">
        <f t="shared" si="45"/>
        <v>0</v>
      </c>
      <c r="AZ44" s="26">
        <f t="shared" si="45"/>
        <v>0</v>
      </c>
      <c r="BA44" s="26">
        <f t="shared" si="45"/>
        <v>0</v>
      </c>
      <c r="BB44" s="26">
        <f t="shared" si="45"/>
        <v>118655.57925510121</v>
      </c>
      <c r="BC44" s="26">
        <f t="shared" si="45"/>
        <v>0</v>
      </c>
      <c r="BD44" s="26">
        <f t="shared" si="45"/>
        <v>64816.0852551012</v>
      </c>
      <c r="BE44" s="26">
        <f t="shared" si="45"/>
        <v>10770.097442598788</v>
      </c>
      <c r="BF44" s="26">
        <f t="shared" si="45"/>
        <v>-3621.730000000005</v>
      </c>
    </row>
  </sheetData>
  <sheetProtection/>
  <mergeCells count="67">
    <mergeCell ref="AS5:AS6"/>
    <mergeCell ref="AT5:AT6"/>
    <mergeCell ref="AM5:AM6"/>
    <mergeCell ref="AN5:AN6"/>
    <mergeCell ref="AO5:AO6"/>
    <mergeCell ref="AP5:AP6"/>
    <mergeCell ref="AR5:AR6"/>
    <mergeCell ref="Z5:Z6"/>
    <mergeCell ref="X5:X6"/>
    <mergeCell ref="Y5:Y6"/>
    <mergeCell ref="T5:T6"/>
    <mergeCell ref="U5:U6"/>
    <mergeCell ref="V5:V6"/>
    <mergeCell ref="W5:W6"/>
    <mergeCell ref="E5:E6"/>
    <mergeCell ref="F5:F6"/>
    <mergeCell ref="G5:G6"/>
    <mergeCell ref="H5:H6"/>
    <mergeCell ref="S5:S6"/>
    <mergeCell ref="BE3:BE6"/>
    <mergeCell ref="BC4:BC6"/>
    <mergeCell ref="AF3:AF6"/>
    <mergeCell ref="U3:AB4"/>
    <mergeCell ref="AI5:AI6"/>
    <mergeCell ref="AJ5:AJ6"/>
    <mergeCell ref="AK5:AK6"/>
    <mergeCell ref="AL5:AL6"/>
    <mergeCell ref="AG5:AG6"/>
    <mergeCell ref="AH5:AH6"/>
    <mergeCell ref="AA5:AA6"/>
    <mergeCell ref="AB5:AB6"/>
    <mergeCell ref="AE3:AE6"/>
    <mergeCell ref="AD3:AD6"/>
    <mergeCell ref="S3:T4"/>
    <mergeCell ref="E3:F4"/>
    <mergeCell ref="G3:H4"/>
    <mergeCell ref="I3:J4"/>
    <mergeCell ref="K3:L4"/>
    <mergeCell ref="A1:N1"/>
    <mergeCell ref="A3:A6"/>
    <mergeCell ref="B3:B6"/>
    <mergeCell ref="C3:C6"/>
    <mergeCell ref="D3:D6"/>
    <mergeCell ref="I5:I6"/>
    <mergeCell ref="J5:J6"/>
    <mergeCell ref="K5:K6"/>
    <mergeCell ref="L5:L6"/>
    <mergeCell ref="M3:N4"/>
    <mergeCell ref="O3:P4"/>
    <mergeCell ref="Q3:R4"/>
    <mergeCell ref="AC3:AC6"/>
    <mergeCell ref="M5:M6"/>
    <mergeCell ref="N5:N6"/>
    <mergeCell ref="O5:O6"/>
    <mergeCell ref="P5:P6"/>
    <mergeCell ref="Q5:Q6"/>
    <mergeCell ref="R5:R6"/>
    <mergeCell ref="BF3:BF6"/>
    <mergeCell ref="BD4:BD6"/>
    <mergeCell ref="BC3:BD3"/>
    <mergeCell ref="AV5:AX5"/>
    <mergeCell ref="AY5:AY6"/>
    <mergeCell ref="AZ5:AZ6"/>
    <mergeCell ref="BA5:BA6"/>
    <mergeCell ref="BB5:BB6"/>
    <mergeCell ref="AG3:BB4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43">
      <selection activeCell="C56" sqref="C56:D56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9.75390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7" t="s">
        <v>53</v>
      </c>
    </row>
    <row r="2" ht="18.75">
      <c r="E2" s="27" t="s">
        <v>54</v>
      </c>
    </row>
    <row r="6" spans="1:15" ht="12.75">
      <c r="A6" s="341" t="s">
        <v>92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</row>
    <row r="7" spans="1:15" ht="12.75">
      <c r="A7" s="375" t="s">
        <v>95</v>
      </c>
      <c r="B7" s="375"/>
      <c r="C7" s="375"/>
      <c r="D7" s="375"/>
      <c r="E7" s="375"/>
      <c r="F7" s="375"/>
      <c r="G7" s="375"/>
      <c r="H7" s="95"/>
      <c r="I7" s="95"/>
      <c r="J7" s="95"/>
      <c r="K7" s="95"/>
      <c r="L7" s="95"/>
      <c r="M7" s="95"/>
      <c r="N7" s="95"/>
      <c r="O7" s="95"/>
    </row>
    <row r="8" spans="1:15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5" ht="13.5" thickBot="1">
      <c r="A9" s="29" t="s">
        <v>55</v>
      </c>
      <c r="D9" s="4"/>
      <c r="E9" s="29">
        <v>8.65</v>
      </c>
    </row>
    <row r="10" spans="1:16" ht="12.75" customHeight="1">
      <c r="A10" s="342" t="s">
        <v>56</v>
      </c>
      <c r="B10" s="345" t="s">
        <v>0</v>
      </c>
      <c r="C10" s="348" t="s">
        <v>57</v>
      </c>
      <c r="D10" s="351" t="s">
        <v>2</v>
      </c>
      <c r="E10" s="289" t="s">
        <v>58</v>
      </c>
      <c r="F10" s="289"/>
      <c r="G10" s="370" t="s">
        <v>75</v>
      </c>
      <c r="H10" s="371"/>
      <c r="I10" s="356" t="s">
        <v>8</v>
      </c>
      <c r="J10" s="357"/>
      <c r="K10" s="357"/>
      <c r="L10" s="357"/>
      <c r="M10" s="357"/>
      <c r="N10" s="358"/>
      <c r="O10" s="362" t="s">
        <v>59</v>
      </c>
      <c r="P10" s="376" t="s">
        <v>90</v>
      </c>
    </row>
    <row r="11" spans="1:16" ht="12.75">
      <c r="A11" s="343"/>
      <c r="B11" s="346"/>
      <c r="C11" s="349"/>
      <c r="D11" s="352"/>
      <c r="E11" s="374"/>
      <c r="F11" s="374"/>
      <c r="G11" s="372"/>
      <c r="H11" s="373"/>
      <c r="I11" s="359"/>
      <c r="J11" s="360"/>
      <c r="K11" s="360"/>
      <c r="L11" s="360"/>
      <c r="M11" s="360"/>
      <c r="N11" s="361"/>
      <c r="O11" s="363"/>
      <c r="P11" s="377"/>
    </row>
    <row r="12" spans="1:16" ht="26.25" customHeight="1">
      <c r="A12" s="343"/>
      <c r="B12" s="346"/>
      <c r="C12" s="349"/>
      <c r="D12" s="352"/>
      <c r="E12" s="291" t="s">
        <v>60</v>
      </c>
      <c r="F12" s="291"/>
      <c r="G12" s="117" t="s">
        <v>61</v>
      </c>
      <c r="H12" s="379" t="s">
        <v>5</v>
      </c>
      <c r="I12" s="381" t="s">
        <v>62</v>
      </c>
      <c r="J12" s="354" t="s">
        <v>30</v>
      </c>
      <c r="K12" s="354" t="s">
        <v>63</v>
      </c>
      <c r="L12" s="354" t="s">
        <v>35</v>
      </c>
      <c r="M12" s="354" t="s">
        <v>64</v>
      </c>
      <c r="N12" s="368" t="s">
        <v>37</v>
      </c>
      <c r="O12" s="363"/>
      <c r="P12" s="377"/>
    </row>
    <row r="13" spans="1:16" ht="66.75" customHeight="1" thickBot="1">
      <c r="A13" s="344"/>
      <c r="B13" s="347"/>
      <c r="C13" s="350"/>
      <c r="D13" s="353"/>
      <c r="E13" s="170" t="s">
        <v>65</v>
      </c>
      <c r="F13" s="112" t="s">
        <v>19</v>
      </c>
      <c r="G13" s="94" t="s">
        <v>76</v>
      </c>
      <c r="H13" s="380"/>
      <c r="I13" s="382"/>
      <c r="J13" s="355"/>
      <c r="K13" s="355"/>
      <c r="L13" s="355"/>
      <c r="M13" s="355"/>
      <c r="N13" s="369"/>
      <c r="O13" s="364"/>
      <c r="P13" s="378"/>
    </row>
    <row r="14" spans="1:16" ht="13.5" thickBot="1">
      <c r="A14" s="31">
        <v>1</v>
      </c>
      <c r="B14" s="32">
        <v>2</v>
      </c>
      <c r="C14" s="34">
        <v>3</v>
      </c>
      <c r="D14" s="36">
        <v>4</v>
      </c>
      <c r="E14" s="35">
        <v>5</v>
      </c>
      <c r="F14" s="33">
        <v>6</v>
      </c>
      <c r="G14" s="31">
        <v>7</v>
      </c>
      <c r="H14" s="90">
        <v>8</v>
      </c>
      <c r="I14" s="35">
        <v>9</v>
      </c>
      <c r="J14" s="32">
        <v>10</v>
      </c>
      <c r="K14" s="32">
        <v>11</v>
      </c>
      <c r="L14" s="32">
        <v>12</v>
      </c>
      <c r="M14" s="32">
        <v>13</v>
      </c>
      <c r="N14" s="81">
        <v>14</v>
      </c>
      <c r="O14" s="36">
        <v>15</v>
      </c>
      <c r="P14" s="102">
        <v>16</v>
      </c>
    </row>
    <row r="15" spans="1:16" ht="12.75">
      <c r="A15" s="8" t="s">
        <v>38</v>
      </c>
      <c r="B15" s="9"/>
      <c r="C15" s="11"/>
      <c r="D15" s="38"/>
      <c r="E15" s="37"/>
      <c r="F15" s="30"/>
      <c r="G15" s="8"/>
      <c r="H15" s="91"/>
      <c r="I15" s="37"/>
      <c r="J15" s="9"/>
      <c r="K15" s="9"/>
      <c r="L15" s="9"/>
      <c r="M15" s="9"/>
      <c r="N15" s="82"/>
      <c r="O15" s="38"/>
      <c r="P15" s="103"/>
    </row>
    <row r="16" spans="1:16" ht="12.75">
      <c r="A16" s="14" t="s">
        <v>39</v>
      </c>
      <c r="B16" s="15">
        <f>Лист1!B9</f>
        <v>631.8</v>
      </c>
      <c r="C16" s="125">
        <f>Лист1!C9</f>
        <v>5465.07</v>
      </c>
      <c r="D16" s="171">
        <f>Лист1!D9</f>
        <v>1316.4260616</v>
      </c>
      <c r="E16" s="39">
        <f>Лист1!S9</f>
        <v>4007.08</v>
      </c>
      <c r="F16" s="77">
        <f>Лист1!T9</f>
        <v>655.67</v>
      </c>
      <c r="G16" s="40">
        <f>Лист1!AB9</f>
        <v>0</v>
      </c>
      <c r="H16" s="118">
        <f>Лист1!AC9</f>
        <v>1972.0960615999998</v>
      </c>
      <c r="I16" s="39">
        <f>Лист1!AG9</f>
        <v>379.08</v>
      </c>
      <c r="J16" s="16">
        <f>Лист1!AI9+Лист1!AJ9</f>
        <v>635.0373432</v>
      </c>
      <c r="K16" s="16">
        <f>Лист1!AH9+Лист1!AK9+Лист1!AL9+Лист1!AM9+Лист1!AN9+Лист1!AO9+Лист1!AP9+Лист1!AQ9+Лист1!AR9</f>
        <v>2229.8705605799996</v>
      </c>
      <c r="L16" s="17">
        <f>Лист1!AS9+Лист1!AT9+Лист1!AU9</f>
        <v>0</v>
      </c>
      <c r="M16" s="17">
        <f>Лист1!AX9</f>
        <v>0</v>
      </c>
      <c r="N16" s="100">
        <f>SUM(I16:M16)</f>
        <v>3243.9879037799997</v>
      </c>
      <c r="O16" s="41">
        <f>Лист1!BE9</f>
        <v>-1271.89184218</v>
      </c>
      <c r="P16" s="104">
        <f>Лист1!BF9</f>
        <v>-4007.08</v>
      </c>
    </row>
    <row r="17" spans="1:16" ht="12.75">
      <c r="A17" s="14" t="s">
        <v>40</v>
      </c>
      <c r="B17" s="15">
        <f>Лист1!B10</f>
        <v>631.8</v>
      </c>
      <c r="C17" s="125">
        <f>Лист1!C10</f>
        <v>5465.07</v>
      </c>
      <c r="D17" s="171">
        <f>Лист1!D10</f>
        <v>1316.4260616</v>
      </c>
      <c r="E17" s="39">
        <f>Лист1!S10</f>
        <v>-0.25000000000000006</v>
      </c>
      <c r="F17" s="77">
        <f>Лист1!T10</f>
        <v>0.03</v>
      </c>
      <c r="G17" s="40">
        <f>Лист1!AB10</f>
        <v>4070.5199999999995</v>
      </c>
      <c r="H17" s="118">
        <f>Лист1!AC10</f>
        <v>5386.976061599999</v>
      </c>
      <c r="I17" s="39">
        <f>Лист1!AG10</f>
        <v>379.08</v>
      </c>
      <c r="J17" s="16">
        <f>Лист1!AI10+Лист1!AJ10</f>
        <v>635.0373432</v>
      </c>
      <c r="K17" s="16">
        <f>Лист1!AH10+Лист1!AK10+Лист1!AL10+Лист1!AM10+Лист1!AN10+Лист1!AO10+Лист1!AP10+Лист1!AQ10+Лист1!AR10</f>
        <v>2223.1406269799995</v>
      </c>
      <c r="L17" s="17">
        <f>Лист1!AS10+Лист1!AT10+Лист1!AU10</f>
        <v>0</v>
      </c>
      <c r="M17" s="17">
        <f>Лист1!AX10</f>
        <v>0</v>
      </c>
      <c r="N17" s="100">
        <f>SUM(I17:M17)</f>
        <v>3237.2579701799996</v>
      </c>
      <c r="O17" s="41">
        <f>Лист1!BE10</f>
        <v>2149.71809142</v>
      </c>
      <c r="P17" s="104">
        <f>Лист1!BF10</f>
        <v>4070.7699999999995</v>
      </c>
    </row>
    <row r="18" spans="1:18" ht="13.5" thickBot="1">
      <c r="A18" s="42" t="s">
        <v>41</v>
      </c>
      <c r="B18" s="63">
        <f>Лист1!B11</f>
        <v>631.8</v>
      </c>
      <c r="C18" s="126">
        <f>Лист1!C11</f>
        <v>5465.07</v>
      </c>
      <c r="D18" s="172">
        <f>Лист1!D11</f>
        <v>1313.5295745</v>
      </c>
      <c r="E18" s="64">
        <f>Лист1!S11</f>
        <v>3056.35</v>
      </c>
      <c r="F18" s="113">
        <f>Лист1!T11</f>
        <v>327.84999999999997</v>
      </c>
      <c r="G18" s="65">
        <f>Лист1!AB11</f>
        <v>829.06</v>
      </c>
      <c r="H18" s="119">
        <f>Лист1!AC11</f>
        <v>2470.4395745</v>
      </c>
      <c r="I18" s="39">
        <f>Лист1!AG11</f>
        <v>379.08</v>
      </c>
      <c r="J18" s="16">
        <f>Лист1!AI11+Лист1!AJ11</f>
        <v>633.18844368</v>
      </c>
      <c r="K18" s="16">
        <f>Лист1!AH11+Лист1!AK11+Лист1!AL11+Лист1!AM11+Лист1!AN11+Лист1!AO11+Лист1!AP11+Лист1!AQ11+Лист1!AR11</f>
        <v>2219.606104014</v>
      </c>
      <c r="L18" s="17">
        <f>Лист1!AS11+Лист1!AT11+Лист1!AU11</f>
        <v>0</v>
      </c>
      <c r="M18" s="17">
        <f>Лист1!AX11</f>
        <v>0</v>
      </c>
      <c r="N18" s="100">
        <f>SUM(I18:M18)</f>
        <v>3231.874547694</v>
      </c>
      <c r="O18" s="41">
        <f>Лист1!BE11</f>
        <v>-761.4349731939997</v>
      </c>
      <c r="P18" s="104">
        <f>Лист1!BF11</f>
        <v>-2227.29</v>
      </c>
      <c r="Q18" s="1"/>
      <c r="R18" s="1"/>
    </row>
    <row r="19" spans="1:18" s="23" customFormat="1" ht="13.5" thickBot="1">
      <c r="A19" s="43" t="s">
        <v>3</v>
      </c>
      <c r="B19" s="69"/>
      <c r="C19" s="71">
        <f>SUM(C16:C18)</f>
        <v>16395.21</v>
      </c>
      <c r="D19" s="110">
        <f aca="true" t="shared" si="0" ref="D19:P19">SUM(D16:D18)</f>
        <v>3946.3816976999997</v>
      </c>
      <c r="E19" s="75">
        <f t="shared" si="0"/>
        <v>7063.18</v>
      </c>
      <c r="F19" s="70">
        <f t="shared" si="0"/>
        <v>983.55</v>
      </c>
      <c r="G19" s="76">
        <f t="shared" si="0"/>
        <v>4899.58</v>
      </c>
      <c r="H19" s="120">
        <f t="shared" si="0"/>
        <v>9829.5116977</v>
      </c>
      <c r="I19" s="75">
        <f t="shared" si="0"/>
        <v>1137.24</v>
      </c>
      <c r="J19" s="70">
        <f t="shared" si="0"/>
        <v>1903.2631300799999</v>
      </c>
      <c r="K19" s="70">
        <f t="shared" si="0"/>
        <v>6672.617291573999</v>
      </c>
      <c r="L19" s="70">
        <f t="shared" si="0"/>
        <v>0</v>
      </c>
      <c r="M19" s="70">
        <f t="shared" si="0"/>
        <v>0</v>
      </c>
      <c r="N19" s="83">
        <f t="shared" si="0"/>
        <v>9713.120421653999</v>
      </c>
      <c r="O19" s="110">
        <f t="shared" si="0"/>
        <v>116.39127604600026</v>
      </c>
      <c r="P19" s="105">
        <f t="shared" si="0"/>
        <v>-2163.6000000000004</v>
      </c>
      <c r="Q19" s="50"/>
      <c r="R19" s="51"/>
    </row>
    <row r="20" spans="1:18" ht="12.75">
      <c r="A20" s="8" t="s">
        <v>42</v>
      </c>
      <c r="B20" s="66"/>
      <c r="C20" s="127"/>
      <c r="D20" s="173"/>
      <c r="E20" s="54"/>
      <c r="F20" s="114"/>
      <c r="G20" s="55"/>
      <c r="H20" s="121"/>
      <c r="I20" s="54"/>
      <c r="J20" s="52"/>
      <c r="K20" s="52"/>
      <c r="L20" s="67"/>
      <c r="M20" s="67"/>
      <c r="N20" s="101"/>
      <c r="O20" s="68"/>
      <c r="P20" s="106"/>
      <c r="Q20" s="1"/>
      <c r="R20" s="1"/>
    </row>
    <row r="21" spans="1:18" ht="12.75">
      <c r="A21" s="14" t="s">
        <v>43</v>
      </c>
      <c r="B21" s="15">
        <f>Лист1!B14</f>
        <v>631.8</v>
      </c>
      <c r="C21" s="125">
        <f>Лист1!C14</f>
        <v>5465.07</v>
      </c>
      <c r="D21" s="171">
        <f>Лист1!D14</f>
        <v>683.13375</v>
      </c>
      <c r="E21" s="39">
        <f>Лист1!S14</f>
        <v>2003.4999999999998</v>
      </c>
      <c r="F21" s="77">
        <f>Лист1!T14</f>
        <v>327.84999999999997</v>
      </c>
      <c r="G21" s="40">
        <f>Лист1!AB14</f>
        <v>1596.63</v>
      </c>
      <c r="H21" s="118">
        <f>Лист1!AC14</f>
        <v>2607.61375</v>
      </c>
      <c r="I21" s="39">
        <f>Лист1!AG14</f>
        <v>341.17199999999997</v>
      </c>
      <c r="J21" s="16">
        <f>Лист1!AI14+Лист1!AJ14</f>
        <v>549.3903118000001</v>
      </c>
      <c r="K21" s="16">
        <f>Лист1!AH14+Лист1!AK14+Лист1!AL14+Лист1!AM14+Лист1!AN14+Лист1!AO14+Лист1!AP14+Лист1!AQ14+Лист1!AR14</f>
        <v>1886.845162644</v>
      </c>
      <c r="L21" s="17">
        <f>Лист1!AS14+Лист1!AT14+Лист1!AU14</f>
        <v>5310.01</v>
      </c>
      <c r="M21" s="17">
        <f>Лист1!AX14</f>
        <v>201.41184</v>
      </c>
      <c r="N21" s="100">
        <f>SUM(I21:M21)</f>
        <v>8288.829314444001</v>
      </c>
      <c r="O21" s="41">
        <f>Лист1!BE14</f>
        <v>-5681.215564444001</v>
      </c>
      <c r="P21" s="104">
        <f>Лист1!BF14</f>
        <v>-406.86999999999966</v>
      </c>
      <c r="Q21" s="1"/>
      <c r="R21" s="1"/>
    </row>
    <row r="22" spans="1:18" ht="12.75">
      <c r="A22" s="14" t="s">
        <v>44</v>
      </c>
      <c r="B22" s="15">
        <f>Лист1!B15</f>
        <v>631.8</v>
      </c>
      <c r="C22" s="125">
        <f>Лист1!C15</f>
        <v>5465.07</v>
      </c>
      <c r="D22" s="171">
        <f>Лист1!D15</f>
        <v>683.13375</v>
      </c>
      <c r="E22" s="39">
        <f>Лист1!S15</f>
        <v>2085.22</v>
      </c>
      <c r="F22" s="77">
        <f>Лист1!T15</f>
        <v>327.84999999999997</v>
      </c>
      <c r="G22" s="40">
        <f>Лист1!AB15</f>
        <v>1729.07</v>
      </c>
      <c r="H22" s="118">
        <f>Лист1!AC15</f>
        <v>2740.05375</v>
      </c>
      <c r="I22" s="39">
        <f>Лист1!AG15</f>
        <v>341.17199999999997</v>
      </c>
      <c r="J22" s="16">
        <f>Лист1!AI15+Лист1!AJ15</f>
        <v>549.4139118</v>
      </c>
      <c r="K22" s="16">
        <f>Лист1!AH15+Лист1!AK15+Лист1!AL15+Лист1!AM15+Лист1!AN15+Лист1!AO15+Лист1!AP15+Лист1!AQ15+Лист1!AR15</f>
        <v>1889.5690419839998</v>
      </c>
      <c r="L22" s="17">
        <f>Лист1!AS15+Лист1!AT15+Лист1!AU15</f>
        <v>0</v>
      </c>
      <c r="M22" s="17">
        <f>Лист1!AX15</f>
        <v>161.36736</v>
      </c>
      <c r="N22" s="100">
        <f aca="true" t="shared" si="1" ref="N22:N27">SUM(I22:M22)</f>
        <v>2941.5223137840003</v>
      </c>
      <c r="O22" s="41">
        <f>Лист1!BE15</f>
        <v>-201.4685637839998</v>
      </c>
      <c r="P22" s="104">
        <f>Лист1!BF15</f>
        <v>-356.14999999999986</v>
      </c>
      <c r="Q22" s="1"/>
      <c r="R22" s="1"/>
    </row>
    <row r="23" spans="1:18" ht="12.75">
      <c r="A23" s="14" t="s">
        <v>45</v>
      </c>
      <c r="B23" s="15">
        <f>Лист1!B16</f>
        <v>631.8</v>
      </c>
      <c r="C23" s="125">
        <f>Лист1!C16</f>
        <v>5465.07</v>
      </c>
      <c r="D23" s="171">
        <f>Лист1!D16</f>
        <v>683.13375</v>
      </c>
      <c r="E23" s="39">
        <f>Лист1!S16</f>
        <v>1431.63</v>
      </c>
      <c r="F23" s="77">
        <f>Лист1!T16</f>
        <v>327.84999999999997</v>
      </c>
      <c r="G23" s="40">
        <f>Лист1!AB16</f>
        <v>2394.57</v>
      </c>
      <c r="H23" s="118">
        <f>Лист1!AC16</f>
        <v>3405.55375</v>
      </c>
      <c r="I23" s="39">
        <f>Лист1!AG16</f>
        <v>341.17199999999997</v>
      </c>
      <c r="J23" s="16">
        <f>Лист1!AI16+Лист1!AJ16</f>
        <v>549.7307595</v>
      </c>
      <c r="K23" s="16">
        <f>Лист1!AH16+Лист1!AK16+Лист1!AL16+Лист1!AM16+Лист1!AN16+Лист1!AO16+Лист1!AP16+Лист1!AQ16+Лист1!AR16</f>
        <v>1826.7151139639996</v>
      </c>
      <c r="L23" s="17">
        <f>Лист1!AS16+Лист1!AT16+Лист1!AU16</f>
        <v>2522.84</v>
      </c>
      <c r="M23" s="17">
        <f>Лист1!AX16</f>
        <v>151.85184</v>
      </c>
      <c r="N23" s="100">
        <f t="shared" si="1"/>
        <v>5392.309713464</v>
      </c>
      <c r="O23" s="41">
        <f>Лист1!BE16</f>
        <v>-1986.7559634640002</v>
      </c>
      <c r="P23" s="104">
        <f>Лист1!BF16</f>
        <v>962.94</v>
      </c>
      <c r="Q23" s="1"/>
      <c r="R23" s="1"/>
    </row>
    <row r="24" spans="1:18" ht="12.75">
      <c r="A24" s="14" t="s">
        <v>46</v>
      </c>
      <c r="B24" s="15">
        <f>Лист1!B17</f>
        <v>631.8</v>
      </c>
      <c r="C24" s="125">
        <f>Лист1!C17</f>
        <v>5465.07</v>
      </c>
      <c r="D24" s="171">
        <f>Лист1!D17</f>
        <v>683.13375</v>
      </c>
      <c r="E24" s="39">
        <f>Лист1!S17</f>
        <v>2003.4999999999998</v>
      </c>
      <c r="F24" s="77">
        <f>Лист1!T17</f>
        <v>327.84999999999997</v>
      </c>
      <c r="G24" s="40">
        <f>Лист1!AB17</f>
        <v>4335.12</v>
      </c>
      <c r="H24" s="118">
        <f>Лист1!AC17</f>
        <v>5346.10375</v>
      </c>
      <c r="I24" s="39">
        <f>Лист1!AG17</f>
        <v>341.17199999999997</v>
      </c>
      <c r="J24" s="16">
        <f>Лист1!AI17+Лист1!AJ17</f>
        <v>566.1434703599999</v>
      </c>
      <c r="K24" s="16">
        <f>Лист1!AH17+Лист1!AK17+Лист1!AL17+Лист1!AM17+Лист1!AN17+Лист1!AO17+Лист1!AP17+Лист1!AQ17+Лист1!AR17</f>
        <v>1852.5976728479998</v>
      </c>
      <c r="L24" s="17">
        <f>Лист1!AS17+Лист1!AT17+Лист1!AU17</f>
        <v>362.26</v>
      </c>
      <c r="M24" s="17">
        <f>Лист1!AX17</f>
        <v>121.71936</v>
      </c>
      <c r="N24" s="100">
        <f t="shared" si="1"/>
        <v>3243.8925032079997</v>
      </c>
      <c r="O24" s="41">
        <f>Лист1!BE17</f>
        <v>2102.2112467920006</v>
      </c>
      <c r="P24" s="104">
        <f>Лист1!BF17</f>
        <v>2331.62</v>
      </c>
      <c r="Q24" s="1"/>
      <c r="R24" s="1"/>
    </row>
    <row r="25" spans="1:18" ht="12.75">
      <c r="A25" s="14" t="s">
        <v>47</v>
      </c>
      <c r="B25" s="15">
        <f>Лист1!B18</f>
        <v>631.8</v>
      </c>
      <c r="C25" s="125">
        <f>Лист1!C18</f>
        <v>5465.07</v>
      </c>
      <c r="D25" s="171">
        <f>Лист1!D18</f>
        <v>2936.0299999999997</v>
      </c>
      <c r="E25" s="39">
        <f>Лист1!S18</f>
        <v>2173.8100000000004</v>
      </c>
      <c r="F25" s="77">
        <f>Лист1!T18</f>
        <v>355.22999999999996</v>
      </c>
      <c r="G25" s="40">
        <f>Лист1!AB18</f>
        <v>1531.41</v>
      </c>
      <c r="H25" s="118">
        <f>Лист1!AC18</f>
        <v>4822.67</v>
      </c>
      <c r="I25" s="39">
        <f>Лист1!AG18</f>
        <v>379.08</v>
      </c>
      <c r="J25" s="16">
        <f>Лист1!AI18+Лист1!AJ18</f>
        <v>633.6954</v>
      </c>
      <c r="K25" s="16">
        <f>Лист1!AH18+Лист1!AK18+Лист1!AL18+Лист1!AM18+Лист1!AN18+Лист1!AO18+Лист1!AP18+Лист1!AQ18+Лист1!AR18</f>
        <v>2170.35936</v>
      </c>
      <c r="L25" s="17">
        <f>Лист1!AS18+Лист1!AT18+Лист1!AU18</f>
        <v>2132.5078</v>
      </c>
      <c r="M25" s="17">
        <f>Лист1!AX18</f>
        <v>104.27423999999999</v>
      </c>
      <c r="N25" s="100">
        <f t="shared" si="1"/>
        <v>5419.9168</v>
      </c>
      <c r="O25" s="41">
        <f>Лист1!BE18</f>
        <v>-597.2467999999999</v>
      </c>
      <c r="P25" s="104">
        <f>Лист1!BF18</f>
        <v>-642.4000000000003</v>
      </c>
      <c r="Q25" s="1"/>
      <c r="R25" s="1"/>
    </row>
    <row r="26" spans="1:18" ht="12.75">
      <c r="A26" s="14" t="s">
        <v>48</v>
      </c>
      <c r="B26" s="15">
        <f>Лист1!B19</f>
        <v>631.8</v>
      </c>
      <c r="C26" s="125">
        <f>Лист1!C19</f>
        <v>5465.07</v>
      </c>
      <c r="D26" s="171">
        <f>Лист1!D19</f>
        <v>2929.609999999999</v>
      </c>
      <c r="E26" s="39">
        <f>Лист1!S19</f>
        <v>2168.82</v>
      </c>
      <c r="F26" s="77">
        <f>Лист1!T19</f>
        <v>366.64000000000004</v>
      </c>
      <c r="G26" s="40">
        <f>Лист1!AB19</f>
        <v>1509.73</v>
      </c>
      <c r="H26" s="118">
        <f>Лист1!AC19</f>
        <v>4805.98</v>
      </c>
      <c r="I26" s="39">
        <f>Лист1!AG19</f>
        <v>379.08</v>
      </c>
      <c r="J26" s="16">
        <f>Лист1!AI19+Лист1!AJ19</f>
        <v>633.6954</v>
      </c>
      <c r="K26" s="16">
        <f>Лист1!AH19+Лист1!AK19+Лист1!AL19+Лист1!AM19+Лист1!AN19+Лист1!AO19+Лист1!AP19+Лист1!AQ19+Лист1!AR19</f>
        <v>2170.416222</v>
      </c>
      <c r="L26" s="17">
        <f>Лист1!AS19+Лист1!AT19+Лист1!AU19</f>
        <v>0</v>
      </c>
      <c r="M26" s="17">
        <f>Лист1!AX19</f>
        <v>92.37983999999999</v>
      </c>
      <c r="N26" s="100">
        <f t="shared" si="1"/>
        <v>3275.571462</v>
      </c>
      <c r="O26" s="41">
        <f>Лист1!BE19</f>
        <v>1530.4085379999992</v>
      </c>
      <c r="P26" s="104">
        <f>Лист1!BF19</f>
        <v>-659.0900000000001</v>
      </c>
      <c r="Q26" s="1"/>
      <c r="R26" s="1"/>
    </row>
    <row r="27" spans="1:18" ht="12.75">
      <c r="A27" s="14" t="s">
        <v>49</v>
      </c>
      <c r="B27" s="15">
        <f>Лист1!B20</f>
        <v>631.8</v>
      </c>
      <c r="C27" s="125">
        <f>Лист1!C20</f>
        <v>5465.07</v>
      </c>
      <c r="D27" s="171">
        <f>Лист1!D20</f>
        <v>2929.6199999999985</v>
      </c>
      <c r="E27" s="39">
        <f>Лист1!S20</f>
        <v>2168.82</v>
      </c>
      <c r="F27" s="77">
        <f>Лист1!T20</f>
        <v>366.63000000000005</v>
      </c>
      <c r="G27" s="40">
        <f>Лист1!AB20</f>
        <v>1973.83</v>
      </c>
      <c r="H27" s="118">
        <f>Лист1!AC20</f>
        <v>5270.079999999998</v>
      </c>
      <c r="I27" s="39">
        <f>Лист1!AG20</f>
        <v>379.08</v>
      </c>
      <c r="J27" s="16">
        <f>Лист1!AI20+Лист1!AJ20</f>
        <v>624.6335557799999</v>
      </c>
      <c r="K27" s="16">
        <f>Лист1!AH20+Лист1!AK20+Лист1!AL20+Лист1!AM20+Лист1!AN20+Лист1!AO20+Лист1!AP20+Лист1!AQ20+Лист1!AR20</f>
        <v>2148.9644638799996</v>
      </c>
      <c r="L27" s="17">
        <f>Лист1!AS20+Лист1!AT20+Лист1!AU20</f>
        <v>945.8408</v>
      </c>
      <c r="M27" s="17">
        <f>Лист1!AX20</f>
        <v>98.32704</v>
      </c>
      <c r="N27" s="100">
        <f t="shared" si="1"/>
        <v>4196.845859659999</v>
      </c>
      <c r="O27" s="41">
        <f>Лист1!BE20</f>
        <v>1073.2341403399987</v>
      </c>
      <c r="P27" s="104">
        <f>Лист1!BF20</f>
        <v>-194.99000000000024</v>
      </c>
      <c r="Q27" s="1"/>
      <c r="R27" s="1"/>
    </row>
    <row r="28" spans="1:18" ht="12.75">
      <c r="A28" s="14" t="s">
        <v>50</v>
      </c>
      <c r="B28" s="15">
        <f>Лист1!B21</f>
        <v>631.8</v>
      </c>
      <c r="C28" s="125">
        <f>Лист1!C21</f>
        <v>5465.07</v>
      </c>
      <c r="D28" s="171">
        <f>Лист1!D21</f>
        <v>2929.6199999999985</v>
      </c>
      <c r="E28" s="39">
        <f>Лист1!S21</f>
        <v>2168.82</v>
      </c>
      <c r="F28" s="77">
        <f>Лист1!T21</f>
        <v>366.63000000000005</v>
      </c>
      <c r="G28" s="40">
        <f>Лист1!AB21</f>
        <v>2353.09</v>
      </c>
      <c r="H28" s="118">
        <f>Лист1!AC21</f>
        <v>5649.339999999998</v>
      </c>
      <c r="I28" s="39">
        <f>Лист1!AG21</f>
        <v>379.08</v>
      </c>
      <c r="J28" s="16">
        <f>Лист1!AI21+Лист1!AJ21</f>
        <v>624.354729804</v>
      </c>
      <c r="K28" s="16">
        <f>Лист1!AH21+Лист1!AK21+Лист1!AL21+Лист1!AM21+Лист1!AN21+Лист1!AO21+Лист1!AP21+Лист1!AQ21+Лист1!AR21</f>
        <v>2148.5104524</v>
      </c>
      <c r="L28" s="17">
        <f>Лист1!AS21+Лист1!AT21+Лист1!AU21</f>
        <v>3931.76</v>
      </c>
      <c r="M28" s="17">
        <f>Лист1!AX21</f>
        <v>116.16863999999998</v>
      </c>
      <c r="N28" s="100">
        <f>SUM(I28:M28)</f>
        <v>7199.873822204</v>
      </c>
      <c r="O28" s="41">
        <f>Лист1!BE21</f>
        <v>-1550.533822204001</v>
      </c>
      <c r="P28" s="104">
        <f>Лист1!BF21</f>
        <v>184.26999999999998</v>
      </c>
      <c r="Q28" s="1"/>
      <c r="R28" s="1"/>
    </row>
    <row r="29" spans="1:18" ht="12.75">
      <c r="A29" s="14" t="s">
        <v>51</v>
      </c>
      <c r="B29" s="15">
        <f>Лист1!B22</f>
        <v>631.8</v>
      </c>
      <c r="C29" s="125">
        <f>Лист1!C22</f>
        <v>5465.07</v>
      </c>
      <c r="D29" s="171">
        <f>Лист1!D22</f>
        <v>2926.8199999999983</v>
      </c>
      <c r="E29" s="39">
        <f>Лист1!S22</f>
        <v>2171.62</v>
      </c>
      <c r="F29" s="77">
        <f>Лист1!T22</f>
        <v>366.63000000000005</v>
      </c>
      <c r="G29" s="40">
        <f>Лист1!AB22</f>
        <v>1961.34</v>
      </c>
      <c r="H29" s="118">
        <f>Лист1!AC22</f>
        <v>5254.789999999998</v>
      </c>
      <c r="I29" s="39">
        <f>Лист1!AG22</f>
        <v>379.08</v>
      </c>
      <c r="J29" s="16">
        <f>Лист1!AI22+Лист1!AJ22</f>
        <v>624.2470015859999</v>
      </c>
      <c r="K29" s="16">
        <f>Лист1!AH22+Лист1!AK22+Лист1!AL22+Лист1!AM22+Лист1!AN22+Лист1!AO22+Лист1!AP22+Лист1!AQ22+Лист1!AR22</f>
        <v>2148.2281350972</v>
      </c>
      <c r="L29" s="17">
        <f>Лист1!AS22+Лист1!AT22+Лист1!AU22</f>
        <v>0</v>
      </c>
      <c r="M29" s="17">
        <f>Лист1!AX22</f>
        <v>138.37152</v>
      </c>
      <c r="N29" s="100">
        <f>SUM(I29:M29)</f>
        <v>3289.9266566832</v>
      </c>
      <c r="O29" s="41">
        <f>Лист1!BE22</f>
        <v>1964.8633433167984</v>
      </c>
      <c r="P29" s="104">
        <f>Лист1!BF22</f>
        <v>-210.27999999999997</v>
      </c>
      <c r="Q29" s="1"/>
      <c r="R29" s="1"/>
    </row>
    <row r="30" spans="1:18" ht="12.75">
      <c r="A30" s="14" t="s">
        <v>39</v>
      </c>
      <c r="B30" s="15">
        <f>Лист1!B23</f>
        <v>631.8</v>
      </c>
      <c r="C30" s="125">
        <f>Лист1!C23</f>
        <v>5465.07</v>
      </c>
      <c r="D30" s="171">
        <f>Лист1!D23</f>
        <v>2925.799999999999</v>
      </c>
      <c r="E30" s="39">
        <f>Лист1!S23</f>
        <v>2172.6400000000003</v>
      </c>
      <c r="F30" s="77">
        <f>Лист1!T23</f>
        <v>366.63000000000005</v>
      </c>
      <c r="G30" s="40">
        <f>Лист1!AB23</f>
        <v>1806.79</v>
      </c>
      <c r="H30" s="118">
        <f>Лист1!AC23</f>
        <v>5099.219999999999</v>
      </c>
      <c r="I30" s="39">
        <f>Лист1!AG23</f>
        <v>379.08</v>
      </c>
      <c r="J30" s="16">
        <f>Лист1!AI23+Лист1!AJ23</f>
        <v>631.4588279999999</v>
      </c>
      <c r="K30" s="16">
        <f>Лист1!AH23+Лист1!AK23+Лист1!AL23+Лист1!AM23+Лист1!AN23+Лист1!AO23+Лист1!AP23+Лист1!AQ23+Лист1!AR23</f>
        <v>2166.69492</v>
      </c>
      <c r="L30" s="17">
        <f>Лист1!AS23+Лист1!AT23+Лист1!AU23</f>
        <v>0</v>
      </c>
      <c r="M30" s="17">
        <f>Лист1!AX23</f>
        <v>168.504</v>
      </c>
      <c r="N30" s="100">
        <f>SUM(I30:M30)</f>
        <v>3345.7377479999996</v>
      </c>
      <c r="O30" s="41">
        <f>Лист1!BE23</f>
        <v>1753.4822519999993</v>
      </c>
      <c r="P30" s="104">
        <f>Лист1!BF23</f>
        <v>-365.85000000000036</v>
      </c>
      <c r="Q30" s="1"/>
      <c r="R30" s="1"/>
    </row>
    <row r="31" spans="1:18" ht="12.75">
      <c r="A31" s="14" t="s">
        <v>40</v>
      </c>
      <c r="B31" s="15">
        <f>Лист1!B24</f>
        <v>631.8</v>
      </c>
      <c r="C31" s="125">
        <f>Лист1!C24</f>
        <v>5465.07</v>
      </c>
      <c r="D31" s="171">
        <f>Лист1!D24</f>
        <v>2925.799999999999</v>
      </c>
      <c r="E31" s="39">
        <f>Лист1!S24</f>
        <v>2172.6400000000003</v>
      </c>
      <c r="F31" s="77">
        <f>Лист1!T24</f>
        <v>366.63000000000005</v>
      </c>
      <c r="G31" s="40">
        <f>Лист1!AB24</f>
        <v>1686.26</v>
      </c>
      <c r="H31" s="118">
        <f>Лист1!AC24</f>
        <v>4978.689999999999</v>
      </c>
      <c r="I31" s="39">
        <f>Лист1!AG24</f>
        <v>379.08</v>
      </c>
      <c r="J31" s="16">
        <f>Лист1!AI24+Лист1!AJ24</f>
        <v>633.6954</v>
      </c>
      <c r="K31" s="16">
        <f>Лист1!AH24+Лист1!AK24+Лист1!AL24+Лист1!AM24+Лист1!AN24+Лист1!AO24+Лист1!AP24+Лист1!AQ24+Лист1!AR24</f>
        <v>2169.0957599999997</v>
      </c>
      <c r="L31" s="17">
        <f>Лист1!AS24+Лист1!AT24+Лист1!AU24</f>
        <v>0</v>
      </c>
      <c r="M31" s="17">
        <f>Лист1!AX24</f>
        <v>186.34560000000002</v>
      </c>
      <c r="N31" s="100">
        <f>SUM(I31:M31)</f>
        <v>3368.21676</v>
      </c>
      <c r="O31" s="41">
        <f>Лист1!BE24</f>
        <v>1610.473239999999</v>
      </c>
      <c r="P31" s="104">
        <f>Лист1!BF24</f>
        <v>-486.38000000000034</v>
      </c>
      <c r="Q31" s="1"/>
      <c r="R31" s="1"/>
    </row>
    <row r="32" spans="1:18" ht="13.5" thickBot="1">
      <c r="A32" s="42" t="s">
        <v>41</v>
      </c>
      <c r="B32" s="15">
        <f>Лист1!B25</f>
        <v>631.8</v>
      </c>
      <c r="C32" s="125">
        <f>Лист1!C25</f>
        <v>5465.07</v>
      </c>
      <c r="D32" s="171">
        <f>Лист1!D25</f>
        <v>2925.799999999999</v>
      </c>
      <c r="E32" s="39">
        <f>Лист1!S25</f>
        <v>2172.6400000000003</v>
      </c>
      <c r="F32" s="77">
        <f>Лист1!T25</f>
        <v>366.63000000000005</v>
      </c>
      <c r="G32" s="40">
        <f>Лист1!AB25</f>
        <v>1646.46</v>
      </c>
      <c r="H32" s="118">
        <f>Лист1!AC25</f>
        <v>4938.889999999999</v>
      </c>
      <c r="I32" s="39">
        <f>Лист1!AG25</f>
        <v>379.08</v>
      </c>
      <c r="J32" s="16">
        <f>Лист1!AI25+Лист1!AJ25</f>
        <v>633.6954</v>
      </c>
      <c r="K32" s="16">
        <f>Лист1!AH25+Лист1!AK25+Лист1!AL25+Лист1!AM25+Лист1!AN25+Лист1!AO25+Лист1!AP25+Лист1!AQ25+Лист1!AR25</f>
        <v>2169.0957599999997</v>
      </c>
      <c r="L32" s="17">
        <f>Лист1!AS25+Лист1!AT25+Лист1!AU25</f>
        <v>1754.6599999999999</v>
      </c>
      <c r="M32" s="17">
        <f>Лист1!AX25</f>
        <v>203.79072</v>
      </c>
      <c r="N32" s="100">
        <f>SUM(I32:M32)</f>
        <v>5140.3218799999995</v>
      </c>
      <c r="O32" s="41">
        <f>Лист1!BE25</f>
        <v>-201.4318800000001</v>
      </c>
      <c r="P32" s="104">
        <f>Лист1!BF25</f>
        <v>-526.1800000000003</v>
      </c>
      <c r="Q32" s="1"/>
      <c r="R32" s="1"/>
    </row>
    <row r="33" spans="1:18" s="23" customFormat="1" ht="13.5" thickBot="1">
      <c r="A33" s="43" t="s">
        <v>3</v>
      </c>
      <c r="B33" s="44"/>
      <c r="C33" s="47">
        <f aca="true" t="shared" si="2" ref="C33:P33">SUM(C21:C32)</f>
        <v>65580.84</v>
      </c>
      <c r="D33" s="49">
        <f t="shared" si="2"/>
        <v>26161.634999999995</v>
      </c>
      <c r="E33" s="48">
        <f t="shared" si="2"/>
        <v>24893.659999999996</v>
      </c>
      <c r="F33" s="45">
        <f t="shared" si="2"/>
        <v>4233.05</v>
      </c>
      <c r="G33" s="46">
        <f t="shared" si="2"/>
        <v>24524.299999999996</v>
      </c>
      <c r="H33" s="92">
        <f t="shared" si="2"/>
        <v>54918.985</v>
      </c>
      <c r="I33" s="48">
        <f t="shared" si="2"/>
        <v>4397.3279999999995</v>
      </c>
      <c r="J33" s="45">
        <f t="shared" si="2"/>
        <v>7254.15416863</v>
      </c>
      <c r="K33" s="45">
        <f t="shared" si="2"/>
        <v>24747.092064817196</v>
      </c>
      <c r="L33" s="45">
        <f t="shared" si="2"/>
        <v>16959.8786</v>
      </c>
      <c r="M33" s="45">
        <f t="shared" si="2"/>
        <v>1744.512</v>
      </c>
      <c r="N33" s="84">
        <f t="shared" si="2"/>
        <v>55102.9648334472</v>
      </c>
      <c r="O33" s="49">
        <f t="shared" si="2"/>
        <v>-183.9798334472057</v>
      </c>
      <c r="P33" s="107">
        <f t="shared" si="2"/>
        <v>-369.36000000000126</v>
      </c>
      <c r="Q33" s="51"/>
      <c r="R33" s="51"/>
    </row>
    <row r="34" spans="1:18" ht="13.5" thickBot="1">
      <c r="A34" s="86" t="s">
        <v>66</v>
      </c>
      <c r="B34" s="87"/>
      <c r="C34" s="88"/>
      <c r="D34" s="111"/>
      <c r="E34" s="87"/>
      <c r="F34" s="87"/>
      <c r="G34" s="86"/>
      <c r="H34" s="122"/>
      <c r="I34" s="87"/>
      <c r="J34" s="87"/>
      <c r="K34" s="87"/>
      <c r="L34" s="87"/>
      <c r="M34" s="87"/>
      <c r="N34" s="89"/>
      <c r="O34" s="111"/>
      <c r="P34" s="108"/>
      <c r="Q34" s="1"/>
      <c r="R34" s="1"/>
    </row>
    <row r="35" spans="1:18" s="23" customFormat="1" ht="13.5" thickBot="1">
      <c r="A35" s="56" t="s">
        <v>52</v>
      </c>
      <c r="B35" s="57"/>
      <c r="C35" s="58">
        <f>C19+C33</f>
        <v>81976.04999999999</v>
      </c>
      <c r="D35" s="60">
        <f aca="true" t="shared" si="3" ref="D35:P35">D19+D33</f>
        <v>30108.016697699994</v>
      </c>
      <c r="E35" s="116">
        <f t="shared" si="3"/>
        <v>31956.839999999997</v>
      </c>
      <c r="F35" s="115">
        <f t="shared" si="3"/>
        <v>5216.6</v>
      </c>
      <c r="G35" s="59">
        <f t="shared" si="3"/>
        <v>29423.879999999997</v>
      </c>
      <c r="H35" s="85">
        <f t="shared" si="3"/>
        <v>64748.4966977</v>
      </c>
      <c r="I35" s="116">
        <f t="shared" si="3"/>
        <v>5534.567999999999</v>
      </c>
      <c r="J35" s="57">
        <f t="shared" si="3"/>
        <v>9157.41729871</v>
      </c>
      <c r="K35" s="57">
        <f t="shared" si="3"/>
        <v>31419.709356391195</v>
      </c>
      <c r="L35" s="57">
        <f t="shared" si="3"/>
        <v>16959.8786</v>
      </c>
      <c r="M35" s="57">
        <f t="shared" si="3"/>
        <v>1744.512</v>
      </c>
      <c r="N35" s="93">
        <f t="shared" si="3"/>
        <v>64816.0852551012</v>
      </c>
      <c r="O35" s="60">
        <f t="shared" si="3"/>
        <v>-67.58855740120543</v>
      </c>
      <c r="P35" s="109">
        <f t="shared" si="3"/>
        <v>-2532.960000000002</v>
      </c>
      <c r="Q35" s="61"/>
      <c r="R35" s="51"/>
    </row>
    <row r="36" spans="1:18" ht="12.75">
      <c r="A36" s="8" t="s">
        <v>93</v>
      </c>
      <c r="B36" s="66"/>
      <c r="C36" s="127"/>
      <c r="D36" s="173"/>
      <c r="E36" s="54"/>
      <c r="F36" s="114"/>
      <c r="G36" s="55"/>
      <c r="H36" s="121"/>
      <c r="I36" s="54"/>
      <c r="J36" s="52"/>
      <c r="K36" s="52"/>
      <c r="L36" s="67"/>
      <c r="M36" s="67"/>
      <c r="N36" s="101"/>
      <c r="O36" s="68"/>
      <c r="P36" s="106"/>
      <c r="Q36" s="1"/>
      <c r="R36" s="1"/>
    </row>
    <row r="37" spans="1:18" ht="12.75">
      <c r="A37" s="14" t="s">
        <v>43</v>
      </c>
      <c r="B37" s="15">
        <f>Лист1!B30</f>
        <v>631.8</v>
      </c>
      <c r="C37" s="125">
        <f>Лист1!C30</f>
        <v>5465.07</v>
      </c>
      <c r="D37" s="171">
        <f>Лист1!D30</f>
        <v>2924.929999999998</v>
      </c>
      <c r="E37" s="39">
        <f>Лист1!S30</f>
        <v>2173.51</v>
      </c>
      <c r="F37" s="77">
        <f>Лист1!T30</f>
        <v>366.63000000000005</v>
      </c>
      <c r="G37" s="40">
        <f>Лист1!AB30</f>
        <v>2037.8799999999999</v>
      </c>
      <c r="H37" s="118">
        <f>Лист1!AC30</f>
        <v>5329.439999999998</v>
      </c>
      <c r="I37" s="39">
        <f>Лист1!AG30</f>
        <v>379.08</v>
      </c>
      <c r="J37" s="16">
        <f>Лист1!AI30+Лист1!AJ30</f>
        <v>631.8</v>
      </c>
      <c r="K37" s="16">
        <f>Лист1!AH30+Лист1!AK30+Лист1!AL30+Лист1!AM30+Лист1!AN30+Лист1!AO30+Лист1!AP30+Лист1!AQ30+Лист1!AR30</f>
        <v>2167.074</v>
      </c>
      <c r="L37" s="17">
        <f>Лист1!AS30+Лист1!AT30+Лист1!AU30</f>
        <v>0</v>
      </c>
      <c r="M37" s="17">
        <f>Лист1!AX30</f>
        <v>213.35999999999999</v>
      </c>
      <c r="N37" s="100">
        <f>SUM(I37:M37)</f>
        <v>3391.314</v>
      </c>
      <c r="O37" s="41">
        <f>Лист1!BE30</f>
        <v>1938.125999999998</v>
      </c>
      <c r="P37" s="104">
        <f>Лист1!BF30</f>
        <v>-135.63000000000034</v>
      </c>
      <c r="Q37" s="1"/>
      <c r="R37" s="1"/>
    </row>
    <row r="38" spans="1:18" ht="12.75">
      <c r="A38" s="14" t="s">
        <v>44</v>
      </c>
      <c r="B38" s="15">
        <f>Лист1!B31</f>
        <v>632</v>
      </c>
      <c r="C38" s="125">
        <f>Лист1!C31</f>
        <v>5466.8</v>
      </c>
      <c r="D38" s="171">
        <f>Лист1!D31</f>
        <v>2926.6599999999985</v>
      </c>
      <c r="E38" s="39">
        <f>Лист1!S31</f>
        <v>2173.51</v>
      </c>
      <c r="F38" s="77">
        <f>Лист1!T31</f>
        <v>366.63000000000005</v>
      </c>
      <c r="G38" s="40">
        <f>Лист1!AB31</f>
        <v>1402.53</v>
      </c>
      <c r="H38" s="118">
        <f>Лист1!AC31</f>
        <v>4695.819999999999</v>
      </c>
      <c r="I38" s="39">
        <f>Лист1!AG31</f>
        <v>379.2</v>
      </c>
      <c r="J38" s="16">
        <f>Лист1!AI31+Лист1!AJ31</f>
        <v>632</v>
      </c>
      <c r="K38" s="16">
        <f>Лист1!AH31+Лист1!AK31+Лист1!AL31+Лист1!AM31+Лист1!AN31+Лист1!AO31+Лист1!AP31+Лист1!AQ31+Лист1!AR31</f>
        <v>2167.76</v>
      </c>
      <c r="L38" s="17">
        <f>Лист1!AS31+Лист1!AT31+Лист1!AU31</f>
        <v>0</v>
      </c>
      <c r="M38" s="17">
        <f>Лист1!AX31</f>
        <v>170.93999999999997</v>
      </c>
      <c r="N38" s="100">
        <f aca="true" t="shared" si="4" ref="N38:N43">SUM(I38:M38)</f>
        <v>3349.9</v>
      </c>
      <c r="O38" s="41">
        <f>Лист1!BE31</f>
        <v>1345.9199999999987</v>
      </c>
      <c r="P38" s="104">
        <f>Лист1!BF31</f>
        <v>-770.9800000000002</v>
      </c>
      <c r="Q38" s="1"/>
      <c r="R38" s="1"/>
    </row>
    <row r="39" spans="1:18" ht="12.75">
      <c r="A39" s="14" t="s">
        <v>45</v>
      </c>
      <c r="B39" s="15">
        <f>Лист1!B32</f>
        <v>632</v>
      </c>
      <c r="C39" s="125">
        <f>Лист1!C32</f>
        <v>5466.8</v>
      </c>
      <c r="D39" s="171">
        <f>Лист1!D32</f>
        <v>2926.6499999999987</v>
      </c>
      <c r="E39" s="39">
        <f>Лист1!S32</f>
        <v>2173.52</v>
      </c>
      <c r="F39" s="77">
        <f>Лист1!T32</f>
        <v>366.63000000000005</v>
      </c>
      <c r="G39" s="40">
        <f>Лист1!AB32</f>
        <v>1670.78</v>
      </c>
      <c r="H39" s="118">
        <f>Лист1!AC32</f>
        <v>4964.059999999999</v>
      </c>
      <c r="I39" s="39">
        <f>Лист1!AG32</f>
        <v>379.2</v>
      </c>
      <c r="J39" s="16">
        <f>Лист1!AI32+Лист1!AJ32</f>
        <v>632</v>
      </c>
      <c r="K39" s="16">
        <f>Лист1!AH32+Лист1!AK32+Лист1!AL32+Лист1!AM32+Лист1!AN32+Лист1!AO32+Лист1!AP32+Лист1!AQ32+Лист1!AR32</f>
        <v>2167.76</v>
      </c>
      <c r="L39" s="17">
        <f>Лист1!AS32+Лист1!AT32+Лист1!AU32</f>
        <v>0</v>
      </c>
      <c r="M39" s="17">
        <f>Лист1!AX32</f>
        <v>160.85999999999999</v>
      </c>
      <c r="N39" s="100">
        <f t="shared" si="4"/>
        <v>3339.82</v>
      </c>
      <c r="O39" s="41">
        <f>Лист1!BE32</f>
        <v>1624.2399999999984</v>
      </c>
      <c r="P39" s="104">
        <f>Лист1!BF32</f>
        <v>-502.74</v>
      </c>
      <c r="Q39" s="1"/>
      <c r="R39" s="1"/>
    </row>
    <row r="40" spans="1:18" ht="12.75">
      <c r="A40" s="14" t="s">
        <v>46</v>
      </c>
      <c r="B40" s="15">
        <f>Лист1!B33</f>
        <v>632</v>
      </c>
      <c r="C40" s="125">
        <f>Лист1!C33</f>
        <v>5466.8</v>
      </c>
      <c r="D40" s="171">
        <f>Лист1!D33</f>
        <v>2926.6499999999987</v>
      </c>
      <c r="E40" s="39">
        <f>Лист1!S33</f>
        <v>2173.52</v>
      </c>
      <c r="F40" s="77">
        <f>Лист1!T33</f>
        <v>366.63000000000005</v>
      </c>
      <c r="G40" s="40">
        <f>Лист1!AB33</f>
        <v>4335.12</v>
      </c>
      <c r="H40" s="118">
        <f>Лист1!AC33</f>
        <v>7628.399999999999</v>
      </c>
      <c r="I40" s="39">
        <f>Лист1!AG33</f>
        <v>379.2</v>
      </c>
      <c r="J40" s="16">
        <f>Лист1!AI33+Лист1!AJ33</f>
        <v>632</v>
      </c>
      <c r="K40" s="16">
        <f>Лист1!AH33+Лист1!AK33+Лист1!AL33+Лист1!AM33+Лист1!AN33+Лист1!AO33+Лист1!AP33+Лист1!AQ33+Лист1!AR33</f>
        <v>2167.76</v>
      </c>
      <c r="L40" s="17">
        <f>Лист1!AS33+Лист1!AT33+Лист1!AU33</f>
        <v>838</v>
      </c>
      <c r="M40" s="17">
        <f>Лист1!AX33</f>
        <v>128.94</v>
      </c>
      <c r="N40" s="100">
        <f t="shared" si="4"/>
        <v>4145.9</v>
      </c>
      <c r="O40" s="41">
        <f>Лист1!BE33</f>
        <v>3482.499999999999</v>
      </c>
      <c r="P40" s="104">
        <f>Лист1!BF33</f>
        <v>2161.6</v>
      </c>
      <c r="Q40" s="1"/>
      <c r="R40" s="1"/>
    </row>
    <row r="41" spans="1:18" ht="12.75">
      <c r="A41" s="14" t="s">
        <v>47</v>
      </c>
      <c r="B41" s="15">
        <f>Лист1!B34</f>
        <v>634.4</v>
      </c>
      <c r="C41" s="125">
        <f>Лист1!C34</f>
        <v>5487.56</v>
      </c>
      <c r="D41" s="171">
        <f>Лист1!D34</f>
        <v>2937.0699999999993</v>
      </c>
      <c r="E41" s="39">
        <f>Лист1!S34</f>
        <v>2183.86</v>
      </c>
      <c r="F41" s="77">
        <f>Лист1!T34</f>
        <v>366.63000000000005</v>
      </c>
      <c r="G41" s="40">
        <f>Лист1!AB34</f>
        <v>1768.2800000000002</v>
      </c>
      <c r="H41" s="118">
        <f>Лист1!AC34</f>
        <v>5071.98</v>
      </c>
      <c r="I41" s="39">
        <f>Лист1!AG34</f>
        <v>380.64</v>
      </c>
      <c r="J41" s="16">
        <f>Лист1!AI34+Лист1!AJ34</f>
        <v>634.4</v>
      </c>
      <c r="K41" s="16">
        <f>Лист1!AH34+Лист1!AK34+Лист1!AL34+Лист1!AM34+Лист1!AN34+Лист1!AO34+Лист1!AP34+Лист1!AQ34+Лист1!AR34</f>
        <v>2175.9919999999997</v>
      </c>
      <c r="L41" s="17">
        <f>Лист1!AS34+Лист1!AT34+Лист1!AU34</f>
        <v>0</v>
      </c>
      <c r="M41" s="17">
        <f>Лист1!AX34</f>
        <v>110.45999999999998</v>
      </c>
      <c r="N41" s="100">
        <f t="shared" si="4"/>
        <v>3301.4919999999997</v>
      </c>
      <c r="O41" s="41">
        <f>Лист1!BE34</f>
        <v>1770.4879999999994</v>
      </c>
      <c r="P41" s="104">
        <f>Лист1!BF34</f>
        <v>-415.5799999999999</v>
      </c>
      <c r="Q41" s="1"/>
      <c r="R41" s="1"/>
    </row>
    <row r="42" spans="1:18" ht="12.75">
      <c r="A42" s="14" t="s">
        <v>48</v>
      </c>
      <c r="B42" s="15">
        <f>Лист1!B35</f>
        <v>634.4</v>
      </c>
      <c r="C42" s="125">
        <f>Лист1!C35</f>
        <v>5487.56</v>
      </c>
      <c r="D42" s="171">
        <f>Лист1!D35</f>
        <v>2937.0699999999993</v>
      </c>
      <c r="E42" s="39">
        <f>Лист1!S35</f>
        <v>2183.86</v>
      </c>
      <c r="F42" s="77">
        <f>Лист1!T35</f>
        <v>366.63000000000005</v>
      </c>
      <c r="G42" s="40">
        <f>Лист1!AB35</f>
        <v>1820.6100000000001</v>
      </c>
      <c r="H42" s="118">
        <f>Лист1!AC35</f>
        <v>5124.3099999999995</v>
      </c>
      <c r="I42" s="39">
        <f>Лист1!AG35</f>
        <v>380.64</v>
      </c>
      <c r="J42" s="16">
        <f>Лист1!AI35+Лист1!AJ35</f>
        <v>634.4</v>
      </c>
      <c r="K42" s="16">
        <f>Лист1!AH35+Лист1!AK35+Лист1!AL35+Лист1!AM35+Лист1!AN35+Лист1!AO35+Лист1!AP35+Лист1!AQ35+Лист1!AR35</f>
        <v>2175.9919999999997</v>
      </c>
      <c r="L42" s="17">
        <f>Лист1!AS35+Лист1!AT35+Лист1!AU35</f>
        <v>7028</v>
      </c>
      <c r="M42" s="17">
        <f>Лист1!AX35</f>
        <v>97.85999999999999</v>
      </c>
      <c r="N42" s="100">
        <f t="shared" si="4"/>
        <v>10316.892</v>
      </c>
      <c r="O42" s="41">
        <f>Лист1!BE35</f>
        <v>-5192.582</v>
      </c>
      <c r="P42" s="104">
        <f>Лист1!BF35</f>
        <v>-363.25</v>
      </c>
      <c r="Q42" s="1"/>
      <c r="R42" s="1"/>
    </row>
    <row r="43" spans="1:18" ht="12.75">
      <c r="A43" s="14" t="s">
        <v>49</v>
      </c>
      <c r="B43" s="15">
        <f>Лист1!B36</f>
        <v>634.4</v>
      </c>
      <c r="C43" s="125">
        <f>Лист1!C36</f>
        <v>5487.56</v>
      </c>
      <c r="D43" s="171">
        <f>Лист1!D36</f>
        <v>2937.07</v>
      </c>
      <c r="E43" s="39">
        <f>Лист1!S36</f>
        <v>2550.4900000000002</v>
      </c>
      <c r="F43" s="77">
        <f>Лист1!T36</f>
        <v>0</v>
      </c>
      <c r="G43" s="40">
        <f>Лист1!AB36</f>
        <v>2376.29</v>
      </c>
      <c r="H43" s="118">
        <f>Лист1!AC36</f>
        <v>5313.360000000001</v>
      </c>
      <c r="I43" s="39">
        <f>Лист1!AG36</f>
        <v>380.64</v>
      </c>
      <c r="J43" s="16">
        <f>Лист1!AI36+Лист1!AJ36</f>
        <v>634.4</v>
      </c>
      <c r="K43" s="16">
        <f>Лист1!AH36+Лист1!AK36+Лист1!AL36+Лист1!AM36+Лист1!AN36+Лист1!AO36+Лист1!AP36+Лист1!AQ36+Лист1!AR36</f>
        <v>2175.9919999999997</v>
      </c>
      <c r="L43" s="17">
        <f>Лист1!AS36+Лист1!AT36+Лист1!AU36</f>
        <v>0</v>
      </c>
      <c r="M43" s="17">
        <f>Лист1!AX36</f>
        <v>104.15999999999998</v>
      </c>
      <c r="N43" s="100">
        <f t="shared" si="4"/>
        <v>3295.1919999999996</v>
      </c>
      <c r="O43" s="41">
        <f>Лист1!BE36</f>
        <v>2018.1680000000006</v>
      </c>
      <c r="P43" s="104">
        <f>Лист1!BF36</f>
        <v>-174.20000000000027</v>
      </c>
      <c r="Q43" s="1"/>
      <c r="R43" s="1"/>
    </row>
    <row r="44" spans="1:18" ht="12.75">
      <c r="A44" s="14" t="s">
        <v>50</v>
      </c>
      <c r="B44" s="15">
        <f>Лист1!B37</f>
        <v>634.4</v>
      </c>
      <c r="C44" s="125">
        <f>Лист1!C37</f>
        <v>5487.56</v>
      </c>
      <c r="D44" s="171">
        <f>Лист1!D37</f>
        <v>2937.07</v>
      </c>
      <c r="E44" s="39">
        <f>Лист1!S37</f>
        <v>2550.4900000000002</v>
      </c>
      <c r="F44" s="77">
        <f>Лист1!T37</f>
        <v>0</v>
      </c>
      <c r="G44" s="40">
        <f>Лист1!AB37</f>
        <v>1457.5</v>
      </c>
      <c r="H44" s="118">
        <f>Лист1!AC37</f>
        <v>4394.57</v>
      </c>
      <c r="I44" s="39">
        <f>Лист1!AG37</f>
        <v>380.64</v>
      </c>
      <c r="J44" s="16">
        <f>Лист1!AI37+Лист1!AJ37</f>
        <v>634.4</v>
      </c>
      <c r="K44" s="16">
        <f>Лист1!AH37+Лист1!AK37+Лист1!AL37+Лист1!AM37+Лист1!AN37+Лист1!AO37+Лист1!AP37+Лист1!AQ37+Лист1!AR37</f>
        <v>2175.9919999999997</v>
      </c>
      <c r="L44" s="17">
        <f>Лист1!AS37+Лист1!AT37+Лист1!AU37</f>
        <v>56.403999999999996</v>
      </c>
      <c r="M44" s="17">
        <f>Лист1!AX37</f>
        <v>123.05999999999997</v>
      </c>
      <c r="N44" s="100">
        <f>SUM(I44:M44)</f>
        <v>3370.4959999999996</v>
      </c>
      <c r="O44" s="41">
        <f>Лист1!BE37</f>
        <v>1024.0739999999996</v>
      </c>
      <c r="P44" s="104">
        <f>Лист1!BF37</f>
        <v>-1092.9900000000002</v>
      </c>
      <c r="Q44" s="1"/>
      <c r="R44" s="1"/>
    </row>
    <row r="45" spans="1:18" ht="12.75">
      <c r="A45" s="14" t="s">
        <v>51</v>
      </c>
      <c r="B45" s="15">
        <f>Лист1!B38</f>
        <v>634.4</v>
      </c>
      <c r="C45" s="125">
        <f>Лист1!C38</f>
        <v>5487.56</v>
      </c>
      <c r="D45" s="171">
        <f>Лист1!D38</f>
        <v>2937.07</v>
      </c>
      <c r="E45" s="39">
        <f>Лист1!S38</f>
        <v>2550.4900000000002</v>
      </c>
      <c r="F45" s="77">
        <f>Лист1!T38</f>
        <v>0</v>
      </c>
      <c r="G45" s="40">
        <f>Лист1!AB38</f>
        <v>2095.91</v>
      </c>
      <c r="H45" s="118">
        <f>Лист1!AC38</f>
        <v>5032.98</v>
      </c>
      <c r="I45" s="39">
        <f>Лист1!AG38</f>
        <v>380.64</v>
      </c>
      <c r="J45" s="16">
        <f>Лист1!AI38+Лист1!AJ38</f>
        <v>634.4</v>
      </c>
      <c r="K45" s="16">
        <f>Лист1!AH38+Лист1!AK38+Лист1!AL38+Лист1!AM38+Лист1!AN38+Лист1!AO38+Лист1!AP38+Лист1!AQ38+Лист1!AR38</f>
        <v>2175.9919999999997</v>
      </c>
      <c r="L45" s="17">
        <f>Лист1!AS38+Лист1!AT38+Лист1!AU38</f>
        <v>0</v>
      </c>
      <c r="M45" s="17">
        <f>Лист1!AX38</f>
        <v>146.57999999999998</v>
      </c>
      <c r="N45" s="100">
        <f>SUM(I45:M45)</f>
        <v>3337.6119999999996</v>
      </c>
      <c r="O45" s="41">
        <f>Лист1!BE38</f>
        <v>1695.3679999999995</v>
      </c>
      <c r="P45" s="104">
        <f>Лист1!BF38</f>
        <v>-454.5800000000004</v>
      </c>
      <c r="Q45" s="1"/>
      <c r="R45" s="1"/>
    </row>
    <row r="46" spans="1:18" ht="12.75">
      <c r="A46" s="14" t="s">
        <v>39</v>
      </c>
      <c r="B46" s="15">
        <f>Лист1!B39</f>
        <v>634.4</v>
      </c>
      <c r="C46" s="125">
        <f>Лист1!C39</f>
        <v>5487.56</v>
      </c>
      <c r="D46" s="171">
        <f>Лист1!D39</f>
        <v>2937.07</v>
      </c>
      <c r="E46" s="39">
        <f>Лист1!S39</f>
        <v>2550.4900000000002</v>
      </c>
      <c r="F46" s="77">
        <f>Лист1!T39</f>
        <v>0</v>
      </c>
      <c r="G46" s="40">
        <f>Лист1!AB39</f>
        <v>2025.17</v>
      </c>
      <c r="H46" s="118">
        <f>Лист1!AC39</f>
        <v>4962.24</v>
      </c>
      <c r="I46" s="39">
        <f>Лист1!AG39</f>
        <v>380.64</v>
      </c>
      <c r="J46" s="16">
        <f>Лист1!AI39+Лист1!AJ39</f>
        <v>634.4</v>
      </c>
      <c r="K46" s="16">
        <f>Лист1!AH39+Лист1!AK39+Лист1!AL39+Лист1!AM39+Лист1!AN39+Лист1!AO39+Лист1!AP39+Лист1!AQ39+Лист1!AR39</f>
        <v>2175.9919999999997</v>
      </c>
      <c r="L46" s="17">
        <f>Лист1!AS39+Лист1!AT39+Лист1!AU39</f>
        <v>3828</v>
      </c>
      <c r="M46" s="17">
        <f>Лист1!AX39</f>
        <v>178.5</v>
      </c>
      <c r="N46" s="100">
        <f>SUM(I46:M46)</f>
        <v>7197.531999999999</v>
      </c>
      <c r="O46" s="41">
        <f>Лист1!BE39</f>
        <v>-2235.2920000000004</v>
      </c>
      <c r="P46" s="104">
        <f>Лист1!BF39</f>
        <v>-525.3200000000002</v>
      </c>
      <c r="Q46" s="1"/>
      <c r="R46" s="1"/>
    </row>
    <row r="47" spans="1:18" ht="12.75">
      <c r="A47" s="14" t="s">
        <v>40</v>
      </c>
      <c r="B47" s="15">
        <f>Лист1!B40</f>
        <v>634.4</v>
      </c>
      <c r="C47" s="125">
        <f>Лист1!C40</f>
        <v>5487.56</v>
      </c>
      <c r="D47" s="171">
        <f>Лист1!D40</f>
        <v>2937.07</v>
      </c>
      <c r="E47" s="39">
        <f>Лист1!S40</f>
        <v>2550.4900000000002</v>
      </c>
      <c r="F47" s="77">
        <f>Лист1!T40</f>
        <v>0</v>
      </c>
      <c r="G47" s="40">
        <f>Лист1!AB40</f>
        <v>2062.93</v>
      </c>
      <c r="H47" s="118">
        <f>Лист1!AC40</f>
        <v>5000</v>
      </c>
      <c r="I47" s="39">
        <f>Лист1!AG40</f>
        <v>380.64</v>
      </c>
      <c r="J47" s="16">
        <f>Лист1!AI40+Лист1!AJ40</f>
        <v>634.4</v>
      </c>
      <c r="K47" s="16">
        <f>Лист1!AH40+Лист1!AK40+Лист1!AL40+Лист1!AM40+Лист1!AN40+Лист1!AO40+Лист1!AP40+Лист1!AQ40+Лист1!AR40</f>
        <v>2175.9919999999997</v>
      </c>
      <c r="L47" s="17">
        <f>Лист1!AS40+Лист1!AT40+Лист1!AU40</f>
        <v>1998</v>
      </c>
      <c r="M47" s="17">
        <f>Лист1!AX40</f>
        <v>197.39999999999998</v>
      </c>
      <c r="N47" s="100">
        <f>SUM(I47:M47)</f>
        <v>5386.431999999999</v>
      </c>
      <c r="O47" s="41">
        <f>Лист1!BE40</f>
        <v>-386.4319999999998</v>
      </c>
      <c r="P47" s="104">
        <f>Лист1!BF40</f>
        <v>-487.5600000000004</v>
      </c>
      <c r="Q47" s="1"/>
      <c r="R47" s="1"/>
    </row>
    <row r="48" spans="1:18" ht="13.5" thickBot="1">
      <c r="A48" s="42" t="s">
        <v>41</v>
      </c>
      <c r="B48" s="15">
        <f>Лист1!B41</f>
        <v>634.4</v>
      </c>
      <c r="C48" s="125">
        <f>Лист1!C41</f>
        <v>5487.56</v>
      </c>
      <c r="D48" s="171">
        <f>Лист1!D41</f>
        <v>2937.0900000000006</v>
      </c>
      <c r="E48" s="39">
        <f>Лист1!S41</f>
        <v>2550.4700000000003</v>
      </c>
      <c r="F48" s="77">
        <f>Лист1!T41</f>
        <v>0</v>
      </c>
      <c r="G48" s="40">
        <f>Лист1!AB41</f>
        <v>4222.929999999999</v>
      </c>
      <c r="H48" s="118">
        <f>Лист1!AC41</f>
        <v>7160.02</v>
      </c>
      <c r="I48" s="39">
        <f>Лист1!AG41</f>
        <v>380.64</v>
      </c>
      <c r="J48" s="16">
        <f>Лист1!AI41+Лист1!AJ41</f>
        <v>634.4</v>
      </c>
      <c r="K48" s="16">
        <f>Лист1!AH41+Лист1!AK41+Лист1!AL41+Лист1!AM41+Лист1!AN41+Лист1!AO41+Лист1!AP41+Лист1!AQ41+Лист1!AR41</f>
        <v>2175.9919999999997</v>
      </c>
      <c r="L48" s="17">
        <f>Лист1!AS41+Лист1!AT41+Лист1!AU41</f>
        <v>0</v>
      </c>
      <c r="M48" s="17">
        <f>Лист1!AX41</f>
        <v>215.87999999999997</v>
      </c>
      <c r="N48" s="100">
        <f>SUM(I48:M48)</f>
        <v>3406.912</v>
      </c>
      <c r="O48" s="41">
        <f>Лист1!BE41</f>
        <v>3753.108</v>
      </c>
      <c r="P48" s="104">
        <f>Лист1!BF41</f>
        <v>1672.4599999999991</v>
      </c>
      <c r="Q48" s="1"/>
      <c r="R48" s="1"/>
    </row>
    <row r="49" spans="1:18" s="23" customFormat="1" ht="13.5" thickBot="1">
      <c r="A49" s="43" t="s">
        <v>3</v>
      </c>
      <c r="B49" s="44"/>
      <c r="C49" s="47">
        <f aca="true" t="shared" si="5" ref="C49:P49">SUM(C37:C48)</f>
        <v>65765.94999999998</v>
      </c>
      <c r="D49" s="49">
        <f t="shared" si="5"/>
        <v>35201.469999999994</v>
      </c>
      <c r="E49" s="48">
        <f t="shared" si="5"/>
        <v>28364.700000000008</v>
      </c>
      <c r="F49" s="45">
        <f t="shared" si="5"/>
        <v>2199.78</v>
      </c>
      <c r="G49" s="46">
        <f t="shared" si="5"/>
        <v>27275.93</v>
      </c>
      <c r="H49" s="92">
        <f t="shared" si="5"/>
        <v>64677.17999999999</v>
      </c>
      <c r="I49" s="48">
        <f t="shared" si="5"/>
        <v>4561.8</v>
      </c>
      <c r="J49" s="45">
        <f t="shared" si="5"/>
        <v>7602.999999999998</v>
      </c>
      <c r="K49" s="45">
        <f t="shared" si="5"/>
        <v>26078.289999999994</v>
      </c>
      <c r="L49" s="45">
        <f t="shared" si="5"/>
        <v>13748.404</v>
      </c>
      <c r="M49" s="45">
        <f t="shared" si="5"/>
        <v>1847.9999999999998</v>
      </c>
      <c r="N49" s="84">
        <f t="shared" si="5"/>
        <v>53839.494</v>
      </c>
      <c r="O49" s="49">
        <f t="shared" si="5"/>
        <v>10837.685999999992</v>
      </c>
      <c r="P49" s="107">
        <f t="shared" si="5"/>
        <v>-1088.7700000000032</v>
      </c>
      <c r="Q49" s="51"/>
      <c r="R49" s="51"/>
    </row>
    <row r="50" spans="1:18" ht="13.5" thickBot="1">
      <c r="A50" s="86" t="s">
        <v>66</v>
      </c>
      <c r="B50" s="87"/>
      <c r="C50" s="88"/>
      <c r="D50" s="111"/>
      <c r="E50" s="87"/>
      <c r="F50" s="87"/>
      <c r="G50" s="86"/>
      <c r="H50" s="122"/>
      <c r="I50" s="87"/>
      <c r="J50" s="87"/>
      <c r="K50" s="87"/>
      <c r="L50" s="87"/>
      <c r="M50" s="87"/>
      <c r="N50" s="89"/>
      <c r="O50" s="111"/>
      <c r="P50" s="108"/>
      <c r="Q50" s="1"/>
      <c r="R50" s="1"/>
    </row>
    <row r="51" spans="1:18" s="23" customFormat="1" ht="13.5" thickBot="1">
      <c r="A51" s="56" t="s">
        <v>52</v>
      </c>
      <c r="B51" s="57"/>
      <c r="C51" s="58">
        <f>C35+C49</f>
        <v>147741.99999999997</v>
      </c>
      <c r="D51" s="60">
        <f aca="true" t="shared" si="6" ref="D51:P51">D35+D49</f>
        <v>65309.48669769999</v>
      </c>
      <c r="E51" s="116">
        <f t="shared" si="6"/>
        <v>60321.54000000001</v>
      </c>
      <c r="F51" s="115">
        <f t="shared" si="6"/>
        <v>7416.380000000001</v>
      </c>
      <c r="G51" s="59">
        <f t="shared" si="6"/>
        <v>56699.81</v>
      </c>
      <c r="H51" s="85">
        <f t="shared" si="6"/>
        <v>129425.6766977</v>
      </c>
      <c r="I51" s="116">
        <f t="shared" si="6"/>
        <v>10096.367999999999</v>
      </c>
      <c r="J51" s="57">
        <f t="shared" si="6"/>
        <v>16760.417298709996</v>
      </c>
      <c r="K51" s="57">
        <f t="shared" si="6"/>
        <v>57497.999356391185</v>
      </c>
      <c r="L51" s="57">
        <f t="shared" si="6"/>
        <v>30708.2826</v>
      </c>
      <c r="M51" s="57">
        <f t="shared" si="6"/>
        <v>3592.5119999999997</v>
      </c>
      <c r="N51" s="93">
        <f t="shared" si="6"/>
        <v>118655.5792551012</v>
      </c>
      <c r="O51" s="60">
        <f t="shared" si="6"/>
        <v>10770.097442598788</v>
      </c>
      <c r="P51" s="109">
        <f t="shared" si="6"/>
        <v>-3621.730000000005</v>
      </c>
      <c r="Q51" s="61"/>
      <c r="R51" s="51"/>
    </row>
    <row r="54" spans="1:18" ht="12.75">
      <c r="A54" s="23" t="s">
        <v>67</v>
      </c>
      <c r="D54" s="271" t="s">
        <v>94</v>
      </c>
      <c r="Q54" s="1"/>
      <c r="R54" s="1"/>
    </row>
    <row r="55" spans="1:18" ht="12.75">
      <c r="A55" s="24" t="s">
        <v>68</v>
      </c>
      <c r="B55" s="24" t="s">
        <v>69</v>
      </c>
      <c r="C55" s="365" t="s">
        <v>70</v>
      </c>
      <c r="D55" s="365"/>
      <c r="Q55" s="1"/>
      <c r="R55" s="1"/>
    </row>
    <row r="56" spans="1:18" ht="12.75">
      <c r="A56" s="72">
        <v>44536.39</v>
      </c>
      <c r="B56" s="74">
        <v>20091</v>
      </c>
      <c r="C56" s="366">
        <f>A56-B56</f>
        <v>24445.39</v>
      </c>
      <c r="D56" s="367"/>
      <c r="Q56" s="1"/>
      <c r="R56" s="1"/>
    </row>
    <row r="57" spans="1:18" ht="12.75">
      <c r="A57" s="62"/>
      <c r="Q57" s="1"/>
      <c r="R57" s="1"/>
    </row>
    <row r="58" spans="1:18" ht="12.75">
      <c r="A58" s="62"/>
      <c r="Q58" s="1"/>
      <c r="R58" s="1"/>
    </row>
    <row r="59" spans="1:18" ht="12.75">
      <c r="A59" s="2" t="s">
        <v>71</v>
      </c>
      <c r="G59" s="2" t="s">
        <v>72</v>
      </c>
      <c r="Q59" s="1"/>
      <c r="R59" s="1"/>
    </row>
    <row r="60" ht="12.75">
      <c r="A60" s="1"/>
    </row>
    <row r="61" ht="12.75">
      <c r="A61" s="1"/>
    </row>
    <row r="62" ht="12.75">
      <c r="A62" s="1" t="s">
        <v>73</v>
      </c>
    </row>
    <row r="63" ht="12.75">
      <c r="A63" s="2" t="s">
        <v>74</v>
      </c>
    </row>
  </sheetData>
  <sheetProtection/>
  <mergeCells count="21">
    <mergeCell ref="P10:P13"/>
    <mergeCell ref="E12:F12"/>
    <mergeCell ref="H12:H13"/>
    <mergeCell ref="I12:I13"/>
    <mergeCell ref="J12:J13"/>
    <mergeCell ref="K12:K13"/>
    <mergeCell ref="C55:D55"/>
    <mergeCell ref="C56:D56"/>
    <mergeCell ref="N12:N13"/>
    <mergeCell ref="G10:H11"/>
    <mergeCell ref="E10:F11"/>
    <mergeCell ref="M12:M13"/>
    <mergeCell ref="A6:O6"/>
    <mergeCell ref="A10:A13"/>
    <mergeCell ref="B10:B13"/>
    <mergeCell ref="C10:C13"/>
    <mergeCell ref="D10:D13"/>
    <mergeCell ref="L12:L13"/>
    <mergeCell ref="I10:N11"/>
    <mergeCell ref="O10:O13"/>
    <mergeCell ref="A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2010-07-08T09:41:53Z</cp:lastPrinted>
  <dcterms:created xsi:type="dcterms:W3CDTF">2010-04-03T04:08:20Z</dcterms:created>
  <dcterms:modified xsi:type="dcterms:W3CDTF">2011-03-31T07:16:00Z</dcterms:modified>
  <cp:category/>
  <cp:version/>
  <cp:contentType/>
  <cp:contentStatus/>
</cp:coreProperties>
</file>