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3"/>
  </bookViews>
  <sheets>
    <sheet name="Лист1" sheetId="1" r:id="rId1"/>
    <sheet name="Лист2" sheetId="2" r:id="rId2"/>
    <sheet name="2011 полн." sheetId="3" r:id="rId3"/>
    <sheet name="2011 печать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<sst xmlns="http://schemas.openxmlformats.org/spreadsheetml/2006/main" count="309" uniqueCount="125">
  <si>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</si>
  <si>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</si>
  <si>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</si>
  <si>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</si>
  <si>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</si>
  <si>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</si>
  <si>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</si>
  <si>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</si>
  <si>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</si>
  <si>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</si>
  <si>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</si>
  <si>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</si>
  <si>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</si>
  <si>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</si>
  <si>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</si>
  <si>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</si>
  <si>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</si>
  <si>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</si>
  <si>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</si>
  <si>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</si>
  <si>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</si>
  <si>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</si>
  <si>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</si>
  <si>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</si>
  <si>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</si>
  <si>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</si>
  <si>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</si>
  <si>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</si>
  <si>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</si>
  <si>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</si>
  <si>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</si>
  <si>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</si>
  <si>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</si>
  <si>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</si>
  <si>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</si>
  <si>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</si>
  <si>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</si>
  <si>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</si>
  <si>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</si>
  <si>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</si>
  <si>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</si>
  <si>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</si>
  <si>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</si>
  <si>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</si>
  <si>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</si>
  <si>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</si>
  <si>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</si>
  <si>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</si>
  <si>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</si>
  <si>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</si>
  <si>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</si>
  <si>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</si>
  <si>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</si>
  <si>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</si>
  <si>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</si>
  <si>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</si>
  <si>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</si>
  <si>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</si>
  <si>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</si>
  <si>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</si>
  <si>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</si>
  <si>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</si>
  <si>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</si>
  <si>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</si>
  <si>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</si>
  <si>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</si>
  <si>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</si>
  <si>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</si>
  <si>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</si>
  <si>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</si>
  <si>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</si>
  <si>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</si>
  <si>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</si>
  <si>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</si>
  <si>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</si>
  <si>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</si>
  <si>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</si>
  <si>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</si>
  <si>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</si>
  <si>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</si>
  <si>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</si>
  <si>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</si>
  <si>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</si>
  <si>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</si>
  <si>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</si>
  <si>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</si>
  <si>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</si>
  <si>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</si>
  <si>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Доп. работы по содержанию ТУК</t>
  </si>
  <si>
    <t xml:space="preserve">Долг(-)/ переплата(+)  жителей </t>
  </si>
  <si>
    <t>Выписка по лицевому счету по адресу г. Таштагол, ул. Ленина, д. 22</t>
  </si>
  <si>
    <t>Лицевой счет по адресу г. Таштагол, ул. Ленина, д. 22</t>
  </si>
  <si>
    <t>2010 год</t>
  </si>
  <si>
    <t>на 01.01.2011 г.</t>
  </si>
  <si>
    <t>на начало отчетного периода</t>
  </si>
  <si>
    <t>Лицевой счет по адресу г. Таштагол, ул. Увальная, д.8</t>
  </si>
  <si>
    <t>№ п/п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</si>
  <si>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</si>
  <si>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</si>
  <si>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</si>
  <si>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</si>
  <si>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</si>
  <si>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</si>
  <si>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</si>
  <si>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</si>
  <si>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</si>
  <si>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</si>
  <si>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</si>
  <si>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</si>
  <si>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</si>
  <si>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</si>
  <si>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</si>
  <si>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</si>
  <si>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</si>
  <si>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</si>
  <si>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Электроэнергия</t>
  </si>
  <si>
    <t>2011 год</t>
  </si>
  <si>
    <t>Собрано квартплаты от населения</t>
  </si>
  <si>
    <t>Услуга начисления</t>
  </si>
  <si>
    <t>Собрано по содержанию и тек.рем.</t>
  </si>
  <si>
    <t>Исп. В.В. Колмогорова</t>
  </si>
  <si>
    <t>Выписка по лицевому счету по адресу г. Таштагол ул. Ленина, д.22</t>
  </si>
  <si>
    <t>Содержание сетей тепло-водоснабжения</t>
  </si>
  <si>
    <t>на 01.01.2012 г.</t>
  </si>
  <si>
    <t>*по состоянию на 01.01.2012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</si>
</sst>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33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33" xfId="0" applyNumberFormat="1" applyFont="1" applyFill="1" applyBorder="1" applyAlignment="1">
      <alignment wrapText="1"/>
    </xf>
    <xf numFmtId="4" fontId="0" fillId="0" borderId="34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wrapText="1"/>
    </xf>
    <xf numFmtId="4" fontId="7" fillId="0" borderId="22" xfId="33" applyNumberFormat="1" applyFont="1" applyFill="1" applyBorder="1" applyAlignment="1">
      <alignment horizontal="right" vertical="center" wrapText="1"/>
      <protection/>
    </xf>
    <xf numFmtId="4" fontId="7" fillId="0" borderId="23" xfId="33" applyNumberFormat="1" applyFont="1" applyFill="1" applyBorder="1" applyAlignment="1">
      <alignment horizontal="right" vertical="center" wrapText="1"/>
      <protection/>
    </xf>
    <xf numFmtId="4" fontId="1" fillId="33" borderId="11" xfId="0" applyNumberFormat="1" applyFont="1" applyFill="1" applyBorder="1" applyAlignment="1">
      <alignment horizontal="right" wrapText="1"/>
    </xf>
    <xf numFmtId="4" fontId="7" fillId="0" borderId="32" xfId="33" applyNumberFormat="1" applyFont="1" applyFill="1" applyBorder="1" applyAlignment="1">
      <alignment horizontal="right" vertical="center" wrapText="1"/>
      <protection/>
    </xf>
    <xf numFmtId="4" fontId="7" fillId="0" borderId="31" xfId="33" applyNumberFormat="1" applyFont="1" applyFill="1" applyBorder="1" applyAlignment="1">
      <alignment horizontal="right" vertical="center" wrapText="1"/>
      <protection/>
    </xf>
    <xf numFmtId="4" fontId="0" fillId="0" borderId="3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4" fontId="7" fillId="33" borderId="22" xfId="33" applyNumberFormat="1" applyFont="1" applyFill="1" applyBorder="1" applyAlignment="1">
      <alignment horizontal="right" vertical="center" wrapText="1"/>
      <protection/>
    </xf>
    <xf numFmtId="4" fontId="1" fillId="33" borderId="22" xfId="0" applyNumberFormat="1" applyFont="1" applyFill="1" applyBorder="1" applyAlignment="1">
      <alignment horizontal="right" wrapText="1"/>
    </xf>
    <xf numFmtId="4" fontId="1" fillId="33" borderId="23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" fillId="33" borderId="23" xfId="0" applyNumberFormat="1" applyFont="1" applyFill="1" applyBorder="1" applyAlignment="1">
      <alignment horizontal="right" wrapText="1"/>
    </xf>
    <xf numFmtId="4" fontId="1" fillId="33" borderId="22" xfId="0" applyNumberFormat="1" applyFont="1" applyFill="1" applyBorder="1" applyAlignment="1">
      <alignment horizontal="right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0" fillId="34" borderId="17" xfId="0" applyNumberFormat="1" applyFont="1" applyFill="1" applyBorder="1" applyAlignment="1">
      <alignment horizontal="right"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1" fillId="33" borderId="35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4" fontId="0" fillId="0" borderId="39" xfId="0" applyNumberFormat="1" applyFont="1" applyFill="1" applyBorder="1" applyAlignment="1">
      <alignment horizontal="right"/>
    </xf>
    <xf numFmtId="4" fontId="7" fillId="0" borderId="36" xfId="33" applyNumberFormat="1" applyFont="1" applyFill="1" applyBorder="1" applyAlignment="1">
      <alignment horizontal="right" vertical="center" wrapText="1"/>
      <protection/>
    </xf>
    <xf numFmtId="4" fontId="0" fillId="0" borderId="38" xfId="0" applyNumberFormat="1" applyFont="1" applyFill="1" applyBorder="1" applyAlignment="1">
      <alignment horizontal="right"/>
    </xf>
    <xf numFmtId="4" fontId="1" fillId="0" borderId="36" xfId="0" applyNumberFormat="1" applyFont="1" applyFill="1" applyBorder="1" applyAlignment="1">
      <alignment horizontal="right" wrapText="1"/>
    </xf>
    <xf numFmtId="4" fontId="0" fillId="0" borderId="40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 horizontal="right"/>
    </xf>
    <xf numFmtId="4" fontId="7" fillId="0" borderId="25" xfId="33" applyNumberFormat="1" applyFont="1" applyFill="1" applyBorder="1" applyAlignment="1">
      <alignment horizontal="right" vertical="center" wrapText="1"/>
      <protection/>
    </xf>
    <xf numFmtId="0" fontId="1" fillId="0" borderId="25" xfId="0" applyFont="1" applyFill="1" applyBorder="1" applyAlignment="1">
      <alignment/>
    </xf>
    <xf numFmtId="0" fontId="1" fillId="0" borderId="41" xfId="0" applyFont="1" applyFill="1" applyBorder="1" applyAlignment="1">
      <alignment horizontal="center" textRotation="90"/>
    </xf>
    <xf numFmtId="4" fontId="0" fillId="0" borderId="41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1" fillId="33" borderId="39" xfId="0" applyNumberFormat="1" applyFont="1" applyFill="1" applyBorder="1" applyAlignment="1">
      <alignment horizontal="right"/>
    </xf>
    <xf numFmtId="4" fontId="1" fillId="33" borderId="40" xfId="0" applyNumberFormat="1" applyFont="1" applyFill="1" applyBorder="1" applyAlignment="1">
      <alignment horizontal="right"/>
    </xf>
    <xf numFmtId="4" fontId="7" fillId="33" borderId="23" xfId="33" applyNumberFormat="1" applyFont="1" applyFill="1" applyBorder="1" applyAlignment="1">
      <alignment horizontal="right" vertical="center" wrapText="1"/>
      <protection/>
    </xf>
    <xf numFmtId="4" fontId="1" fillId="33" borderId="38" xfId="0" applyNumberFormat="1" applyFont="1" applyFill="1" applyBorder="1" applyAlignment="1">
      <alignment horizontal="right"/>
    </xf>
    <xf numFmtId="0" fontId="1" fillId="33" borderId="36" xfId="0" applyFont="1" applyFill="1" applyBorder="1" applyAlignment="1">
      <alignment/>
    </xf>
    <xf numFmtId="4" fontId="2" fillId="0" borderId="28" xfId="33" applyNumberFormat="1" applyFont="1" applyFill="1" applyBorder="1" applyAlignment="1">
      <alignment horizontal="right" vertical="center" wrapText="1"/>
      <protection/>
    </xf>
    <xf numFmtId="4" fontId="2" fillId="0" borderId="26" xfId="33" applyNumberFormat="1" applyFont="1" applyFill="1" applyBorder="1" applyAlignment="1">
      <alignment horizontal="right" vertical="center" wrapText="1"/>
      <protection/>
    </xf>
    <xf numFmtId="4" fontId="2" fillId="0" borderId="15" xfId="33" applyNumberFormat="1" applyFont="1" applyFill="1" applyBorder="1" applyAlignment="1">
      <alignment horizontal="right" vertical="center" wrapText="1"/>
      <protection/>
    </xf>
    <xf numFmtId="4" fontId="2" fillId="0" borderId="42" xfId="33" applyNumberFormat="1" applyFont="1" applyFill="1" applyBorder="1" applyAlignment="1">
      <alignment horizontal="right" vertical="center" wrapText="1"/>
      <protection/>
    </xf>
    <xf numFmtId="4" fontId="2" fillId="0" borderId="14" xfId="33" applyNumberFormat="1" applyFont="1" applyFill="1" applyBorder="1" applyAlignment="1">
      <alignment horizontal="right" vertical="center" wrapText="1"/>
      <protection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right" wrapText="1"/>
    </xf>
    <xf numFmtId="4" fontId="2" fillId="34" borderId="13" xfId="33" applyNumberFormat="1" applyFont="1" applyFill="1" applyBorder="1" applyAlignment="1">
      <alignment horizontal="right" vertical="center" wrapText="1"/>
      <protection/>
    </xf>
    <xf numFmtId="0" fontId="0" fillId="0" borderId="11" xfId="0" applyFont="1" applyFill="1" applyBorder="1" applyAlignment="1">
      <alignment horizontal="right"/>
    </xf>
    <xf numFmtId="4" fontId="0" fillId="35" borderId="15" xfId="0" applyNumberFormat="1" applyFont="1" applyFill="1" applyBorder="1" applyAlignment="1">
      <alignment horizontal="right"/>
    </xf>
    <xf numFmtId="4" fontId="0" fillId="34" borderId="29" xfId="0" applyNumberFormat="1" applyFont="1" applyFill="1" applyBorder="1" applyAlignment="1">
      <alignment horizontal="right"/>
    </xf>
    <xf numFmtId="4" fontId="0" fillId="34" borderId="28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4" fontId="0" fillId="36" borderId="35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left"/>
    </xf>
    <xf numFmtId="4" fontId="0" fillId="34" borderId="35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2" fillId="0" borderId="13" xfId="33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4" fontId="0" fillId="0" borderId="15" xfId="0" applyNumberFormat="1" applyFont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right"/>
    </xf>
    <xf numFmtId="4" fontId="0" fillId="37" borderId="11" xfId="0" applyNumberFormat="1" applyFont="1" applyFill="1" applyBorder="1" applyAlignment="1">
      <alignment horizontal="right"/>
    </xf>
    <xf numFmtId="4" fontId="0" fillId="38" borderId="35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center" vertical="center" wrapText="1"/>
    </xf>
    <xf numFmtId="4" fontId="0" fillId="38" borderId="11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 wrapText="1"/>
    </xf>
    <xf numFmtId="4" fontId="0" fillId="0" borderId="46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right"/>
    </xf>
    <xf numFmtId="4" fontId="2" fillId="0" borderId="47" xfId="33" applyNumberFormat="1" applyFont="1" applyFill="1" applyBorder="1" applyAlignment="1">
      <alignment horizontal="right" vertical="center" wrapText="1"/>
      <protection/>
    </xf>
    <xf numFmtId="4" fontId="2" fillId="34" borderId="17" xfId="33" applyNumberFormat="1" applyFont="1" applyFill="1" applyBorder="1" applyAlignment="1">
      <alignment horizontal="right" vertical="center" wrapText="1"/>
      <protection/>
    </xf>
    <xf numFmtId="0" fontId="0" fillId="0" borderId="17" xfId="0" applyFont="1" applyFill="1" applyBorder="1" applyAlignment="1">
      <alignment horizontal="right"/>
    </xf>
    <xf numFmtId="4" fontId="0" fillId="35" borderId="37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34" borderId="46" xfId="0" applyNumberFormat="1" applyFont="1" applyFill="1" applyBorder="1" applyAlignment="1">
      <alignment horizontal="right"/>
    </xf>
    <xf numFmtId="4" fontId="0" fillId="37" borderId="17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165" fontId="0" fillId="0" borderId="17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 horizontal="right"/>
    </xf>
    <xf numFmtId="4" fontId="0" fillId="38" borderId="17" xfId="0" applyNumberFormat="1" applyFont="1" applyFill="1" applyBorder="1" applyAlignment="1">
      <alignment horizontal="right"/>
    </xf>
    <xf numFmtId="4" fontId="0" fillId="36" borderId="46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4" fontId="2" fillId="34" borderId="11" xfId="33" applyNumberFormat="1" applyFont="1" applyFill="1" applyBorder="1" applyAlignment="1">
      <alignment horizontal="right" vertical="center" wrapText="1"/>
      <protection/>
    </xf>
    <xf numFmtId="0" fontId="0" fillId="0" borderId="17" xfId="0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wrapText="1"/>
    </xf>
    <xf numFmtId="0" fontId="1" fillId="0" borderId="44" xfId="0" applyFont="1" applyFill="1" applyBorder="1" applyAlignment="1">
      <alignment/>
    </xf>
    <xf numFmtId="4" fontId="0" fillId="37" borderId="13" xfId="0" applyNumberFormat="1" applyFont="1" applyFill="1" applyBorder="1" applyAlignment="1">
      <alignment horizontal="right"/>
    </xf>
    <xf numFmtId="4" fontId="0" fillId="37" borderId="13" xfId="0" applyNumberFormat="1" applyFont="1" applyFill="1" applyBorder="1" applyAlignment="1">
      <alignment horizontal="right" vertical="center" wrapText="1"/>
    </xf>
    <xf numFmtId="4" fontId="1" fillId="37" borderId="11" xfId="0" applyNumberFormat="1" applyFont="1" applyFill="1" applyBorder="1" applyAlignment="1">
      <alignment wrapText="1"/>
    </xf>
    <xf numFmtId="4" fontId="1" fillId="37" borderId="11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right"/>
    </xf>
    <xf numFmtId="4" fontId="1" fillId="37" borderId="17" xfId="0" applyNumberFormat="1" applyFont="1" applyFill="1" applyBorder="1" applyAlignment="1">
      <alignment horizontal="right"/>
    </xf>
    <xf numFmtId="0" fontId="0" fillId="37" borderId="13" xfId="0" applyFont="1" applyFill="1" applyBorder="1" applyAlignment="1">
      <alignment/>
    </xf>
    <xf numFmtId="0" fontId="1" fillId="37" borderId="20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textRotation="90" wrapText="1"/>
    </xf>
    <xf numFmtId="4" fontId="2" fillId="0" borderId="29" xfId="33" applyNumberFormat="1" applyFont="1" applyFill="1" applyBorder="1" applyAlignment="1">
      <alignment horizontal="right" vertical="center" wrapText="1"/>
      <protection/>
    </xf>
    <xf numFmtId="4" fontId="2" fillId="0" borderId="48" xfId="33" applyNumberFormat="1" applyFont="1" applyFill="1" applyBorder="1" applyAlignment="1">
      <alignment horizontal="right" vertical="center" wrapText="1"/>
      <protection/>
    </xf>
    <xf numFmtId="4" fontId="2" fillId="0" borderId="27" xfId="33" applyNumberFormat="1" applyFont="1" applyFill="1" applyBorder="1" applyAlignment="1">
      <alignment horizontal="right" vertical="center" wrapText="1"/>
      <protection/>
    </xf>
    <xf numFmtId="4" fontId="0" fillId="36" borderId="11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4" fontId="0" fillId="39" borderId="11" xfId="0" applyNumberFormat="1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4" fontId="0" fillId="36" borderId="17" xfId="0" applyNumberFormat="1" applyFont="1" applyFill="1" applyBorder="1" applyAlignment="1">
      <alignment horizontal="right"/>
    </xf>
    <xf numFmtId="4" fontId="0" fillId="35" borderId="14" xfId="0" applyNumberFormat="1" applyFont="1" applyFill="1" applyBorder="1" applyAlignment="1">
      <alignment horizontal="right"/>
    </xf>
    <xf numFmtId="4" fontId="0" fillId="34" borderId="19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right" wrapText="1"/>
    </xf>
    <xf numFmtId="4" fontId="0" fillId="0" borderId="11" xfId="0" applyNumberFormat="1" applyFont="1" applyFill="1" applyBorder="1" applyAlignment="1">
      <alignment horizontal="right" wrapText="1"/>
    </xf>
    <xf numFmtId="4" fontId="0" fillId="36" borderId="19" xfId="0" applyNumberFormat="1" applyFont="1" applyFill="1" applyBorder="1" applyAlignment="1">
      <alignment horizontal="right"/>
    </xf>
    <xf numFmtId="4" fontId="0" fillId="36" borderId="49" xfId="0" applyNumberFormat="1" applyFont="1" applyFill="1" applyBorder="1" applyAlignment="1">
      <alignment horizontal="right"/>
    </xf>
    <xf numFmtId="4" fontId="0" fillId="36" borderId="50" xfId="0" applyNumberFormat="1" applyFont="1" applyFill="1" applyBorder="1" applyAlignment="1">
      <alignment horizontal="right"/>
    </xf>
    <xf numFmtId="4" fontId="0" fillId="36" borderId="28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0" fillId="38" borderId="14" xfId="0" applyNumberFormat="1" applyFont="1" applyFill="1" applyBorder="1" applyAlignment="1">
      <alignment horizontal="right"/>
    </xf>
    <xf numFmtId="4" fontId="1" fillId="0" borderId="51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28" xfId="33" applyNumberFormat="1" applyFont="1" applyFill="1" applyBorder="1" applyAlignment="1">
      <alignment horizontal="center" vertical="center" wrapText="1"/>
      <protection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34" borderId="35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0" fillId="38" borderId="35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28" xfId="0" applyNumberFormat="1" applyFont="1" applyFill="1" applyBorder="1" applyAlignment="1">
      <alignment horizontal="center"/>
    </xf>
    <xf numFmtId="4" fontId="0" fillId="0" borderId="4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0" fillId="33" borderId="33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5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52" xfId="0" applyBorder="1" applyAlignment="1">
      <alignment/>
    </xf>
    <xf numFmtId="2" fontId="1" fillId="33" borderId="53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4" fontId="2" fillId="0" borderId="11" xfId="33" applyNumberFormat="1" applyFont="1" applyFill="1" applyBorder="1" applyAlignment="1">
      <alignment vertical="center" wrapText="1"/>
      <protection/>
    </xf>
    <xf numFmtId="0" fontId="0" fillId="33" borderId="11" xfId="0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 vertical="center" wrapText="1"/>
    </xf>
    <xf numFmtId="4" fontId="0" fillId="34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/>
    </xf>
    <xf numFmtId="4" fontId="1" fillId="0" borderId="37" xfId="0" applyNumberFormat="1" applyFont="1" applyFill="1" applyBorder="1" applyAlignment="1">
      <alignment horizontal="right"/>
    </xf>
    <xf numFmtId="4" fontId="1" fillId="0" borderId="54" xfId="0" applyNumberFormat="1" applyFont="1" applyFill="1" applyBorder="1" applyAlignment="1">
      <alignment horizontal="right"/>
    </xf>
    <xf numFmtId="4" fontId="1" fillId="0" borderId="39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0" fillId="0" borderId="52" xfId="0" applyFont="1" applyFill="1" applyBorder="1" applyAlignment="1">
      <alignment/>
    </xf>
    <xf numFmtId="4" fontId="1" fillId="0" borderId="39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4" fontId="0" fillId="0" borderId="37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" fillId="0" borderId="33" xfId="0" applyFont="1" applyFill="1" applyBorder="1" applyAlignment="1">
      <alignment horizontal="center" textRotation="90" wrapText="1"/>
    </xf>
    <xf numFmtId="0" fontId="1" fillId="0" borderId="42" xfId="0" applyFont="1" applyFill="1" applyBorder="1" applyAlignment="1">
      <alignment horizontal="center" textRotation="90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1" fillId="0" borderId="11" xfId="0" applyNumberFormat="1" applyFont="1" applyFill="1" applyBorder="1" applyAlignment="1">
      <alignment horizontal="right" vertical="center" wrapText="1"/>
    </xf>
    <xf numFmtId="2" fontId="0" fillId="0" borderId="15" xfId="0" applyNumberFormat="1" applyBorder="1" applyAlignment="1">
      <alignment horizontal="center"/>
    </xf>
    <xf numFmtId="4" fontId="2" fillId="0" borderId="35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2" fillId="0" borderId="41" xfId="33" applyNumberFormat="1" applyFont="1" applyFill="1" applyBorder="1" applyAlignment="1">
      <alignment horizontal="right" vertical="center" wrapText="1"/>
      <protection/>
    </xf>
    <xf numFmtId="4" fontId="0" fillId="0" borderId="48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2" fontId="2" fillId="0" borderId="11" xfId="0" applyNumberFormat="1" applyFont="1" applyBorder="1" applyAlignment="1">
      <alignment horizontal="center" wrapText="1"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2" fillId="34" borderId="35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55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" fontId="1" fillId="0" borderId="52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1" fillId="0" borderId="52" xfId="0" applyNumberFormat="1" applyFont="1" applyFill="1" applyBorder="1" applyAlignment="1">
      <alignment/>
    </xf>
    <xf numFmtId="2" fontId="1" fillId="37" borderId="53" xfId="0" applyNumberFormat="1" applyFont="1" applyFill="1" applyBorder="1" applyAlignment="1">
      <alignment horizontal="center" vertical="center" wrapText="1"/>
    </xf>
    <xf numFmtId="2" fontId="1" fillId="37" borderId="43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textRotation="90"/>
    </xf>
    <xf numFmtId="0" fontId="1" fillId="0" borderId="45" xfId="0" applyFont="1" applyFill="1" applyBorder="1" applyAlignment="1">
      <alignment horizontal="center" textRotation="90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0" fontId="1" fillId="35" borderId="53" xfId="0" applyFont="1" applyFill="1" applyBorder="1" applyAlignment="1">
      <alignment horizontal="center" textRotation="90"/>
    </xf>
    <xf numFmtId="0" fontId="1" fillId="35" borderId="45" xfId="0" applyFont="1" applyFill="1" applyBorder="1" applyAlignment="1">
      <alignment horizontal="center" textRotation="90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60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37" borderId="33" xfId="0" applyNumberFormat="1" applyFont="1" applyFill="1" applyBorder="1" applyAlignment="1">
      <alignment horizontal="center" vertical="center" wrapText="1"/>
    </xf>
    <xf numFmtId="2" fontId="1" fillId="37" borderId="51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textRotation="90"/>
    </xf>
    <xf numFmtId="0" fontId="1" fillId="0" borderId="44" xfId="0" applyFont="1" applyFill="1" applyBorder="1" applyAlignment="1">
      <alignment horizontal="center" textRotation="90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0" fontId="1" fillId="36" borderId="53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6" borderId="43" xfId="0" applyFont="1" applyFill="1" applyBorder="1" applyAlignment="1">
      <alignment horizontal="center" vertical="center" wrapText="1"/>
    </xf>
    <xf numFmtId="2" fontId="1" fillId="38" borderId="53" xfId="0" applyNumberFormat="1" applyFont="1" applyFill="1" applyBorder="1" applyAlignment="1">
      <alignment horizontal="center" vertical="center" wrapText="1"/>
    </xf>
    <xf numFmtId="2" fontId="1" fillId="38" borderId="45" xfId="0" applyNumberFormat="1" applyFont="1" applyFill="1" applyBorder="1" applyAlignment="1">
      <alignment horizontal="center" vertical="center" wrapText="1"/>
    </xf>
    <xf numFmtId="2" fontId="1" fillId="38" borderId="43" xfId="0" applyNumberFormat="1" applyFont="1" applyFill="1" applyBorder="1" applyAlignment="1">
      <alignment horizontal="center" vertical="center" wrapText="1"/>
    </xf>
    <xf numFmtId="2" fontId="9" fillId="34" borderId="53" xfId="0" applyNumberFormat="1" applyFont="1" applyFill="1" applyBorder="1" applyAlignment="1">
      <alignment horizontal="center" vertical="center" wrapText="1"/>
    </xf>
    <xf numFmtId="2" fontId="9" fillId="34" borderId="45" xfId="0" applyNumberFormat="1" applyFont="1" applyFill="1" applyBorder="1" applyAlignment="1">
      <alignment horizontal="center" vertical="center" wrapText="1"/>
    </xf>
    <xf numFmtId="2" fontId="9" fillId="34" borderId="4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4" fontId="1" fillId="0" borderId="53" xfId="0" applyNumberFormat="1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34" borderId="53" xfId="0" applyNumberFormat="1" applyFont="1" applyFill="1" applyBorder="1" applyAlignment="1">
      <alignment horizontal="center" vertical="center" wrapText="1"/>
    </xf>
    <xf numFmtId="4" fontId="1" fillId="34" borderId="45" xfId="0" applyNumberFormat="1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34" borderId="43" xfId="0" applyNumberFormat="1" applyFont="1" applyFill="1" applyBorder="1" applyAlignment="1">
      <alignment horizontal="center" vertical="center" wrapText="1"/>
    </xf>
    <xf numFmtId="0" fontId="0" fillId="0" borderId="59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60" xfId="0" applyFont="1" applyBorder="1" applyAlignment="1">
      <alignment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0" fillId="0" borderId="53" xfId="0" applyNumberFormat="1" applyFont="1" applyFill="1" applyBorder="1" applyAlignment="1">
      <alignment horizontal="center" vertical="center" wrapText="1"/>
    </xf>
    <xf numFmtId="2" fontId="10" fillId="0" borderId="43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42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33" xfId="0" applyNumberFormat="1" applyFont="1" applyFill="1" applyBorder="1" applyAlignment="1">
      <alignment horizontal="center" vertical="center" textRotation="90" wrapText="1"/>
    </xf>
    <xf numFmtId="0" fontId="1" fillId="0" borderId="61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2" fontId="1" fillId="33" borderId="35" xfId="0" applyNumberFormat="1" applyFont="1" applyFill="1" applyBorder="1" applyAlignment="1">
      <alignment horizontal="center" vertical="center" textRotation="90" wrapText="1"/>
    </xf>
    <xf numFmtId="2" fontId="1" fillId="33" borderId="4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67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33" xfId="0" applyNumberFormat="1" applyFont="1" applyFill="1" applyBorder="1" applyAlignment="1">
      <alignment horizontal="center" vertical="center" textRotation="90" wrapText="1"/>
    </xf>
    <xf numFmtId="4" fontId="1" fillId="0" borderId="68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4" fontId="1" fillId="0" borderId="42" xfId="0" applyNumberFormat="1" applyFont="1" applyFill="1" applyBorder="1" applyAlignment="1">
      <alignment horizontal="center" vertical="center" textRotation="90" wrapText="1"/>
    </xf>
    <xf numFmtId="4" fontId="1" fillId="0" borderId="69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48" xfId="0" applyNumberFormat="1" applyFont="1" applyFill="1" applyBorder="1" applyAlignment="1">
      <alignment horizontal="center" vertical="center" textRotation="90" wrapText="1"/>
    </xf>
    <xf numFmtId="0" fontId="1" fillId="0" borderId="55" xfId="0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/>
    </xf>
    <xf numFmtId="0" fontId="1" fillId="0" borderId="61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6" borderId="61" xfId="0" applyFont="1" applyFill="1" applyBorder="1" applyAlignment="1">
      <alignment horizontal="center" vertical="center" wrapText="1"/>
    </xf>
    <xf numFmtId="0" fontId="1" fillId="36" borderId="52" xfId="0" applyFont="1" applyFill="1" applyBorder="1" applyAlignment="1">
      <alignment horizontal="center" vertical="center" wrapText="1"/>
    </xf>
    <xf numFmtId="0" fontId="1" fillId="36" borderId="58" xfId="0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textRotation="90"/>
    </xf>
    <xf numFmtId="2" fontId="1" fillId="34" borderId="61" xfId="0" applyNumberFormat="1" applyFont="1" applyFill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69" xfId="0" applyNumberFormat="1" applyFont="1" applyFill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1" fillId="34" borderId="64" xfId="0" applyNumberFormat="1" applyFont="1" applyFill="1" applyBorder="1" applyAlignment="1">
      <alignment horizontal="center" vertical="center" wrapText="1"/>
    </xf>
    <xf numFmtId="2" fontId="1" fillId="34" borderId="54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2" fontId="9" fillId="0" borderId="53" xfId="0" applyNumberFormat="1" applyFont="1" applyFill="1" applyBorder="1" applyAlignment="1">
      <alignment horizontal="center" vertical="center" wrapText="1"/>
    </xf>
    <xf numFmtId="2" fontId="9" fillId="0" borderId="45" xfId="0" applyNumberFormat="1" applyFont="1" applyFill="1" applyBorder="1" applyAlignment="1">
      <alignment horizontal="center" vertical="center" wrapText="1"/>
    </xf>
    <xf numFmtId="2" fontId="9" fillId="0" borderId="4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72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33" borderId="53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horizontal="center" textRotation="90"/>
    </xf>
    <xf numFmtId="0" fontId="1" fillId="0" borderId="18" xfId="0" applyFont="1" applyBorder="1" applyAlignment="1">
      <alignment horizontal="center" vertical="center" wrapText="1"/>
    </xf>
    <xf numFmtId="2" fontId="1" fillId="0" borderId="75" xfId="0" applyNumberFormat="1" applyFont="1" applyBorder="1" applyAlignment="1">
      <alignment horizontal="center" vertical="center" wrapText="1"/>
    </xf>
    <xf numFmtId="2" fontId="1" fillId="0" borderId="76" xfId="0" applyNumberFormat="1" applyFont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left"/>
    </xf>
    <xf numFmtId="0" fontId="1" fillId="0" borderId="6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0" borderId="77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42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2" fontId="0" fillId="0" borderId="35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1" fillId="0" borderId="71" xfId="0" applyNumberFormat="1" applyFont="1" applyFill="1" applyBorder="1" applyAlignment="1">
      <alignment horizontal="center" vertical="center" textRotation="90" wrapText="1"/>
    </xf>
    <xf numFmtId="4" fontId="1" fillId="0" borderId="35" xfId="0" applyNumberFormat="1" applyFont="1" applyFill="1" applyBorder="1" applyAlignment="1">
      <alignment horizontal="center" vertical="center" textRotation="90" wrapText="1"/>
    </xf>
    <xf numFmtId="4" fontId="1" fillId="0" borderId="41" xfId="0" applyNumberFormat="1" applyFont="1" applyFill="1" applyBorder="1" applyAlignment="1">
      <alignment horizontal="center" vertical="center" textRotation="90" wrapText="1"/>
    </xf>
    <xf numFmtId="4" fontId="1" fillId="0" borderId="66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0" fillId="0" borderId="35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78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0" fillId="0" borderId="55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37" borderId="28" xfId="0" applyNumberFormat="1" applyFont="1" applyFill="1" applyBorder="1" applyAlignment="1">
      <alignment/>
    </xf>
    <xf numFmtId="2" fontId="0" fillId="34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" fontId="0" fillId="0" borderId="65" xfId="0" applyNumberFormat="1" applyFont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38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35" borderId="29" xfId="0" applyFont="1" applyFill="1" applyBorder="1" applyAlignment="1">
      <alignment horizontal="center"/>
    </xf>
    <xf numFmtId="0" fontId="29" fillId="0" borderId="11" xfId="0" applyFont="1" applyBorder="1" applyAlignment="1">
      <alignment wrapText="1"/>
    </xf>
    <xf numFmtId="0" fontId="29" fillId="0" borderId="35" xfId="0" applyFont="1" applyBorder="1" applyAlignment="1">
      <alignment wrapText="1"/>
    </xf>
    <xf numFmtId="0" fontId="2" fillId="35" borderId="29" xfId="0" applyFont="1" applyFill="1" applyBorder="1" applyAlignment="1">
      <alignment/>
    </xf>
    <xf numFmtId="0" fontId="29" fillId="0" borderId="28" xfId="0" applyFont="1" applyBorder="1" applyAlignment="1">
      <alignment wrapText="1"/>
    </xf>
    <xf numFmtId="2" fontId="30" fillId="34" borderId="13" xfId="0" applyNumberFormat="1" applyFont="1" applyFill="1" applyBorder="1" applyAlignment="1">
      <alignment horizontal="center"/>
    </xf>
    <xf numFmtId="0" fontId="2" fillId="0" borderId="65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5" xfId="0" applyFont="1" applyBorder="1" applyAlignment="1">
      <alignment wrapText="1"/>
    </xf>
    <xf numFmtId="4" fontId="0" fillId="34" borderId="39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30" fillId="0" borderId="13" xfId="0" applyNumberFormat="1" applyFont="1" applyFill="1" applyBorder="1" applyAlignment="1">
      <alignment/>
    </xf>
    <xf numFmtId="4" fontId="2" fillId="34" borderId="39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35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4" fontId="0" fillId="0" borderId="49" xfId="0" applyNumberFormat="1" applyFont="1" applyFill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4" fontId="0" fillId="35" borderId="29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43" fontId="0" fillId="38" borderId="11" xfId="0" applyNumberFormat="1" applyFont="1" applyFill="1" applyBorder="1" applyAlignment="1">
      <alignment/>
    </xf>
    <xf numFmtId="4" fontId="2" fillId="0" borderId="77" xfId="33" applyNumberFormat="1" applyFont="1" applyFill="1" applyBorder="1" applyAlignment="1">
      <alignment horizontal="right" vertical="center" wrapText="1"/>
      <protection/>
    </xf>
    <xf numFmtId="4" fontId="0" fillId="0" borderId="79" xfId="0" applyNumberFormat="1" applyFont="1" applyFill="1" applyBorder="1" applyAlignment="1">
      <alignment horizontal="right"/>
    </xf>
    <xf numFmtId="0" fontId="1" fillId="0" borderId="56" xfId="0" applyFont="1" applyFill="1" applyBorder="1" applyAlignment="1">
      <alignment horizontal="center" vertical="center" wrapText="1"/>
    </xf>
    <xf numFmtId="4" fontId="0" fillId="0" borderId="80" xfId="0" applyNumberFormat="1" applyFont="1" applyFill="1" applyBorder="1" applyAlignment="1">
      <alignment horizontal="right" wrapText="1"/>
    </xf>
    <xf numFmtId="4" fontId="2" fillId="0" borderId="56" xfId="33" applyNumberFormat="1" applyFont="1" applyFill="1" applyBorder="1" applyAlignment="1">
      <alignment horizontal="right" vertical="center" wrapText="1"/>
      <protection/>
    </xf>
    <xf numFmtId="4" fontId="0" fillId="0" borderId="80" xfId="0" applyNumberFormat="1" applyFont="1" applyFill="1" applyBorder="1" applyAlignment="1">
      <alignment horizontal="right"/>
    </xf>
    <xf numFmtId="4" fontId="0" fillId="0" borderId="56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 vertical="center" wrapText="1"/>
    </xf>
    <xf numFmtId="4" fontId="1" fillId="0" borderId="33" xfId="0" applyNumberFormat="1" applyFont="1" applyFill="1" applyBorder="1" applyAlignment="1">
      <alignment horizontal="right" vertical="center" wrapText="1"/>
    </xf>
    <xf numFmtId="4" fontId="0" fillId="0" borderId="48" xfId="0" applyNumberFormat="1" applyFont="1" applyFill="1" applyBorder="1" applyAlignment="1">
      <alignment horizontal="right"/>
    </xf>
    <xf numFmtId="0" fontId="0" fillId="0" borderId="66" xfId="0" applyFont="1" applyFill="1" applyBorder="1" applyAlignment="1">
      <alignment/>
    </xf>
    <xf numFmtId="2" fontId="0" fillId="0" borderId="68" xfId="0" applyNumberFormat="1" applyBorder="1" applyAlignment="1">
      <alignment horizontal="center"/>
    </xf>
    <xf numFmtId="4" fontId="2" fillId="0" borderId="71" xfId="33" applyNumberFormat="1" applyFont="1" applyFill="1" applyBorder="1" applyAlignment="1">
      <alignment horizontal="right" vertical="center" wrapText="1"/>
      <protection/>
    </xf>
    <xf numFmtId="4" fontId="2" fillId="0" borderId="66" xfId="33" applyNumberFormat="1" applyFont="1" applyFill="1" applyBorder="1" applyAlignment="1">
      <alignment horizontal="right" vertical="center" wrapText="1"/>
      <protection/>
    </xf>
    <xf numFmtId="4" fontId="0" fillId="0" borderId="67" xfId="0" applyNumberFormat="1" applyFont="1" applyFill="1" applyBorder="1" applyAlignment="1">
      <alignment horizontal="right"/>
    </xf>
    <xf numFmtId="4" fontId="0" fillId="0" borderId="68" xfId="0" applyNumberFormat="1" applyFont="1" applyFill="1" applyBorder="1" applyAlignment="1">
      <alignment horizontal="right"/>
    </xf>
    <xf numFmtId="4" fontId="0" fillId="0" borderId="66" xfId="0" applyNumberFormat="1" applyFont="1" applyFill="1" applyBorder="1" applyAlignment="1">
      <alignment horizontal="right"/>
    </xf>
    <xf numFmtId="4" fontId="0" fillId="0" borderId="67" xfId="0" applyNumberFormat="1" applyFont="1" applyFill="1" applyBorder="1" applyAlignment="1">
      <alignment horizontal="right" vertical="center" wrapText="1"/>
    </xf>
    <xf numFmtId="4" fontId="0" fillId="0" borderId="69" xfId="0" applyNumberFormat="1" applyFont="1" applyFill="1" applyBorder="1" applyAlignment="1">
      <alignment horizontal="right"/>
    </xf>
    <xf numFmtId="2" fontId="0" fillId="0" borderId="37" xfId="0" applyNumberFormat="1" applyBorder="1" applyAlignment="1">
      <alignment horizontal="center"/>
    </xf>
    <xf numFmtId="4" fontId="2" fillId="0" borderId="46" xfId="33" applyNumberFormat="1" applyFont="1" applyFill="1" applyBorder="1" applyAlignment="1">
      <alignment horizontal="right" vertical="center" wrapText="1"/>
      <protection/>
    </xf>
    <xf numFmtId="4" fontId="2" fillId="0" borderId="16" xfId="33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63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9;&#1074;&#1072;&#1083;&#1100;&#1085;&#1072;&#1103;,%208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57;&#1087;&#1088;&#1072;&#1074;&#1082;&#1080;%20&#1082;%20&#1083;&#1080;&#1094;&#1077;&#1074;&#1099;&#1084;%20&#1089;&#1095;&#1077;&#1090;&#1072;&#1084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2011 полн."/>
      <sheetName val="2011 печать"/>
    </sheetNames>
    <sheetDataSet>
      <sheetData sheetId="0">
        <row r="9">
          <cell r="B9">
            <v>347</v>
          </cell>
          <cell r="D9">
            <v>375.19375</v>
          </cell>
          <cell r="S9">
            <v>1402.63</v>
          </cell>
          <cell r="T9">
            <v>770.85</v>
          </cell>
          <cell r="AB9">
            <v>1205.52</v>
          </cell>
          <cell r="AC9">
            <v>2351.5637500000003</v>
          </cell>
          <cell r="AG9">
            <v>187.38</v>
          </cell>
          <cell r="AH9">
            <v>61.83540000000001</v>
          </cell>
          <cell r="AI9">
            <v>255.70164999999997</v>
          </cell>
          <cell r="AJ9">
            <v>46.02629699999999</v>
          </cell>
          <cell r="AK9">
            <v>250.16548600000002</v>
          </cell>
          <cell r="AL9">
            <v>45.02978748</v>
          </cell>
          <cell r="AM9">
            <v>575.682022</v>
          </cell>
          <cell r="AN9">
            <v>103.62276395999999</v>
          </cell>
          <cell r="AP9">
            <v>0</v>
          </cell>
          <cell r="AR9">
            <v>0</v>
          </cell>
          <cell r="AU9">
            <v>0</v>
          </cell>
          <cell r="AX9">
            <v>100.70592</v>
          </cell>
          <cell r="BA9">
            <v>0</v>
          </cell>
          <cell r="BB9">
            <v>1525.4434064399998</v>
          </cell>
          <cell r="BD9">
            <v>826.1203435600005</v>
          </cell>
          <cell r="BE9">
            <v>-197.11000000000013</v>
          </cell>
        </row>
        <row r="10">
          <cell r="B10">
            <v>347</v>
          </cell>
          <cell r="D10">
            <v>375.19375</v>
          </cell>
          <cell r="S10">
            <v>1402.63</v>
          </cell>
          <cell r="T10">
            <v>770.85</v>
          </cell>
          <cell r="AB10">
            <v>1141.3000000000002</v>
          </cell>
          <cell r="AC10">
            <v>2287.34375</v>
          </cell>
          <cell r="AG10">
            <v>187.38</v>
          </cell>
          <cell r="AH10">
            <v>63.521820000000005</v>
          </cell>
          <cell r="AI10">
            <v>255.42669999999998</v>
          </cell>
          <cell r="AJ10">
            <v>45.976805999999996</v>
          </cell>
          <cell r="AK10">
            <v>250.136685</v>
          </cell>
          <cell r="AL10">
            <v>45.024603299999995</v>
          </cell>
          <cell r="AM10">
            <v>575.5494679999999</v>
          </cell>
          <cell r="AN10">
            <v>103.59890423999998</v>
          </cell>
          <cell r="AP10">
            <v>0</v>
          </cell>
          <cell r="AR10">
            <v>0</v>
          </cell>
          <cell r="AS10">
            <v>1330</v>
          </cell>
          <cell r="AU10">
            <v>239.39999999999998</v>
          </cell>
          <cell r="AX10">
            <v>80.68368</v>
          </cell>
          <cell r="BA10">
            <v>0</v>
          </cell>
          <cell r="BB10">
            <v>3096.0149865399994</v>
          </cell>
          <cell r="BD10">
            <v>-808.6712365399994</v>
          </cell>
          <cell r="BE10">
            <v>-261.3299999999999</v>
          </cell>
        </row>
        <row r="11">
          <cell r="B11">
            <v>347</v>
          </cell>
          <cell r="D11">
            <v>375.19375</v>
          </cell>
          <cell r="S11">
            <v>1402.63</v>
          </cell>
          <cell r="T11">
            <v>770.85</v>
          </cell>
          <cell r="AB11">
            <v>1864.7600000000002</v>
          </cell>
          <cell r="AC11">
            <v>3010.80375</v>
          </cell>
          <cell r="AG11">
            <v>187.38</v>
          </cell>
          <cell r="AH11">
            <v>63.01908000000001</v>
          </cell>
          <cell r="AI11">
            <v>255.879125</v>
          </cell>
          <cell r="AJ11">
            <v>46.0582425</v>
          </cell>
          <cell r="AK11">
            <v>241.35237999999998</v>
          </cell>
          <cell r="AL11">
            <v>43.443428399999995</v>
          </cell>
          <cell r="AM11">
            <v>555.40126</v>
          </cell>
          <cell r="AN11">
            <v>99.97222679999999</v>
          </cell>
          <cell r="AP11">
            <v>0</v>
          </cell>
          <cell r="AR11">
            <v>0</v>
          </cell>
          <cell r="AU11">
            <v>0</v>
          </cell>
          <cell r="AX11">
            <v>75.92592</v>
          </cell>
          <cell r="BA11">
            <v>0</v>
          </cell>
          <cell r="BB11">
            <v>1492.5057427</v>
          </cell>
          <cell r="BD11">
            <v>1518.2980073</v>
          </cell>
          <cell r="BE11">
            <v>462.1300000000001</v>
          </cell>
        </row>
        <row r="12">
          <cell r="B12">
            <v>347</v>
          </cell>
          <cell r="D12">
            <v>375.19375</v>
          </cell>
          <cell r="S12">
            <v>1401.9099999999999</v>
          </cell>
          <cell r="T12">
            <v>770.85</v>
          </cell>
          <cell r="AB12">
            <v>1402.6</v>
          </cell>
          <cell r="AC12">
            <v>2548.64375</v>
          </cell>
          <cell r="AG12">
            <v>187.38</v>
          </cell>
          <cell r="AH12">
            <v>64.08396</v>
          </cell>
          <cell r="AI12">
            <v>263.39035</v>
          </cell>
          <cell r="AJ12">
            <v>47.410263</v>
          </cell>
          <cell r="AK12">
            <v>244.75089799999998</v>
          </cell>
          <cell r="AL12">
            <v>44.055161639999994</v>
          </cell>
          <cell r="AM12">
            <v>563.221946</v>
          </cell>
          <cell r="AN12">
            <v>101.37995028</v>
          </cell>
          <cell r="AP12">
            <v>0</v>
          </cell>
          <cell r="AR12">
            <v>0</v>
          </cell>
          <cell r="AS12">
            <v>0</v>
          </cell>
          <cell r="AU12">
            <v>0</v>
          </cell>
          <cell r="AX12">
            <v>60.85968</v>
          </cell>
          <cell r="BB12">
            <v>1833.8477289200002</v>
          </cell>
          <cell r="BD12">
            <v>714.79602108</v>
          </cell>
          <cell r="BE12">
            <v>0.6900000000000546</v>
          </cell>
        </row>
        <row r="13">
          <cell r="B13">
            <v>347</v>
          </cell>
          <cell r="D13">
            <v>577.8599999999997</v>
          </cell>
          <cell r="S13">
            <v>1563.57</v>
          </cell>
          <cell r="T13">
            <v>860.12</v>
          </cell>
          <cell r="AB13">
            <v>1101.03</v>
          </cell>
          <cell r="AC13">
            <v>2539.0099999999993</v>
          </cell>
          <cell r="AG13">
            <v>208.2</v>
          </cell>
          <cell r="AH13">
            <v>70.09400000000001</v>
          </cell>
          <cell r="AI13">
            <v>294.95</v>
          </cell>
          <cell r="AJ13">
            <v>53.090999999999994</v>
          </cell>
          <cell r="AK13">
            <v>288.01</v>
          </cell>
          <cell r="AL13">
            <v>51.8418</v>
          </cell>
          <cell r="AM13">
            <v>662.77</v>
          </cell>
          <cell r="AN13">
            <v>119.2986</v>
          </cell>
          <cell r="AP13">
            <v>0</v>
          </cell>
          <cell r="AR13">
            <v>0</v>
          </cell>
          <cell r="AU13">
            <v>0</v>
          </cell>
          <cell r="AX13">
            <v>52.137119999999996</v>
          </cell>
          <cell r="BA13">
            <v>0</v>
          </cell>
          <cell r="BB13">
            <v>1800.3925199999999</v>
          </cell>
          <cell r="BD13">
            <v>738.6174799999994</v>
          </cell>
          <cell r="BE13">
            <v>-462.53999999999996</v>
          </cell>
        </row>
        <row r="14">
          <cell r="B14">
            <v>347</v>
          </cell>
          <cell r="D14">
            <v>577.73</v>
          </cell>
          <cell r="S14">
            <v>1563.7</v>
          </cell>
          <cell r="T14">
            <v>860.12</v>
          </cell>
          <cell r="AB14">
            <v>1864.8400000000001</v>
          </cell>
          <cell r="AC14">
            <v>3302.69</v>
          </cell>
          <cell r="AG14">
            <v>208.2</v>
          </cell>
          <cell r="AH14">
            <v>70.12523000000002</v>
          </cell>
          <cell r="AI14">
            <v>294.95</v>
          </cell>
          <cell r="AJ14">
            <v>53.090999999999994</v>
          </cell>
          <cell r="AK14">
            <v>288.01</v>
          </cell>
          <cell r="AL14">
            <v>51.8418</v>
          </cell>
          <cell r="AM14">
            <v>662.77</v>
          </cell>
          <cell r="AN14">
            <v>119.2986</v>
          </cell>
          <cell r="AP14">
            <v>0</v>
          </cell>
          <cell r="AR14">
            <v>0</v>
          </cell>
          <cell r="AU14">
            <v>0</v>
          </cell>
          <cell r="AX14">
            <v>46.189919999999994</v>
          </cell>
          <cell r="BA14">
            <v>0</v>
          </cell>
          <cell r="BB14">
            <v>1794.47655</v>
          </cell>
          <cell r="BD14">
            <v>1508.21345</v>
          </cell>
          <cell r="BE14">
            <v>301.1400000000001</v>
          </cell>
        </row>
        <row r="15">
          <cell r="B15">
            <v>347</v>
          </cell>
          <cell r="D15">
            <v>595.9700000000003</v>
          </cell>
          <cell r="S15">
            <v>1553.6399999999999</v>
          </cell>
          <cell r="T15">
            <v>851.9399999999999</v>
          </cell>
          <cell r="AB15">
            <v>1230.87</v>
          </cell>
          <cell r="AC15">
            <v>2678.78</v>
          </cell>
          <cell r="AG15">
            <v>208.2</v>
          </cell>
          <cell r="AH15">
            <v>69.00095</v>
          </cell>
          <cell r="AI15">
            <v>290.76171</v>
          </cell>
          <cell r="AJ15">
            <v>52.3371078</v>
          </cell>
          <cell r="AK15">
            <v>285.273905</v>
          </cell>
          <cell r="AL15">
            <v>51.3493029</v>
          </cell>
          <cell r="AM15">
            <v>656.4074079999999</v>
          </cell>
          <cell r="AN15">
            <v>118.15333343999998</v>
          </cell>
          <cell r="AP15">
            <v>0</v>
          </cell>
          <cell r="AR15">
            <v>0</v>
          </cell>
          <cell r="AU15">
            <v>0</v>
          </cell>
          <cell r="AX15">
            <v>49.16352</v>
          </cell>
          <cell r="BA15">
            <v>0</v>
          </cell>
          <cell r="BB15">
            <v>1780.64723714</v>
          </cell>
          <cell r="BD15">
            <v>898.1327628600002</v>
          </cell>
          <cell r="BE15">
            <v>-322.77</v>
          </cell>
        </row>
        <row r="16">
          <cell r="B16">
            <v>347</v>
          </cell>
          <cell r="D16">
            <v>577.73</v>
          </cell>
          <cell r="S16">
            <v>1563.7</v>
          </cell>
          <cell r="T16">
            <v>860.12</v>
          </cell>
          <cell r="AB16">
            <v>1843.1499999999999</v>
          </cell>
          <cell r="AC16">
            <v>3281</v>
          </cell>
          <cell r="AG16">
            <v>208.2</v>
          </cell>
          <cell r="AH16">
            <v>69.313944</v>
          </cell>
          <cell r="AI16">
            <v>290.59948749999995</v>
          </cell>
          <cell r="AJ16">
            <v>52.30790774999999</v>
          </cell>
          <cell r="AK16">
            <v>285.12989999999996</v>
          </cell>
          <cell r="AL16">
            <v>51.32338199999999</v>
          </cell>
          <cell r="AM16">
            <v>656.076023</v>
          </cell>
          <cell r="AN16">
            <v>118.09368414</v>
          </cell>
          <cell r="AP16">
            <v>0</v>
          </cell>
          <cell r="AR16">
            <v>0</v>
          </cell>
          <cell r="AU16">
            <v>0</v>
          </cell>
          <cell r="AX16">
            <v>58.08431999999999</v>
          </cell>
          <cell r="BA16">
            <v>0</v>
          </cell>
          <cell r="BB16">
            <v>1789.1286483900003</v>
          </cell>
          <cell r="BD16">
            <v>1491.8713516099997</v>
          </cell>
          <cell r="BE16">
            <v>279.4499999999998</v>
          </cell>
        </row>
        <row r="17">
          <cell r="B17">
            <v>347</v>
          </cell>
          <cell r="D17">
            <v>577.73</v>
          </cell>
          <cell r="S17">
            <v>1563.7</v>
          </cell>
          <cell r="T17">
            <v>860.12</v>
          </cell>
          <cell r="AB17">
            <v>1231.0300000000002</v>
          </cell>
          <cell r="AC17">
            <v>2668.88</v>
          </cell>
          <cell r="AG17">
            <v>208.2</v>
          </cell>
          <cell r="AH17">
            <v>69.37224</v>
          </cell>
          <cell r="AI17">
            <v>290.54934599999996</v>
          </cell>
          <cell r="AJ17">
            <v>52.298882279999994</v>
          </cell>
          <cell r="AK17">
            <v>285.07517809999996</v>
          </cell>
          <cell r="AL17">
            <v>51.31353205799999</v>
          </cell>
          <cell r="AM17">
            <v>656.0163736999999</v>
          </cell>
          <cell r="AN17">
            <v>118.08294726599998</v>
          </cell>
          <cell r="AP17">
            <v>0</v>
          </cell>
          <cell r="AR17">
            <v>0</v>
          </cell>
          <cell r="AU17">
            <v>0</v>
          </cell>
          <cell r="AX17">
            <v>69.18576</v>
          </cell>
          <cell r="BA17">
            <v>0</v>
          </cell>
          <cell r="BB17">
            <v>1800.0942594039993</v>
          </cell>
          <cell r="BD17">
            <v>868.7857405960008</v>
          </cell>
          <cell r="BE17">
            <v>-332.66999999999985</v>
          </cell>
        </row>
        <row r="18">
          <cell r="B18">
            <v>347</v>
          </cell>
          <cell r="D18">
            <v>577.73</v>
          </cell>
          <cell r="S18">
            <v>1563.7</v>
          </cell>
          <cell r="T18">
            <v>860.12</v>
          </cell>
          <cell r="AB18">
            <v>1939.5499999999997</v>
          </cell>
          <cell r="AC18">
            <v>3377.3999999999996</v>
          </cell>
          <cell r="AG18">
            <v>208.2</v>
          </cell>
          <cell r="AH18">
            <v>69.4</v>
          </cell>
          <cell r="AI18">
            <v>293.909</v>
          </cell>
          <cell r="AJ18">
            <v>52.90362</v>
          </cell>
          <cell r="AK18">
            <v>288.01</v>
          </cell>
          <cell r="AL18">
            <v>51.8418</v>
          </cell>
          <cell r="AM18">
            <v>661.6525423728814</v>
          </cell>
          <cell r="AN18">
            <v>119.09745762711864</v>
          </cell>
          <cell r="AP18">
            <v>0</v>
          </cell>
          <cell r="AR18">
            <v>0</v>
          </cell>
          <cell r="AS18">
            <v>0</v>
          </cell>
          <cell r="AU18">
            <v>0</v>
          </cell>
          <cell r="AX18">
            <v>84.252</v>
          </cell>
          <cell r="BA18">
            <v>0</v>
          </cell>
          <cell r="BB18">
            <v>1829.2664200000002</v>
          </cell>
          <cell r="BD18">
            <v>1548.1335799999995</v>
          </cell>
          <cell r="BE18">
            <v>375.8499999999997</v>
          </cell>
        </row>
        <row r="19">
          <cell r="B19">
            <v>347</v>
          </cell>
          <cell r="D19">
            <v>577.73</v>
          </cell>
          <cell r="S19">
            <v>1563.7</v>
          </cell>
          <cell r="T19">
            <v>860.12</v>
          </cell>
          <cell r="AB19">
            <v>1230.9</v>
          </cell>
          <cell r="AC19">
            <v>2668.75</v>
          </cell>
          <cell r="AG19">
            <v>208.2</v>
          </cell>
          <cell r="AH19">
            <v>69.4</v>
          </cell>
          <cell r="AI19">
            <v>294.95</v>
          </cell>
          <cell r="AJ19">
            <v>53.090999999999994</v>
          </cell>
          <cell r="AK19">
            <v>288.01</v>
          </cell>
          <cell r="AL19">
            <v>51.8418</v>
          </cell>
          <cell r="AM19">
            <v>662.77</v>
          </cell>
          <cell r="AN19">
            <v>119.2986</v>
          </cell>
          <cell r="AP19">
            <v>0</v>
          </cell>
          <cell r="AR19">
            <v>0</v>
          </cell>
          <cell r="AS19">
            <v>0</v>
          </cell>
          <cell r="AU19">
            <v>0</v>
          </cell>
          <cell r="AX19">
            <v>93.17280000000001</v>
          </cell>
          <cell r="BA19">
            <v>0</v>
          </cell>
          <cell r="BB19">
            <v>1840.7342</v>
          </cell>
          <cell r="BD19">
            <v>828.0157999999999</v>
          </cell>
          <cell r="BE19">
            <v>-332.79999999999995</v>
          </cell>
        </row>
        <row r="20">
          <cell r="B20">
            <v>347</v>
          </cell>
          <cell r="D20">
            <v>577.73</v>
          </cell>
          <cell r="S20">
            <v>1563.7</v>
          </cell>
          <cell r="T20">
            <v>860.12</v>
          </cell>
          <cell r="AB20">
            <v>1904.9299999999998</v>
          </cell>
          <cell r="AC20">
            <v>3342.7799999999997</v>
          </cell>
          <cell r="AG20">
            <v>208.2</v>
          </cell>
          <cell r="AH20">
            <v>69.4</v>
          </cell>
          <cell r="AI20">
            <v>294.95</v>
          </cell>
          <cell r="AJ20">
            <v>53.090999999999994</v>
          </cell>
          <cell r="AK20">
            <v>288.01</v>
          </cell>
          <cell r="AL20">
            <v>51.8418</v>
          </cell>
          <cell r="AM20">
            <v>662.77</v>
          </cell>
          <cell r="AN20">
            <v>119.2986</v>
          </cell>
          <cell r="AP20">
            <v>0</v>
          </cell>
          <cell r="AR20">
            <v>0</v>
          </cell>
          <cell r="AS20">
            <v>0</v>
          </cell>
          <cell r="AU20">
            <v>0</v>
          </cell>
          <cell r="AX20">
            <v>101.89536</v>
          </cell>
          <cell r="BA20">
            <v>0</v>
          </cell>
          <cell r="BB20">
            <v>1849.45676</v>
          </cell>
          <cell r="BD20">
            <v>1493.3232399999997</v>
          </cell>
          <cell r="BE20">
            <v>341.2299999999998</v>
          </cell>
        </row>
        <row r="39">
          <cell r="O39">
            <v>0</v>
          </cell>
          <cell r="P39">
            <v>0</v>
          </cell>
          <cell r="Q39">
            <v>0</v>
          </cell>
          <cell r="R39">
            <v>0</v>
          </cell>
          <cell r="Z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O19">
      <selection activeCell="AU39" sqref="AU39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0.25390625" style="2" customWidth="1"/>
    <col min="33" max="37" width="9.25390625" style="2" bestFit="1" customWidth="1"/>
    <col min="38" max="38" width="10.125" style="2" bestFit="1" customWidth="1"/>
    <col min="39" max="41" width="9.25390625" style="2" bestFit="1" customWidth="1"/>
    <col min="42" max="42" width="10.125" style="2" bestFit="1" customWidth="1"/>
    <col min="43" max="43" width="9.25390625" style="2" bestFit="1" customWidth="1"/>
    <col min="44" max="44" width="10.625" style="2" customWidth="1"/>
    <col min="45" max="45" width="9.25390625" style="2" bestFit="1" customWidth="1"/>
    <col min="46" max="47" width="10.125" style="2" bestFit="1" customWidth="1"/>
    <col min="48" max="48" width="9.375" style="2" customWidth="1"/>
    <col min="49" max="49" width="8.00390625" style="2" customWidth="1"/>
    <col min="50" max="50" width="9.75390625" style="2" customWidth="1"/>
    <col min="51" max="56" width="9.125" style="2" customWidth="1"/>
    <col min="57" max="57" width="10.00390625" style="2" customWidth="1"/>
    <col min="58" max="16384" width="9.125" style="2" customWidth="1"/>
  </cols>
  <sheetData>
    <row r="1" spans="1:18" ht="12.75">
      <c r="A1" s="350" t="s">
        <v>91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351" t="s">
        <v>76</v>
      </c>
      <c r="B3" s="353" t="s">
        <v>0</v>
      </c>
      <c r="C3" s="355" t="s">
        <v>1</v>
      </c>
      <c r="D3" s="357" t="s">
        <v>2</v>
      </c>
      <c r="E3" s="351" t="s">
        <v>11</v>
      </c>
      <c r="F3" s="373"/>
      <c r="G3" s="351" t="s">
        <v>12</v>
      </c>
      <c r="H3" s="366"/>
      <c r="I3" s="351" t="s">
        <v>13</v>
      </c>
      <c r="J3" s="366"/>
      <c r="K3" s="351" t="s">
        <v>14</v>
      </c>
      <c r="L3" s="366"/>
      <c r="M3" s="359" t="s">
        <v>15</v>
      </c>
      <c r="N3" s="366"/>
      <c r="O3" s="351" t="s">
        <v>16</v>
      </c>
      <c r="P3" s="366"/>
      <c r="Q3" s="351" t="s">
        <v>17</v>
      </c>
      <c r="R3" s="366"/>
      <c r="S3" s="351" t="s">
        <v>3</v>
      </c>
      <c r="T3" s="359"/>
      <c r="U3" s="362" t="s">
        <v>4</v>
      </c>
      <c r="V3" s="363"/>
      <c r="W3" s="363"/>
      <c r="X3" s="363"/>
      <c r="Y3" s="363"/>
      <c r="Z3" s="363"/>
      <c r="AA3" s="363"/>
      <c r="AB3" s="363"/>
      <c r="AC3" s="370" t="s">
        <v>77</v>
      </c>
      <c r="AD3" s="325" t="s">
        <v>6</v>
      </c>
      <c r="AE3" s="325" t="s">
        <v>7</v>
      </c>
      <c r="AF3" s="347" t="s">
        <v>78</v>
      </c>
      <c r="AG3" s="328" t="s">
        <v>8</v>
      </c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30"/>
      <c r="BC3" s="377" t="s">
        <v>79</v>
      </c>
      <c r="BD3" s="378"/>
      <c r="BE3" s="341" t="s">
        <v>9</v>
      </c>
      <c r="BF3" s="341" t="s">
        <v>10</v>
      </c>
    </row>
    <row r="4" spans="1:58" ht="36" customHeight="1" thickBot="1">
      <c r="A4" s="352"/>
      <c r="B4" s="354"/>
      <c r="C4" s="356"/>
      <c r="D4" s="358"/>
      <c r="E4" s="374"/>
      <c r="F4" s="375"/>
      <c r="G4" s="360"/>
      <c r="H4" s="369"/>
      <c r="I4" s="360"/>
      <c r="J4" s="369"/>
      <c r="K4" s="360"/>
      <c r="L4" s="369"/>
      <c r="M4" s="367"/>
      <c r="N4" s="368"/>
      <c r="O4" s="360"/>
      <c r="P4" s="369"/>
      <c r="Q4" s="360"/>
      <c r="R4" s="369"/>
      <c r="S4" s="360"/>
      <c r="T4" s="361"/>
      <c r="U4" s="364"/>
      <c r="V4" s="365"/>
      <c r="W4" s="365"/>
      <c r="X4" s="365"/>
      <c r="Y4" s="365"/>
      <c r="Z4" s="365"/>
      <c r="AA4" s="365"/>
      <c r="AB4" s="365"/>
      <c r="AC4" s="371"/>
      <c r="AD4" s="326"/>
      <c r="AE4" s="326"/>
      <c r="AF4" s="348"/>
      <c r="AG4" s="324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2"/>
      <c r="BC4" s="344" t="s">
        <v>80</v>
      </c>
      <c r="BD4" s="376" t="s">
        <v>81</v>
      </c>
      <c r="BE4" s="342"/>
      <c r="BF4" s="342"/>
    </row>
    <row r="5" spans="1:58" ht="29.25" customHeight="1" thickBot="1">
      <c r="A5" s="352"/>
      <c r="B5" s="354"/>
      <c r="C5" s="356"/>
      <c r="D5" s="358"/>
      <c r="E5" s="337" t="s">
        <v>18</v>
      </c>
      <c r="F5" s="315" t="s">
        <v>19</v>
      </c>
      <c r="G5" s="315" t="s">
        <v>18</v>
      </c>
      <c r="H5" s="315" t="s">
        <v>19</v>
      </c>
      <c r="I5" s="315" t="s">
        <v>18</v>
      </c>
      <c r="J5" s="315" t="s">
        <v>19</v>
      </c>
      <c r="K5" s="315" t="s">
        <v>18</v>
      </c>
      <c r="L5" s="315" t="s">
        <v>19</v>
      </c>
      <c r="M5" s="315" t="s">
        <v>18</v>
      </c>
      <c r="N5" s="315" t="s">
        <v>19</v>
      </c>
      <c r="O5" s="315" t="s">
        <v>18</v>
      </c>
      <c r="P5" s="315" t="s">
        <v>19</v>
      </c>
      <c r="Q5" s="315" t="s">
        <v>18</v>
      </c>
      <c r="R5" s="315" t="s">
        <v>19</v>
      </c>
      <c r="S5" s="315" t="s">
        <v>18</v>
      </c>
      <c r="T5" s="319" t="s">
        <v>19</v>
      </c>
      <c r="U5" s="317" t="s">
        <v>20</v>
      </c>
      <c r="V5" s="317" t="s">
        <v>21</v>
      </c>
      <c r="W5" s="317" t="s">
        <v>22</v>
      </c>
      <c r="X5" s="317" t="s">
        <v>23</v>
      </c>
      <c r="Y5" s="317" t="s">
        <v>24</v>
      </c>
      <c r="Z5" s="317" t="s">
        <v>25</v>
      </c>
      <c r="AA5" s="317" t="s">
        <v>26</v>
      </c>
      <c r="AB5" s="323" t="s">
        <v>27</v>
      </c>
      <c r="AC5" s="371"/>
      <c r="AD5" s="326"/>
      <c r="AE5" s="326"/>
      <c r="AF5" s="348"/>
      <c r="AG5" s="339" t="s">
        <v>28</v>
      </c>
      <c r="AH5" s="321" t="s">
        <v>29</v>
      </c>
      <c r="AI5" s="321" t="s">
        <v>30</v>
      </c>
      <c r="AJ5" s="313" t="s">
        <v>31</v>
      </c>
      <c r="AK5" s="321" t="s">
        <v>32</v>
      </c>
      <c r="AL5" s="313" t="s">
        <v>31</v>
      </c>
      <c r="AM5" s="313" t="s">
        <v>33</v>
      </c>
      <c r="AN5" s="313" t="s">
        <v>31</v>
      </c>
      <c r="AO5" s="313" t="s">
        <v>34</v>
      </c>
      <c r="AP5" s="313" t="s">
        <v>31</v>
      </c>
      <c r="AQ5" s="333" t="s">
        <v>88</v>
      </c>
      <c r="AR5" s="311" t="s">
        <v>31</v>
      </c>
      <c r="AS5" s="335" t="s">
        <v>82</v>
      </c>
      <c r="AT5" s="335" t="s">
        <v>83</v>
      </c>
      <c r="AU5" s="161" t="s">
        <v>31</v>
      </c>
      <c r="AV5" s="377" t="s">
        <v>84</v>
      </c>
      <c r="AW5" s="379"/>
      <c r="AX5" s="378"/>
      <c r="AY5" s="380" t="s">
        <v>17</v>
      </c>
      <c r="AZ5" s="376" t="s">
        <v>36</v>
      </c>
      <c r="BA5" s="376" t="s">
        <v>31</v>
      </c>
      <c r="BB5" s="376" t="s">
        <v>37</v>
      </c>
      <c r="BC5" s="345"/>
      <c r="BD5" s="313"/>
      <c r="BE5" s="342"/>
      <c r="BF5" s="342"/>
    </row>
    <row r="6" spans="1:58" ht="54" customHeight="1" thickBot="1">
      <c r="A6" s="352"/>
      <c r="B6" s="354"/>
      <c r="C6" s="356"/>
      <c r="D6" s="358"/>
      <c r="E6" s="338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20"/>
      <c r="U6" s="318"/>
      <c r="V6" s="318"/>
      <c r="W6" s="318"/>
      <c r="X6" s="318"/>
      <c r="Y6" s="318"/>
      <c r="Z6" s="318"/>
      <c r="AA6" s="318"/>
      <c r="AB6" s="324"/>
      <c r="AC6" s="372"/>
      <c r="AD6" s="327"/>
      <c r="AE6" s="327"/>
      <c r="AF6" s="349"/>
      <c r="AG6" s="340"/>
      <c r="AH6" s="322"/>
      <c r="AI6" s="322"/>
      <c r="AJ6" s="314"/>
      <c r="AK6" s="322"/>
      <c r="AL6" s="314"/>
      <c r="AM6" s="314"/>
      <c r="AN6" s="314"/>
      <c r="AO6" s="314"/>
      <c r="AP6" s="314"/>
      <c r="AQ6" s="334"/>
      <c r="AR6" s="312"/>
      <c r="AS6" s="336"/>
      <c r="AT6" s="336"/>
      <c r="AU6" s="133"/>
      <c r="AV6" s="132" t="s">
        <v>85</v>
      </c>
      <c r="AW6" s="132" t="s">
        <v>86</v>
      </c>
      <c r="AX6" s="132" t="s">
        <v>87</v>
      </c>
      <c r="AY6" s="381"/>
      <c r="AZ6" s="314"/>
      <c r="BA6" s="314"/>
      <c r="BB6" s="314"/>
      <c r="BC6" s="346"/>
      <c r="BD6" s="314"/>
      <c r="BE6" s="343"/>
      <c r="BF6" s="343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198">
        <v>43</v>
      </c>
      <c r="AR7" s="199">
        <v>44</v>
      </c>
      <c r="AS7" s="194">
        <v>45</v>
      </c>
      <c r="AT7" s="10">
        <v>46</v>
      </c>
      <c r="AU7" s="194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56"/>
    </row>
    <row r="8" spans="1:58" ht="12.75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197"/>
      <c r="AR8" s="197"/>
      <c r="AS8" s="6"/>
      <c r="AT8" s="6"/>
      <c r="AU8" s="6"/>
      <c r="AV8" s="7"/>
      <c r="AW8" s="7"/>
      <c r="AX8" s="7"/>
      <c r="AY8" s="7"/>
      <c r="AZ8" s="13"/>
      <c r="BA8" s="1"/>
      <c r="BB8" s="1"/>
      <c r="BC8" s="1"/>
      <c r="BD8" s="1"/>
      <c r="BE8" s="1"/>
      <c r="BF8" s="156"/>
    </row>
    <row r="9" spans="1:58" s="144" customFormat="1" ht="12.75">
      <c r="A9" s="145" t="s">
        <v>39</v>
      </c>
      <c r="B9" s="134">
        <v>632.9</v>
      </c>
      <c r="C9" s="128">
        <f>B9*8.65</f>
        <v>5474.585</v>
      </c>
      <c r="D9" s="135">
        <f>C9*0.24088</f>
        <v>1318.7180348000002</v>
      </c>
      <c r="E9" s="16">
        <v>439.47</v>
      </c>
      <c r="F9" s="16">
        <v>101.34</v>
      </c>
      <c r="G9" s="16">
        <v>593.29</v>
      </c>
      <c r="H9" s="16">
        <v>136.82</v>
      </c>
      <c r="I9" s="16">
        <v>1428.25</v>
      </c>
      <c r="J9" s="16">
        <v>329.38</v>
      </c>
      <c r="K9" s="16">
        <v>988.8</v>
      </c>
      <c r="L9" s="16">
        <v>228.04</v>
      </c>
      <c r="M9" s="136">
        <v>351.55</v>
      </c>
      <c r="N9" s="136">
        <v>81.09</v>
      </c>
      <c r="O9" s="16">
        <v>0</v>
      </c>
      <c r="P9" s="16">
        <v>0</v>
      </c>
      <c r="Q9" s="16">
        <v>0</v>
      </c>
      <c r="R9" s="16">
        <v>0</v>
      </c>
      <c r="S9" s="16">
        <f>E9+G9+I9+K9+M9+O9+Q9</f>
        <v>3801.3600000000006</v>
      </c>
      <c r="T9" s="137">
        <f>P9+N9+L9+J9+H9+F9+R9</f>
        <v>876.67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77">
        <v>0</v>
      </c>
      <c r="AA9" s="77">
        <v>0</v>
      </c>
      <c r="AB9" s="77">
        <f>SUM(U9:AA9)</f>
        <v>0</v>
      </c>
      <c r="AC9" s="138">
        <f>D9+T9+AB9</f>
        <v>2195.3880348000002</v>
      </c>
      <c r="AD9" s="139">
        <f>P9+Z9</f>
        <v>0</v>
      </c>
      <c r="AE9" s="99">
        <f>R9+AA9</f>
        <v>0</v>
      </c>
      <c r="AF9" s="99"/>
      <c r="AG9" s="16">
        <f>0.6*B9</f>
        <v>379.73999999999995</v>
      </c>
      <c r="AH9" s="16">
        <f>B9*0.2*1.05826</f>
        <v>133.9545508</v>
      </c>
      <c r="AI9" s="16">
        <f>0.8518*B9</f>
        <v>539.1042199999999</v>
      </c>
      <c r="AJ9" s="16">
        <f>AI9*0.18</f>
        <v>97.03875959999999</v>
      </c>
      <c r="AK9" s="16">
        <f>1.04*B9*0.9531</f>
        <v>627.3456696</v>
      </c>
      <c r="AL9" s="16">
        <f>AK9*0.18</f>
        <v>112.92222052799998</v>
      </c>
      <c r="AM9" s="16">
        <f>(1.91)*B9*0.9531</f>
        <v>1152.1444508999998</v>
      </c>
      <c r="AN9" s="16">
        <f>AM9*0.18</f>
        <v>207.38600116199996</v>
      </c>
      <c r="AO9" s="16"/>
      <c r="AP9" s="16">
        <f>AO9*0.18</f>
        <v>0</v>
      </c>
      <c r="AQ9" s="136"/>
      <c r="AR9" s="136"/>
      <c r="AS9" s="25"/>
      <c r="AT9" s="25"/>
      <c r="AU9" s="25">
        <f>(AS9+AT9)*0.18</f>
        <v>0</v>
      </c>
      <c r="AV9" s="140"/>
      <c r="AW9" s="141"/>
      <c r="AX9" s="16">
        <f>AV9*AW9*1.12*1.18</f>
        <v>0</v>
      </c>
      <c r="AY9" s="142"/>
      <c r="AZ9" s="77"/>
      <c r="BA9" s="77">
        <f>AZ9*0.18</f>
        <v>0</v>
      </c>
      <c r="BB9" s="77">
        <f>SUM(AG9:BA9)-AV9-AW9</f>
        <v>3249.63587259</v>
      </c>
      <c r="BC9" s="77"/>
      <c r="BD9" s="18">
        <f>BB9-(AF9-BC9)</f>
        <v>3249.63587259</v>
      </c>
      <c r="BE9" s="143">
        <f>AC9-BB9</f>
        <v>-1054.2478377899997</v>
      </c>
      <c r="BF9" s="204">
        <f>AB9-S9</f>
        <v>-3801.3600000000006</v>
      </c>
    </row>
    <row r="10" spans="1:58" ht="12.75">
      <c r="A10" s="14" t="s">
        <v>40</v>
      </c>
      <c r="B10" s="134">
        <v>632.9</v>
      </c>
      <c r="C10" s="128">
        <f>B10*8.65</f>
        <v>5474.585</v>
      </c>
      <c r="D10" s="135">
        <f>C10*0.24088</f>
        <v>1318.7180348000002</v>
      </c>
      <c r="E10" s="16">
        <v>439.02</v>
      </c>
      <c r="F10" s="16">
        <v>101.64</v>
      </c>
      <c r="G10" s="16">
        <v>592.7</v>
      </c>
      <c r="H10" s="16">
        <v>137.21</v>
      </c>
      <c r="I10" s="16">
        <v>1426.83</v>
      </c>
      <c r="J10" s="16">
        <v>330.33</v>
      </c>
      <c r="K10" s="16">
        <v>987.82</v>
      </c>
      <c r="L10" s="16">
        <v>228.69</v>
      </c>
      <c r="M10" s="136">
        <v>351.2</v>
      </c>
      <c r="N10" s="136">
        <v>81.32</v>
      </c>
      <c r="O10" s="16">
        <v>0</v>
      </c>
      <c r="P10" s="16">
        <v>0</v>
      </c>
      <c r="Q10" s="16">
        <v>0</v>
      </c>
      <c r="R10" s="16">
        <v>0</v>
      </c>
      <c r="S10" s="16">
        <f>E10+G10+I10+K10+M10+O10+Q10</f>
        <v>3797.57</v>
      </c>
      <c r="T10" s="137">
        <f>P10+N10+L10+J10+H10+F10+R10</f>
        <v>879.1899999999999</v>
      </c>
      <c r="U10" s="16">
        <v>295.44</v>
      </c>
      <c r="V10" s="16">
        <v>398.8</v>
      </c>
      <c r="W10" s="16">
        <v>960.05</v>
      </c>
      <c r="X10" s="16">
        <v>664.65</v>
      </c>
      <c r="Y10" s="16">
        <v>236.3</v>
      </c>
      <c r="Z10" s="16">
        <v>0</v>
      </c>
      <c r="AA10" s="77">
        <v>0</v>
      </c>
      <c r="AB10" s="18">
        <f>SUM(U10:AA10)</f>
        <v>2555.2400000000002</v>
      </c>
      <c r="AC10" s="146">
        <f>D10+T10+AB10</f>
        <v>4753.1480348000005</v>
      </c>
      <c r="AD10" s="99">
        <f>P10+Z10</f>
        <v>0</v>
      </c>
      <c r="AE10" s="99">
        <f>R10+AA10</f>
        <v>0</v>
      </c>
      <c r="AF10" s="99"/>
      <c r="AG10" s="16">
        <f>0.6*B10</f>
        <v>379.73999999999995</v>
      </c>
      <c r="AH10" s="16">
        <f>B10*0.201</f>
        <v>127.2129</v>
      </c>
      <c r="AI10" s="16">
        <f>0.8518*B10</f>
        <v>539.1042199999999</v>
      </c>
      <c r="AJ10" s="16">
        <f>AI10*0.18</f>
        <v>97.03875959999999</v>
      </c>
      <c r="AK10" s="16">
        <f>1.04*B10*0.9531</f>
        <v>627.3456696</v>
      </c>
      <c r="AL10" s="16">
        <f>AK10*0.18</f>
        <v>112.92222052799998</v>
      </c>
      <c r="AM10" s="16">
        <f>(1.91)*B10*0.9531</f>
        <v>1152.1444508999998</v>
      </c>
      <c r="AN10" s="16">
        <f>AM10*0.18</f>
        <v>207.38600116199996</v>
      </c>
      <c r="AO10" s="16"/>
      <c r="AP10" s="16">
        <f>AO10*0.18</f>
        <v>0</v>
      </c>
      <c r="AQ10" s="26"/>
      <c r="AR10" s="26"/>
      <c r="AS10" s="25">
        <v>450</v>
      </c>
      <c r="AT10" s="25"/>
      <c r="AU10" s="25">
        <f>(AS10+AT10)*0.18</f>
        <v>81</v>
      </c>
      <c r="AV10" s="140"/>
      <c r="AW10" s="141"/>
      <c r="AX10" s="16">
        <f>AV10*AW10*1.12*1.18</f>
        <v>0</v>
      </c>
      <c r="AY10" s="142"/>
      <c r="AZ10" s="77"/>
      <c r="BA10" s="77">
        <f>AZ10*0.18</f>
        <v>0</v>
      </c>
      <c r="BB10" s="77">
        <f>SUM(AG10:BA10)-AV10-AW10</f>
        <v>3773.8942217899994</v>
      </c>
      <c r="BC10" s="77"/>
      <c r="BD10" s="18">
        <f>BB10-(AF10-BC10)</f>
        <v>3773.8942217899994</v>
      </c>
      <c r="BE10" s="143">
        <f>AC10-BB10</f>
        <v>979.2538130100011</v>
      </c>
      <c r="BF10" s="143">
        <f>AB10-S10</f>
        <v>-1242.33</v>
      </c>
    </row>
    <row r="11" spans="1:58" ht="13.5" thickBot="1">
      <c r="A11" s="44" t="s">
        <v>41</v>
      </c>
      <c r="B11" s="134">
        <v>632.9</v>
      </c>
      <c r="C11" s="128">
        <f>B11*8.65</f>
        <v>5474.585</v>
      </c>
      <c r="D11" s="135">
        <f>C11*0.24035</f>
        <v>1315.8165047500001</v>
      </c>
      <c r="E11" s="16">
        <v>440.24</v>
      </c>
      <c r="F11" s="16">
        <v>91.9</v>
      </c>
      <c r="G11" s="16">
        <v>594.33</v>
      </c>
      <c r="H11" s="16">
        <v>124.06</v>
      </c>
      <c r="I11" s="16">
        <v>1430.77</v>
      </c>
      <c r="J11" s="16">
        <v>298.68</v>
      </c>
      <c r="K11" s="16">
        <v>990.54</v>
      </c>
      <c r="L11" s="16">
        <v>206.78</v>
      </c>
      <c r="M11" s="136">
        <v>352.17</v>
      </c>
      <c r="N11" s="205">
        <v>73.52</v>
      </c>
      <c r="O11" s="77">
        <v>0</v>
      </c>
      <c r="P11" s="77">
        <v>0</v>
      </c>
      <c r="Q11" s="77">
        <v>0</v>
      </c>
      <c r="R11" s="77">
        <v>0</v>
      </c>
      <c r="S11" s="16">
        <f>E11+G11+I11+K11+M11+O11+Q11</f>
        <v>3808.05</v>
      </c>
      <c r="T11" s="137">
        <f>P11+N11+L11+J11+H11+F11+R11</f>
        <v>794.9399999999999</v>
      </c>
      <c r="U11" s="16">
        <v>451.5</v>
      </c>
      <c r="V11" s="16">
        <v>609.6</v>
      </c>
      <c r="W11" s="16">
        <v>1467.51</v>
      </c>
      <c r="X11" s="16">
        <v>1016</v>
      </c>
      <c r="Y11" s="16">
        <v>361.21</v>
      </c>
      <c r="Z11" s="16">
        <v>0</v>
      </c>
      <c r="AA11" s="77">
        <v>0</v>
      </c>
      <c r="AB11" s="18">
        <f>SUM(U11:AA11)</f>
        <v>3905.8199999999997</v>
      </c>
      <c r="AC11" s="146">
        <f>D11+T11+AB11</f>
        <v>6016.57650475</v>
      </c>
      <c r="AD11" s="99">
        <f>P11+Z11</f>
        <v>0</v>
      </c>
      <c r="AE11" s="99">
        <f>R11+AA11</f>
        <v>0</v>
      </c>
      <c r="AF11" s="99"/>
      <c r="AG11" s="16">
        <f>0.6*B11</f>
        <v>379.73999999999995</v>
      </c>
      <c r="AH11" s="16">
        <f>B11*0.2*1.02524</f>
        <v>129.7748792</v>
      </c>
      <c r="AI11" s="16">
        <f>0.84932*B11</f>
        <v>537.534628</v>
      </c>
      <c r="AJ11" s="16">
        <f>AI11*0.18</f>
        <v>96.75623304</v>
      </c>
      <c r="AK11" s="16">
        <f>1.04*B11*0.95033</f>
        <v>625.52241128</v>
      </c>
      <c r="AL11" s="16">
        <f>AK11*0.18</f>
        <v>112.5940340304</v>
      </c>
      <c r="AM11" s="16">
        <f>(1.91)*B11*0.95033</f>
        <v>1148.79596687</v>
      </c>
      <c r="AN11" s="16">
        <f>AM11*0.18</f>
        <v>206.7832740366</v>
      </c>
      <c r="AO11" s="16"/>
      <c r="AP11" s="16">
        <f>AO11*0.18</f>
        <v>0</v>
      </c>
      <c r="AQ11" s="225"/>
      <c r="AR11" s="225"/>
      <c r="AS11" s="25"/>
      <c r="AT11" s="25"/>
      <c r="AU11" s="25">
        <f>(AS11+AT11)*0.18</f>
        <v>0</v>
      </c>
      <c r="AV11" s="140"/>
      <c r="AW11" s="141"/>
      <c r="AX11" s="16">
        <f>AV11*AW11*1.12*1.18</f>
        <v>0</v>
      </c>
      <c r="AY11" s="142"/>
      <c r="AZ11" s="77"/>
      <c r="BA11" s="77">
        <f>AZ11*0.18</f>
        <v>0</v>
      </c>
      <c r="BB11" s="77">
        <f>SUM(AG11:BA11)-AV11-AW11</f>
        <v>3237.501426457</v>
      </c>
      <c r="BC11" s="77"/>
      <c r="BD11" s="18">
        <f>BB11-(AF11-BC11)</f>
        <v>3237.501426457</v>
      </c>
      <c r="BE11" s="143">
        <f>AC11-BB11</f>
        <v>2779.075078293</v>
      </c>
      <c r="BF11" s="143">
        <f>AB11-S11</f>
        <v>97.76999999999953</v>
      </c>
    </row>
    <row r="12" spans="1:58" s="24" customFormat="1" ht="15" customHeight="1" thickBot="1">
      <c r="A12" s="45" t="s">
        <v>3</v>
      </c>
      <c r="B12" s="71"/>
      <c r="C12" s="71">
        <f>SUM(C9:C11)</f>
        <v>16423.755</v>
      </c>
      <c r="D12" s="71">
        <f aca="true" t="shared" si="0" ref="D12:AM12">SUM(D9:D11)</f>
        <v>3953.2525743500005</v>
      </c>
      <c r="E12" s="71">
        <f t="shared" si="0"/>
        <v>1318.73</v>
      </c>
      <c r="F12" s="71">
        <f t="shared" si="0"/>
        <v>294.88</v>
      </c>
      <c r="G12" s="71">
        <f t="shared" si="0"/>
        <v>1780.3200000000002</v>
      </c>
      <c r="H12" s="71">
        <f t="shared" si="0"/>
        <v>398.09</v>
      </c>
      <c r="I12" s="71">
        <f t="shared" si="0"/>
        <v>4285.85</v>
      </c>
      <c r="J12" s="71">
        <f t="shared" si="0"/>
        <v>958.3900000000001</v>
      </c>
      <c r="K12" s="71">
        <f t="shared" si="0"/>
        <v>2967.16</v>
      </c>
      <c r="L12" s="71">
        <f t="shared" si="0"/>
        <v>663.51</v>
      </c>
      <c r="M12" s="71">
        <f t="shared" si="0"/>
        <v>1054.92</v>
      </c>
      <c r="N12" s="71">
        <f t="shared" si="0"/>
        <v>235.93</v>
      </c>
      <c r="O12" s="71">
        <f t="shared" si="0"/>
        <v>0</v>
      </c>
      <c r="P12" s="71">
        <f t="shared" si="0"/>
        <v>0</v>
      </c>
      <c r="Q12" s="71">
        <f t="shared" si="0"/>
        <v>0</v>
      </c>
      <c r="R12" s="71">
        <f t="shared" si="0"/>
        <v>0</v>
      </c>
      <c r="S12" s="71">
        <f t="shared" si="0"/>
        <v>11406.98</v>
      </c>
      <c r="T12" s="71">
        <f t="shared" si="0"/>
        <v>2550.7999999999997</v>
      </c>
      <c r="U12" s="71">
        <f t="shared" si="0"/>
        <v>746.94</v>
      </c>
      <c r="V12" s="71">
        <f t="shared" si="0"/>
        <v>1008.4000000000001</v>
      </c>
      <c r="W12" s="71">
        <f t="shared" si="0"/>
        <v>2427.56</v>
      </c>
      <c r="X12" s="71">
        <f t="shared" si="0"/>
        <v>1680.65</v>
      </c>
      <c r="Y12" s="71">
        <f t="shared" si="0"/>
        <v>597.51</v>
      </c>
      <c r="Z12" s="71">
        <f t="shared" si="0"/>
        <v>0</v>
      </c>
      <c r="AA12" s="71">
        <f t="shared" si="0"/>
        <v>0</v>
      </c>
      <c r="AB12" s="71">
        <f t="shared" si="0"/>
        <v>6461.0599999999995</v>
      </c>
      <c r="AC12" s="71">
        <f t="shared" si="0"/>
        <v>12965.112574350002</v>
      </c>
      <c r="AD12" s="71">
        <f t="shared" si="0"/>
        <v>0</v>
      </c>
      <c r="AE12" s="71">
        <f t="shared" si="0"/>
        <v>0</v>
      </c>
      <c r="AF12" s="71">
        <f t="shared" si="0"/>
        <v>0</v>
      </c>
      <c r="AG12" s="71">
        <f t="shared" si="0"/>
        <v>1139.2199999999998</v>
      </c>
      <c r="AH12" s="71">
        <f t="shared" si="0"/>
        <v>390.94232999999997</v>
      </c>
      <c r="AI12" s="71">
        <f t="shared" si="0"/>
        <v>1615.7430679999998</v>
      </c>
      <c r="AJ12" s="71">
        <f t="shared" si="0"/>
        <v>290.83375223999997</v>
      </c>
      <c r="AK12" s="71">
        <f t="shared" si="0"/>
        <v>1880.2137504799998</v>
      </c>
      <c r="AL12" s="71">
        <f t="shared" si="0"/>
        <v>338.4384750864</v>
      </c>
      <c r="AM12" s="71">
        <f t="shared" si="0"/>
        <v>3453.0848686699997</v>
      </c>
      <c r="AN12" s="71">
        <f>SUM(AN9:AN11)</f>
        <v>621.5552763605999</v>
      </c>
      <c r="AO12" s="71">
        <f aca="true" t="shared" si="1" ref="AO12:BF12">SUM(AO9:AO11)</f>
        <v>0</v>
      </c>
      <c r="AP12" s="71">
        <f t="shared" si="1"/>
        <v>0</v>
      </c>
      <c r="AQ12" s="224">
        <f t="shared" si="1"/>
        <v>0</v>
      </c>
      <c r="AR12" s="224">
        <f t="shared" si="1"/>
        <v>0</v>
      </c>
      <c r="AS12" s="71">
        <f t="shared" si="1"/>
        <v>450</v>
      </c>
      <c r="AT12" s="71">
        <f t="shared" si="1"/>
        <v>0</v>
      </c>
      <c r="AU12" s="71">
        <f t="shared" si="1"/>
        <v>81</v>
      </c>
      <c r="AV12" s="71">
        <f t="shared" si="1"/>
        <v>0</v>
      </c>
      <c r="AW12" s="71">
        <f t="shared" si="1"/>
        <v>0</v>
      </c>
      <c r="AX12" s="71">
        <f t="shared" si="1"/>
        <v>0</v>
      </c>
      <c r="AY12" s="71">
        <f t="shared" si="1"/>
        <v>0</v>
      </c>
      <c r="AZ12" s="71">
        <f t="shared" si="1"/>
        <v>0</v>
      </c>
      <c r="BA12" s="71">
        <f t="shared" si="1"/>
        <v>0</v>
      </c>
      <c r="BB12" s="71">
        <f t="shared" si="1"/>
        <v>10261.031520837</v>
      </c>
      <c r="BC12" s="71">
        <f t="shared" si="1"/>
        <v>0</v>
      </c>
      <c r="BD12" s="71">
        <f t="shared" si="1"/>
        <v>10261.031520837</v>
      </c>
      <c r="BE12" s="71">
        <f t="shared" si="1"/>
        <v>2704.0810535130013</v>
      </c>
      <c r="BF12" s="71">
        <f t="shared" si="1"/>
        <v>-4945.920000000001</v>
      </c>
    </row>
    <row r="13" spans="1:58" ht="15" customHeight="1">
      <c r="A13" s="8" t="s">
        <v>42</v>
      </c>
      <c r="B13" s="147"/>
      <c r="C13" s="148"/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P13" s="151"/>
      <c r="Q13" s="152"/>
      <c r="R13" s="152"/>
      <c r="S13" s="152"/>
      <c r="T13" s="152"/>
      <c r="U13" s="153"/>
      <c r="V13" s="153"/>
      <c r="W13" s="153"/>
      <c r="X13" s="153"/>
      <c r="Y13" s="153"/>
      <c r="Z13" s="153"/>
      <c r="AA13" s="154"/>
      <c r="AB13" s="154"/>
      <c r="AC13" s="102"/>
      <c r="AD13" s="103"/>
      <c r="AE13" s="103"/>
      <c r="AF13" s="54"/>
      <c r="AG13" s="54"/>
      <c r="AH13" s="54"/>
      <c r="AI13" s="54"/>
      <c r="AJ13" s="54"/>
      <c r="AK13" s="54"/>
      <c r="AL13" s="54"/>
      <c r="AM13" s="54"/>
      <c r="AN13" s="69"/>
      <c r="AO13" s="69"/>
      <c r="AP13" s="69"/>
      <c r="AQ13" s="190"/>
      <c r="AR13" s="191"/>
      <c r="AS13" s="96"/>
      <c r="AT13" s="96"/>
      <c r="AU13" s="155"/>
      <c r="AV13" s="54"/>
      <c r="AW13" s="54"/>
      <c r="AX13" s="55"/>
      <c r="AY13" s="1"/>
      <c r="AZ13" s="1"/>
      <c r="BA13" s="1"/>
      <c r="BB13" s="1"/>
      <c r="BC13" s="1"/>
      <c r="BD13" s="1"/>
      <c r="BE13" s="1"/>
      <c r="BF13" s="156"/>
    </row>
    <row r="14" spans="1:58" ht="12.75">
      <c r="A14" s="14" t="s">
        <v>43</v>
      </c>
      <c r="B14" s="216">
        <v>632.9</v>
      </c>
      <c r="C14" s="128">
        <f aca="true" t="shared" si="2" ref="C14:C22">B14*8.65</f>
        <v>5474.585</v>
      </c>
      <c r="D14" s="135">
        <f>C14*0.125</f>
        <v>684.323125</v>
      </c>
      <c r="E14" s="16">
        <v>297.13</v>
      </c>
      <c r="F14" s="16">
        <v>84.12</v>
      </c>
      <c r="G14" s="16">
        <v>401.15</v>
      </c>
      <c r="H14" s="16">
        <v>113.56</v>
      </c>
      <c r="I14" s="16">
        <v>965.69</v>
      </c>
      <c r="J14" s="16">
        <v>273.39</v>
      </c>
      <c r="K14" s="16">
        <v>668.56</v>
      </c>
      <c r="L14" s="16">
        <v>189.27</v>
      </c>
      <c r="M14" s="136">
        <v>237.69</v>
      </c>
      <c r="N14" s="205">
        <v>67.3</v>
      </c>
      <c r="O14" s="77">
        <v>0</v>
      </c>
      <c r="P14" s="77">
        <v>0</v>
      </c>
      <c r="Q14" s="77">
        <v>0</v>
      </c>
      <c r="R14" s="77">
        <v>0</v>
      </c>
      <c r="S14" s="16">
        <f aca="true" t="shared" si="3" ref="S14:S22">E14+G14+I14+K14+M14+O14+Q14</f>
        <v>2570.22</v>
      </c>
      <c r="T14" s="137">
        <f aca="true" t="shared" si="4" ref="T14:T22">P14+N14+L14+J14+H14+F14+R14</f>
        <v>727.64</v>
      </c>
      <c r="U14" s="16">
        <v>523.2</v>
      </c>
      <c r="V14" s="16">
        <v>706.34</v>
      </c>
      <c r="W14" s="16">
        <v>1700.39</v>
      </c>
      <c r="X14" s="16">
        <v>1177.19</v>
      </c>
      <c r="Y14" s="16">
        <v>418.54</v>
      </c>
      <c r="Z14" s="16">
        <v>0</v>
      </c>
      <c r="AA14" s="77">
        <v>0</v>
      </c>
      <c r="AB14" s="158">
        <f aca="true" t="shared" si="5" ref="AB14:AB22">SUM(U14:AA14)</f>
        <v>4525.660000000001</v>
      </c>
      <c r="AC14" s="146">
        <f aca="true" t="shared" si="6" ref="AC14:AC22">D14+T14+AB14</f>
        <v>5937.623125000001</v>
      </c>
      <c r="AD14" s="99">
        <f aca="true" t="shared" si="7" ref="AD14:AD22">P14+Z14</f>
        <v>0</v>
      </c>
      <c r="AE14" s="99">
        <f aca="true" t="shared" si="8" ref="AE14:AE22">R14+AA14</f>
        <v>0</v>
      </c>
      <c r="AF14" s="99"/>
      <c r="AG14" s="16">
        <f>0.6*B14*0.9</f>
        <v>341.76599999999996</v>
      </c>
      <c r="AH14" s="16">
        <f>B14*0.2*0.891</f>
        <v>112.78278</v>
      </c>
      <c r="AI14" s="16">
        <f>0.85*B14*0.867-0.02</f>
        <v>466.3956549999999</v>
      </c>
      <c r="AJ14" s="16">
        <f aca="true" t="shared" si="9" ref="AJ14:AJ22">AI14*0.18</f>
        <v>83.95121789999999</v>
      </c>
      <c r="AK14" s="16">
        <f>0.83*B14*0.8685</f>
        <v>456.22912949999994</v>
      </c>
      <c r="AL14" s="16">
        <f aca="true" t="shared" si="10" ref="AL14:AL22">AK14*0.18</f>
        <v>82.12124330999998</v>
      </c>
      <c r="AM14" s="16">
        <f>1.91*B14*0.8686</f>
        <v>1049.9975554</v>
      </c>
      <c r="AN14" s="16">
        <f aca="true" t="shared" si="11" ref="AN14:AN22">AM14*0.18</f>
        <v>188.999559972</v>
      </c>
      <c r="AO14" s="16"/>
      <c r="AP14" s="16">
        <f aca="true" t="shared" si="12" ref="AP14:AR22">AO14*0.18</f>
        <v>0</v>
      </c>
      <c r="AQ14" s="159"/>
      <c r="AR14" s="159">
        <f>AQ14*0.18</f>
        <v>0</v>
      </c>
      <c r="AS14" s="25"/>
      <c r="AT14" s="25"/>
      <c r="AU14" s="25">
        <f aca="true" t="shared" si="13" ref="AU14:AU22">(AS14+AT14)*0.18</f>
        <v>0</v>
      </c>
      <c r="AV14" s="140">
        <v>508</v>
      </c>
      <c r="AW14" s="141">
        <v>0.3</v>
      </c>
      <c r="AX14" s="16">
        <f aca="true" t="shared" si="14" ref="AX14:AX22">AV14*AW14*1.12*1.18</f>
        <v>201.41184</v>
      </c>
      <c r="AY14" s="142"/>
      <c r="AZ14" s="77"/>
      <c r="BA14" s="77">
        <f aca="true" t="shared" si="15" ref="BA14:BA25">AZ14*0.18</f>
        <v>0</v>
      </c>
      <c r="BB14" s="16">
        <f aca="true" t="shared" si="16" ref="BB14:BB22">SUM(AG14:BA14)-AV14-AW14</f>
        <v>2983.6549810819997</v>
      </c>
      <c r="BC14" s="160"/>
      <c r="BD14" s="16">
        <f aca="true" t="shared" si="17" ref="BD14:BD25">BB14-(AF14-BC14)</f>
        <v>2983.6549810819997</v>
      </c>
      <c r="BE14" s="219">
        <f aca="true" t="shared" si="18" ref="BE14:BE24">(AC14-BB14)+(AF14-BC14)</f>
        <v>2953.9681439180013</v>
      </c>
      <c r="BF14" s="143">
        <f aca="true" t="shared" si="19" ref="BF14:BF24">AB14-S14</f>
        <v>1955.440000000001</v>
      </c>
    </row>
    <row r="15" spans="1:58" ht="12.75">
      <c r="A15" s="14" t="s">
        <v>44</v>
      </c>
      <c r="B15" s="216">
        <v>632.9</v>
      </c>
      <c r="C15" s="128">
        <f t="shared" si="2"/>
        <v>5474.585</v>
      </c>
      <c r="D15" s="135">
        <f>C15*0.125</f>
        <v>684.323125</v>
      </c>
      <c r="E15" s="16">
        <v>464.37</v>
      </c>
      <c r="F15" s="16">
        <v>84.12</v>
      </c>
      <c r="G15" s="16">
        <v>626.92</v>
      </c>
      <c r="H15" s="16">
        <v>113.56</v>
      </c>
      <c r="I15" s="16">
        <v>1509.19</v>
      </c>
      <c r="J15" s="16">
        <v>273.39</v>
      </c>
      <c r="K15" s="16">
        <v>1044.84</v>
      </c>
      <c r="L15" s="16">
        <v>189.27</v>
      </c>
      <c r="M15" s="136">
        <v>371.48</v>
      </c>
      <c r="N15" s="205">
        <v>67.3</v>
      </c>
      <c r="O15" s="77">
        <v>0</v>
      </c>
      <c r="P15" s="77">
        <v>0</v>
      </c>
      <c r="Q15" s="77">
        <v>0</v>
      </c>
      <c r="R15" s="77">
        <v>0</v>
      </c>
      <c r="S15" s="16">
        <f t="shared" si="3"/>
        <v>4016.7999999999997</v>
      </c>
      <c r="T15" s="137">
        <f t="shared" si="4"/>
        <v>727.64</v>
      </c>
      <c r="U15" s="16">
        <v>338.67</v>
      </c>
      <c r="V15" s="16">
        <v>457.23</v>
      </c>
      <c r="W15" s="16">
        <v>1100.7</v>
      </c>
      <c r="X15" s="16">
        <v>762.02</v>
      </c>
      <c r="Y15" s="16">
        <v>270.91</v>
      </c>
      <c r="Z15" s="16">
        <v>0</v>
      </c>
      <c r="AA15" s="77">
        <v>0</v>
      </c>
      <c r="AB15" s="18">
        <f t="shared" si="5"/>
        <v>2929.5299999999997</v>
      </c>
      <c r="AC15" s="146">
        <f t="shared" si="6"/>
        <v>4341.493125</v>
      </c>
      <c r="AD15" s="99">
        <f t="shared" si="7"/>
        <v>0</v>
      </c>
      <c r="AE15" s="99">
        <f t="shared" si="8"/>
        <v>0</v>
      </c>
      <c r="AF15" s="99"/>
      <c r="AG15" s="16">
        <f>0.6*B15*0.9</f>
        <v>341.76599999999996</v>
      </c>
      <c r="AH15" s="16">
        <f>B15*0.2*0.9153</f>
        <v>115.858674</v>
      </c>
      <c r="AI15" s="16">
        <f>0.85*B15*0.867</f>
        <v>466.4156549999999</v>
      </c>
      <c r="AJ15" s="16">
        <f t="shared" si="9"/>
        <v>83.95481789999998</v>
      </c>
      <c r="AK15" s="16">
        <f>0.83*B15*0.8684</f>
        <v>456.1765987999999</v>
      </c>
      <c r="AL15" s="16">
        <f t="shared" si="10"/>
        <v>82.11178778399999</v>
      </c>
      <c r="AM15" s="16">
        <f>(1.91)*B15*0.8684</f>
        <v>1049.7557875999998</v>
      </c>
      <c r="AN15" s="16">
        <f t="shared" si="11"/>
        <v>188.95604176799998</v>
      </c>
      <c r="AO15" s="16"/>
      <c r="AP15" s="16">
        <f t="shared" si="12"/>
        <v>0</v>
      </c>
      <c r="AQ15" s="159"/>
      <c r="AR15" s="159">
        <f>AQ15*0.18</f>
        <v>0</v>
      </c>
      <c r="AS15" s="25"/>
      <c r="AT15" s="25"/>
      <c r="AU15" s="25">
        <f t="shared" si="13"/>
        <v>0</v>
      </c>
      <c r="AV15" s="140">
        <v>407</v>
      </c>
      <c r="AW15" s="141">
        <v>0.3</v>
      </c>
      <c r="AX15" s="16">
        <f t="shared" si="14"/>
        <v>161.36736</v>
      </c>
      <c r="AY15" s="142"/>
      <c r="AZ15" s="77"/>
      <c r="BA15" s="77">
        <f t="shared" si="15"/>
        <v>0</v>
      </c>
      <c r="BB15" s="16">
        <f t="shared" si="16"/>
        <v>2946.3627228519995</v>
      </c>
      <c r="BC15" s="162"/>
      <c r="BD15" s="16">
        <f t="shared" si="17"/>
        <v>2946.3627228519995</v>
      </c>
      <c r="BE15" s="219">
        <f t="shared" si="18"/>
        <v>1395.1304021480005</v>
      </c>
      <c r="BF15" s="143">
        <f t="shared" si="19"/>
        <v>-1087.27</v>
      </c>
    </row>
    <row r="16" spans="1:58" ht="13.5" thickBot="1">
      <c r="A16" s="169" t="s">
        <v>45</v>
      </c>
      <c r="B16" s="170">
        <v>632.9</v>
      </c>
      <c r="C16" s="171">
        <f t="shared" si="2"/>
        <v>5474.585</v>
      </c>
      <c r="D16" s="172">
        <f>C16*0.125</f>
        <v>684.323125</v>
      </c>
      <c r="E16" s="97">
        <v>464.6</v>
      </c>
      <c r="F16" s="97">
        <v>84.12</v>
      </c>
      <c r="G16" s="97">
        <v>627.23</v>
      </c>
      <c r="H16" s="97">
        <v>113.56</v>
      </c>
      <c r="I16" s="97">
        <v>1509.97</v>
      </c>
      <c r="J16" s="97">
        <v>273.39</v>
      </c>
      <c r="K16" s="97">
        <v>1045.37</v>
      </c>
      <c r="L16" s="97">
        <v>189.27</v>
      </c>
      <c r="M16" s="173">
        <v>371.67</v>
      </c>
      <c r="N16" s="206">
        <v>67.3</v>
      </c>
      <c r="O16" s="165">
        <v>0</v>
      </c>
      <c r="P16" s="165">
        <v>0</v>
      </c>
      <c r="Q16" s="165">
        <v>0</v>
      </c>
      <c r="R16" s="165">
        <v>0</v>
      </c>
      <c r="S16" s="97">
        <f t="shared" si="3"/>
        <v>4018.84</v>
      </c>
      <c r="T16" s="174">
        <f t="shared" si="4"/>
        <v>727.64</v>
      </c>
      <c r="U16" s="166">
        <v>416.1</v>
      </c>
      <c r="V16" s="166">
        <v>561.75</v>
      </c>
      <c r="W16" s="166">
        <v>1352.29</v>
      </c>
      <c r="X16" s="166">
        <v>936.24</v>
      </c>
      <c r="Y16" s="166">
        <v>332.88</v>
      </c>
      <c r="Z16" s="166">
        <v>0</v>
      </c>
      <c r="AA16" s="175">
        <v>0</v>
      </c>
      <c r="AB16" s="176">
        <f t="shared" si="5"/>
        <v>3599.26</v>
      </c>
      <c r="AC16" s="177">
        <f t="shared" si="6"/>
        <v>5011.223125</v>
      </c>
      <c r="AD16" s="101">
        <f t="shared" si="7"/>
        <v>0</v>
      </c>
      <c r="AE16" s="101">
        <f t="shared" si="8"/>
        <v>0</v>
      </c>
      <c r="AF16" s="101"/>
      <c r="AG16" s="97">
        <f>0.6*B16*0.9</f>
        <v>341.76599999999996</v>
      </c>
      <c r="AH16" s="166">
        <f>B16*0.2*0.9082</f>
        <v>114.959956</v>
      </c>
      <c r="AI16" s="97">
        <f>0.85*B16*0.8675</f>
        <v>466.68463749999995</v>
      </c>
      <c r="AJ16" s="97">
        <f t="shared" si="9"/>
        <v>84.00323474999999</v>
      </c>
      <c r="AK16" s="166">
        <f>0.83*B16*0.838</f>
        <v>440.2072659999999</v>
      </c>
      <c r="AL16" s="97">
        <f t="shared" si="10"/>
        <v>79.23730787999997</v>
      </c>
      <c r="AM16" s="97">
        <f>1.91*B16*0.8381</f>
        <v>1013.1279658999999</v>
      </c>
      <c r="AN16" s="97">
        <f t="shared" si="11"/>
        <v>182.36303386199998</v>
      </c>
      <c r="AO16" s="97"/>
      <c r="AP16" s="97">
        <f t="shared" si="12"/>
        <v>0</v>
      </c>
      <c r="AQ16" s="178"/>
      <c r="AR16" s="178">
        <f>AQ16*0.18</f>
        <v>0</v>
      </c>
      <c r="AS16" s="163"/>
      <c r="AT16" s="163"/>
      <c r="AU16" s="163">
        <f t="shared" si="13"/>
        <v>0</v>
      </c>
      <c r="AV16" s="179">
        <v>383</v>
      </c>
      <c r="AW16" s="180">
        <v>0.3</v>
      </c>
      <c r="AX16" s="97">
        <f t="shared" si="14"/>
        <v>151.85184</v>
      </c>
      <c r="AY16" s="181"/>
      <c r="AZ16" s="165"/>
      <c r="BA16" s="165">
        <f t="shared" si="15"/>
        <v>0</v>
      </c>
      <c r="BB16" s="97">
        <f t="shared" si="16"/>
        <v>2874.2012418919994</v>
      </c>
      <c r="BC16" s="182"/>
      <c r="BD16" s="97">
        <f t="shared" si="17"/>
        <v>2874.2012418919994</v>
      </c>
      <c r="BE16" s="220">
        <f t="shared" si="18"/>
        <v>2137.021883108001</v>
      </c>
      <c r="BF16" s="183">
        <f t="shared" si="19"/>
        <v>-419.5799999999999</v>
      </c>
    </row>
    <row r="17" spans="1:58" ht="12.75">
      <c r="A17" s="168" t="s">
        <v>46</v>
      </c>
      <c r="B17" s="184">
        <v>632.9</v>
      </c>
      <c r="C17" s="128">
        <f t="shared" si="2"/>
        <v>5474.585</v>
      </c>
      <c r="D17" s="135">
        <f>C17*0.125</f>
        <v>684.323125</v>
      </c>
      <c r="E17" s="78">
        <v>479.16</v>
      </c>
      <c r="F17" s="78">
        <v>80.52</v>
      </c>
      <c r="G17" s="78">
        <v>646.89</v>
      </c>
      <c r="H17" s="78">
        <v>108.7</v>
      </c>
      <c r="I17" s="78">
        <v>1557.29</v>
      </c>
      <c r="J17" s="78">
        <v>261.69</v>
      </c>
      <c r="K17" s="78">
        <v>1078.13</v>
      </c>
      <c r="L17" s="78">
        <v>181.17</v>
      </c>
      <c r="M17" s="185">
        <v>383.32</v>
      </c>
      <c r="N17" s="207">
        <v>64.42</v>
      </c>
      <c r="O17" s="79">
        <v>0</v>
      </c>
      <c r="P17" s="79">
        <v>0</v>
      </c>
      <c r="Q17" s="79">
        <v>0</v>
      </c>
      <c r="R17" s="79">
        <v>0</v>
      </c>
      <c r="S17" s="16">
        <f t="shared" si="3"/>
        <v>4144.79</v>
      </c>
      <c r="T17" s="137">
        <f t="shared" si="4"/>
        <v>696.5</v>
      </c>
      <c r="U17" s="16">
        <v>279.01</v>
      </c>
      <c r="V17" s="16">
        <v>376.69</v>
      </c>
      <c r="W17" s="16">
        <v>906.84</v>
      </c>
      <c r="X17" s="16">
        <v>627.81</v>
      </c>
      <c r="Y17" s="16">
        <v>223.22</v>
      </c>
      <c r="Z17" s="16">
        <v>0</v>
      </c>
      <c r="AA17" s="16">
        <v>0</v>
      </c>
      <c r="AB17" s="158">
        <f t="shared" si="5"/>
        <v>2413.5699999999997</v>
      </c>
      <c r="AC17" s="146">
        <f t="shared" si="6"/>
        <v>3794.3931249999996</v>
      </c>
      <c r="AD17" s="99">
        <f t="shared" si="7"/>
        <v>0</v>
      </c>
      <c r="AE17" s="99">
        <f t="shared" si="8"/>
        <v>0</v>
      </c>
      <c r="AF17" s="99"/>
      <c r="AG17" s="16">
        <f>0.6*B17*0.9</f>
        <v>341.76599999999996</v>
      </c>
      <c r="AH17" s="78">
        <f>B17*0.2*0.9234</f>
        <v>116.883972</v>
      </c>
      <c r="AI17" s="16">
        <f>0.85*B17*0.8934</f>
        <v>480.6179309999999</v>
      </c>
      <c r="AJ17" s="16">
        <f t="shared" si="9"/>
        <v>86.51122757999998</v>
      </c>
      <c r="AK17" s="16">
        <f>0.83*B17*0.8498</f>
        <v>446.4058885999999</v>
      </c>
      <c r="AL17" s="16">
        <f t="shared" si="10"/>
        <v>80.35305994799998</v>
      </c>
      <c r="AM17" s="16">
        <f>(1.91)*B17*0.8498</f>
        <v>1027.2713822</v>
      </c>
      <c r="AN17" s="16">
        <f t="shared" si="11"/>
        <v>184.908848796</v>
      </c>
      <c r="AO17" s="16"/>
      <c r="AP17" s="16">
        <f t="shared" si="12"/>
        <v>0</v>
      </c>
      <c r="AQ17" s="159"/>
      <c r="AR17" s="159">
        <f t="shared" si="12"/>
        <v>0</v>
      </c>
      <c r="AS17" s="208">
        <v>307</v>
      </c>
      <c r="AT17" s="25"/>
      <c r="AU17" s="25">
        <f t="shared" si="13"/>
        <v>55.26</v>
      </c>
      <c r="AV17" s="140">
        <v>307</v>
      </c>
      <c r="AW17" s="141">
        <v>0.3</v>
      </c>
      <c r="AX17" s="16">
        <f t="shared" si="14"/>
        <v>121.71936</v>
      </c>
      <c r="AY17" s="142"/>
      <c r="AZ17" s="77"/>
      <c r="BA17" s="77">
        <f t="shared" si="15"/>
        <v>0</v>
      </c>
      <c r="BB17" s="118">
        <f t="shared" si="16"/>
        <v>3248.697670124</v>
      </c>
      <c r="BC17" s="162"/>
      <c r="BD17" s="54">
        <f t="shared" si="17"/>
        <v>3248.697670124</v>
      </c>
      <c r="BE17" s="221">
        <f t="shared" si="18"/>
        <v>545.6954548759995</v>
      </c>
      <c r="BF17" s="204">
        <f t="shared" si="19"/>
        <v>-1731.2200000000003</v>
      </c>
    </row>
    <row r="18" spans="1:58" ht="12.75">
      <c r="A18" s="14" t="s">
        <v>47</v>
      </c>
      <c r="B18" s="167">
        <v>632.9</v>
      </c>
      <c r="C18" s="128">
        <f t="shared" si="2"/>
        <v>5474.585</v>
      </c>
      <c r="D18" s="186">
        <f aca="true" t="shared" si="20" ref="D18:D25">C18-E18-F18-G18-H18-I18-J18-K18-L18-M18-N18</f>
        <v>354.7350000000002</v>
      </c>
      <c r="E18" s="78">
        <v>502.03</v>
      </c>
      <c r="F18" s="78">
        <v>89.13</v>
      </c>
      <c r="G18" s="78">
        <v>679.36</v>
      </c>
      <c r="H18" s="78">
        <v>120.81</v>
      </c>
      <c r="I18" s="78">
        <v>1633.24</v>
      </c>
      <c r="J18" s="78">
        <v>290.13</v>
      </c>
      <c r="K18" s="78">
        <v>1131.19</v>
      </c>
      <c r="L18" s="78">
        <v>201.03</v>
      </c>
      <c r="M18" s="185">
        <v>401.64</v>
      </c>
      <c r="N18" s="207">
        <v>71.29</v>
      </c>
      <c r="O18" s="79">
        <v>0</v>
      </c>
      <c r="P18" s="79">
        <v>0</v>
      </c>
      <c r="Q18" s="79">
        <v>0</v>
      </c>
      <c r="R18" s="79">
        <v>0</v>
      </c>
      <c r="S18" s="16">
        <f t="shared" si="3"/>
        <v>4347.46</v>
      </c>
      <c r="T18" s="137">
        <f t="shared" si="4"/>
        <v>772.39</v>
      </c>
      <c r="U18" s="78">
        <v>375.32</v>
      </c>
      <c r="V18" s="78">
        <v>506.68</v>
      </c>
      <c r="W18" s="78">
        <v>1219.77</v>
      </c>
      <c r="X18" s="78">
        <v>844.47</v>
      </c>
      <c r="Y18" s="78">
        <v>300.22</v>
      </c>
      <c r="Z18" s="78">
        <v>0</v>
      </c>
      <c r="AA18" s="79">
        <v>0</v>
      </c>
      <c r="AB18" s="158">
        <f t="shared" si="5"/>
        <v>3246.46</v>
      </c>
      <c r="AC18" s="146">
        <f t="shared" si="6"/>
        <v>4373.585</v>
      </c>
      <c r="AD18" s="99">
        <f t="shared" si="7"/>
        <v>0</v>
      </c>
      <c r="AE18" s="99">
        <f t="shared" si="8"/>
        <v>0</v>
      </c>
      <c r="AF18" s="99"/>
      <c r="AG18" s="16">
        <f aca="true" t="shared" si="21" ref="AG18:AG25">0.6*B18</f>
        <v>379.73999999999995</v>
      </c>
      <c r="AH18" s="16">
        <f>B18*0.2*1.01</f>
        <v>127.8458</v>
      </c>
      <c r="AI18" s="16">
        <f>0.85*B18</f>
        <v>537.9649999999999</v>
      </c>
      <c r="AJ18" s="16">
        <f t="shared" si="9"/>
        <v>96.83369999999998</v>
      </c>
      <c r="AK18" s="16">
        <f>0.83*B18</f>
        <v>525.3069999999999</v>
      </c>
      <c r="AL18" s="16">
        <f t="shared" si="10"/>
        <v>94.55525999999998</v>
      </c>
      <c r="AM18" s="16">
        <f>(1.91)*B18</f>
        <v>1208.839</v>
      </c>
      <c r="AN18" s="16">
        <f t="shared" si="11"/>
        <v>217.59102</v>
      </c>
      <c r="AO18" s="16"/>
      <c r="AP18" s="16">
        <f t="shared" si="12"/>
        <v>0</v>
      </c>
      <c r="AQ18" s="159"/>
      <c r="AR18" s="159">
        <f t="shared" si="12"/>
        <v>0</v>
      </c>
      <c r="AS18" s="25"/>
      <c r="AT18" s="25"/>
      <c r="AU18" s="25">
        <f t="shared" si="13"/>
        <v>0</v>
      </c>
      <c r="AV18" s="140">
        <v>263</v>
      </c>
      <c r="AW18" s="141">
        <v>0.3</v>
      </c>
      <c r="AX18" s="16">
        <f t="shared" si="14"/>
        <v>104.27423999999999</v>
      </c>
      <c r="AY18" s="142"/>
      <c r="AZ18" s="77"/>
      <c r="BA18" s="77">
        <f t="shared" si="15"/>
        <v>0</v>
      </c>
      <c r="BB18" s="77">
        <f t="shared" si="16"/>
        <v>3292.95102</v>
      </c>
      <c r="BC18" s="162"/>
      <c r="BD18" s="16">
        <f t="shared" si="17"/>
        <v>3292.95102</v>
      </c>
      <c r="BE18" s="219">
        <f t="shared" si="18"/>
        <v>1080.63398</v>
      </c>
      <c r="BF18" s="143">
        <f t="shared" si="19"/>
        <v>-1101</v>
      </c>
    </row>
    <row r="19" spans="1:58" ht="13.5" thickBot="1">
      <c r="A19" s="169" t="s">
        <v>48</v>
      </c>
      <c r="B19" s="170">
        <v>632.9</v>
      </c>
      <c r="C19" s="171">
        <f t="shared" si="2"/>
        <v>5474.585</v>
      </c>
      <c r="D19" s="172">
        <f t="shared" si="20"/>
        <v>354.7350000000002</v>
      </c>
      <c r="E19" s="166">
        <v>502.03</v>
      </c>
      <c r="F19" s="166">
        <v>89.13</v>
      </c>
      <c r="G19" s="166">
        <v>679.36</v>
      </c>
      <c r="H19" s="166">
        <v>120.81</v>
      </c>
      <c r="I19" s="166">
        <v>1633.24</v>
      </c>
      <c r="J19" s="166">
        <v>290.13</v>
      </c>
      <c r="K19" s="166">
        <v>1131.19</v>
      </c>
      <c r="L19" s="166">
        <v>201.03</v>
      </c>
      <c r="M19" s="187">
        <v>401.64</v>
      </c>
      <c r="N19" s="209">
        <v>71.29</v>
      </c>
      <c r="O19" s="175">
        <v>0</v>
      </c>
      <c r="P19" s="175">
        <v>0</v>
      </c>
      <c r="Q19" s="175">
        <v>0</v>
      </c>
      <c r="R19" s="175">
        <v>0</v>
      </c>
      <c r="S19" s="97">
        <f t="shared" si="3"/>
        <v>4347.46</v>
      </c>
      <c r="T19" s="174">
        <f t="shared" si="4"/>
        <v>772.39</v>
      </c>
      <c r="U19" s="166">
        <v>554.02</v>
      </c>
      <c r="V19" s="166">
        <v>749.38</v>
      </c>
      <c r="W19" s="166">
        <v>1802.04</v>
      </c>
      <c r="X19" s="166">
        <v>1247.96</v>
      </c>
      <c r="Y19" s="166">
        <v>443.25</v>
      </c>
      <c r="Z19" s="166">
        <v>0</v>
      </c>
      <c r="AA19" s="175">
        <v>0</v>
      </c>
      <c r="AB19" s="176">
        <f t="shared" si="5"/>
        <v>4796.65</v>
      </c>
      <c r="AC19" s="177">
        <f t="shared" si="6"/>
        <v>5923.775</v>
      </c>
      <c r="AD19" s="101">
        <f t="shared" si="7"/>
        <v>0</v>
      </c>
      <c r="AE19" s="101">
        <f t="shared" si="8"/>
        <v>0</v>
      </c>
      <c r="AF19" s="101"/>
      <c r="AG19" s="97">
        <f t="shared" si="21"/>
        <v>379.73999999999995</v>
      </c>
      <c r="AH19" s="97">
        <f>B19*0.2*1.01045</f>
        <v>127.90276100000001</v>
      </c>
      <c r="AI19" s="97">
        <f>0.85*B19</f>
        <v>537.9649999999999</v>
      </c>
      <c r="AJ19" s="97">
        <f t="shared" si="9"/>
        <v>96.83369999999998</v>
      </c>
      <c r="AK19" s="97">
        <f>0.83*B19</f>
        <v>525.3069999999999</v>
      </c>
      <c r="AL19" s="97">
        <f t="shared" si="10"/>
        <v>94.55525999999998</v>
      </c>
      <c r="AM19" s="97">
        <f>(1.91)*B19</f>
        <v>1208.839</v>
      </c>
      <c r="AN19" s="97">
        <f t="shared" si="11"/>
        <v>217.59102</v>
      </c>
      <c r="AO19" s="97"/>
      <c r="AP19" s="97">
        <f t="shared" si="12"/>
        <v>0</v>
      </c>
      <c r="AQ19" s="178"/>
      <c r="AR19" s="178">
        <f t="shared" si="12"/>
        <v>0</v>
      </c>
      <c r="AS19" s="163"/>
      <c r="AT19" s="163"/>
      <c r="AU19" s="163">
        <f t="shared" si="13"/>
        <v>0</v>
      </c>
      <c r="AV19" s="179">
        <v>233</v>
      </c>
      <c r="AW19" s="180">
        <v>0.3</v>
      </c>
      <c r="AX19" s="97">
        <f t="shared" si="14"/>
        <v>92.37983999999999</v>
      </c>
      <c r="AY19" s="181"/>
      <c r="AZ19" s="165"/>
      <c r="BA19" s="165">
        <f t="shared" si="15"/>
        <v>0</v>
      </c>
      <c r="BB19" s="165">
        <f t="shared" si="16"/>
        <v>3281.1135809999996</v>
      </c>
      <c r="BC19" s="182"/>
      <c r="BD19" s="97">
        <f t="shared" si="17"/>
        <v>3281.1135809999996</v>
      </c>
      <c r="BE19" s="220">
        <f t="shared" si="18"/>
        <v>2642.661419</v>
      </c>
      <c r="BF19" s="210">
        <f t="shared" si="19"/>
        <v>449.1899999999996</v>
      </c>
    </row>
    <row r="20" spans="1:58" ht="12.75">
      <c r="A20" s="168" t="s">
        <v>49</v>
      </c>
      <c r="B20" s="157">
        <v>632.9</v>
      </c>
      <c r="C20" s="128">
        <f t="shared" si="2"/>
        <v>5474.585</v>
      </c>
      <c r="D20" s="186">
        <f t="shared" si="20"/>
        <v>354.7350000000002</v>
      </c>
      <c r="E20" s="78">
        <v>502.03</v>
      </c>
      <c r="F20" s="78">
        <v>89.13</v>
      </c>
      <c r="G20" s="78">
        <v>679.36</v>
      </c>
      <c r="H20" s="78">
        <v>120.81</v>
      </c>
      <c r="I20" s="78">
        <v>1633.24</v>
      </c>
      <c r="J20" s="78">
        <v>290.13</v>
      </c>
      <c r="K20" s="78">
        <v>1131.19</v>
      </c>
      <c r="L20" s="78">
        <v>201.03</v>
      </c>
      <c r="M20" s="185">
        <v>401.64</v>
      </c>
      <c r="N20" s="207">
        <v>71.29</v>
      </c>
      <c r="O20" s="79">
        <v>0</v>
      </c>
      <c r="P20" s="79">
        <v>0</v>
      </c>
      <c r="Q20" s="79">
        <v>0</v>
      </c>
      <c r="R20" s="79">
        <v>0</v>
      </c>
      <c r="S20" s="16">
        <f t="shared" si="3"/>
        <v>4347.46</v>
      </c>
      <c r="T20" s="137">
        <f t="shared" si="4"/>
        <v>772.39</v>
      </c>
      <c r="U20" s="78">
        <v>698.12</v>
      </c>
      <c r="V20" s="78">
        <v>943.96</v>
      </c>
      <c r="W20" s="78">
        <v>2270.42</v>
      </c>
      <c r="X20" s="78">
        <v>1572.29</v>
      </c>
      <c r="Y20" s="78">
        <v>558.51</v>
      </c>
      <c r="Z20" s="78">
        <v>0</v>
      </c>
      <c r="AA20" s="79">
        <v>0</v>
      </c>
      <c r="AB20" s="158">
        <f t="shared" si="5"/>
        <v>6043.3</v>
      </c>
      <c r="AC20" s="146">
        <f t="shared" si="6"/>
        <v>7170.425</v>
      </c>
      <c r="AD20" s="99">
        <f t="shared" si="7"/>
        <v>0</v>
      </c>
      <c r="AE20" s="99">
        <f t="shared" si="8"/>
        <v>0</v>
      </c>
      <c r="AF20" s="99"/>
      <c r="AG20" s="16">
        <f t="shared" si="21"/>
        <v>379.73999999999995</v>
      </c>
      <c r="AH20" s="16">
        <f>B20*0.2*0.99426</f>
        <v>125.8534308</v>
      </c>
      <c r="AI20" s="16">
        <f>0.85*B20*0.9857</f>
        <v>530.2721005</v>
      </c>
      <c r="AJ20" s="16">
        <f t="shared" si="9"/>
        <v>95.44897809</v>
      </c>
      <c r="AK20" s="16">
        <f>0.83*B20*0.9905</f>
        <v>520.3165835</v>
      </c>
      <c r="AL20" s="16">
        <f t="shared" si="10"/>
        <v>93.65698502999999</v>
      </c>
      <c r="AM20" s="16">
        <f>(1.91)*B20*0.9905</f>
        <v>1197.3550295</v>
      </c>
      <c r="AN20" s="16">
        <f t="shared" si="11"/>
        <v>215.52390531</v>
      </c>
      <c r="AO20" s="16"/>
      <c r="AP20" s="16">
        <f t="shared" si="12"/>
        <v>0</v>
      </c>
      <c r="AQ20" s="159"/>
      <c r="AR20" s="159">
        <f t="shared" si="12"/>
        <v>0</v>
      </c>
      <c r="AS20" s="25"/>
      <c r="AT20" s="25"/>
      <c r="AU20" s="25">
        <f t="shared" si="13"/>
        <v>0</v>
      </c>
      <c r="AV20" s="140">
        <v>248</v>
      </c>
      <c r="AW20" s="141">
        <v>0.3</v>
      </c>
      <c r="AX20" s="16">
        <f t="shared" si="14"/>
        <v>98.32704</v>
      </c>
      <c r="AY20" s="142"/>
      <c r="AZ20" s="77"/>
      <c r="BA20" s="77">
        <f t="shared" si="15"/>
        <v>0</v>
      </c>
      <c r="BB20" s="77">
        <f t="shared" si="16"/>
        <v>3256.49405273</v>
      </c>
      <c r="BC20" s="162"/>
      <c r="BD20" s="18">
        <f t="shared" si="17"/>
        <v>3256.49405273</v>
      </c>
      <c r="BE20" s="143">
        <f t="shared" si="18"/>
        <v>3913.93094727</v>
      </c>
      <c r="BF20" s="204">
        <f t="shared" si="19"/>
        <v>1695.8400000000001</v>
      </c>
    </row>
    <row r="21" spans="1:58" ht="12.75">
      <c r="A21" s="14" t="s">
        <v>50</v>
      </c>
      <c r="B21" s="157">
        <v>632.9</v>
      </c>
      <c r="C21" s="128">
        <f t="shared" si="2"/>
        <v>5474.585</v>
      </c>
      <c r="D21" s="186">
        <f t="shared" si="20"/>
        <v>354.7350000000002</v>
      </c>
      <c r="E21" s="78">
        <v>502.03</v>
      </c>
      <c r="F21" s="78">
        <v>89.13</v>
      </c>
      <c r="G21" s="78">
        <v>679.36</v>
      </c>
      <c r="H21" s="78">
        <v>120.81</v>
      </c>
      <c r="I21" s="78">
        <v>1633.24</v>
      </c>
      <c r="J21" s="78">
        <v>290.13</v>
      </c>
      <c r="K21" s="78">
        <v>1131.19</v>
      </c>
      <c r="L21" s="78">
        <v>201.03</v>
      </c>
      <c r="M21" s="185">
        <v>401.64</v>
      </c>
      <c r="N21" s="207">
        <v>71.29</v>
      </c>
      <c r="O21" s="79">
        <v>0</v>
      </c>
      <c r="P21" s="79">
        <v>0</v>
      </c>
      <c r="Q21" s="78">
        <v>0</v>
      </c>
      <c r="R21" s="78">
        <v>0</v>
      </c>
      <c r="S21" s="16">
        <f t="shared" si="3"/>
        <v>4347.46</v>
      </c>
      <c r="T21" s="137">
        <f t="shared" si="4"/>
        <v>772.39</v>
      </c>
      <c r="U21" s="78">
        <v>404.62</v>
      </c>
      <c r="V21" s="78">
        <v>547.8</v>
      </c>
      <c r="W21" s="78">
        <v>1316.64</v>
      </c>
      <c r="X21" s="78">
        <v>912.01</v>
      </c>
      <c r="Y21" s="78">
        <v>323.73</v>
      </c>
      <c r="Z21" s="78">
        <v>0</v>
      </c>
      <c r="AA21" s="79">
        <v>0</v>
      </c>
      <c r="AB21" s="158">
        <f t="shared" si="5"/>
        <v>3504.7999999999997</v>
      </c>
      <c r="AC21" s="146">
        <f t="shared" si="6"/>
        <v>4631.925</v>
      </c>
      <c r="AD21" s="99">
        <f t="shared" si="7"/>
        <v>0</v>
      </c>
      <c r="AE21" s="99">
        <f t="shared" si="8"/>
        <v>0</v>
      </c>
      <c r="AF21" s="99"/>
      <c r="AG21" s="16">
        <f t="shared" si="21"/>
        <v>379.73999999999995</v>
      </c>
      <c r="AH21" s="16">
        <f>B21*0.2*0.99875</f>
        <v>126.421775</v>
      </c>
      <c r="AI21" s="16">
        <f>0.85*B21*0.98526</f>
        <v>530.0353958999999</v>
      </c>
      <c r="AJ21" s="16">
        <f t="shared" si="9"/>
        <v>95.40637126199998</v>
      </c>
      <c r="AK21" s="16">
        <f>0.83*B21*0.99</f>
        <v>520.0539299999999</v>
      </c>
      <c r="AL21" s="16">
        <f t="shared" si="10"/>
        <v>93.60970739999998</v>
      </c>
      <c r="AM21" s="16">
        <f>(1.91)*B21*0.99</f>
        <v>1196.7506099999998</v>
      </c>
      <c r="AN21" s="16">
        <f t="shared" si="11"/>
        <v>215.41510979999995</v>
      </c>
      <c r="AO21" s="16"/>
      <c r="AP21" s="16">
        <f t="shared" si="12"/>
        <v>0</v>
      </c>
      <c r="AQ21" s="159"/>
      <c r="AR21" s="159">
        <f t="shared" si="12"/>
        <v>0</v>
      </c>
      <c r="AS21" s="25"/>
      <c r="AT21" s="25"/>
      <c r="AU21" s="25">
        <f t="shared" si="13"/>
        <v>0</v>
      </c>
      <c r="AV21" s="140">
        <v>293</v>
      </c>
      <c r="AW21" s="141">
        <v>0.3</v>
      </c>
      <c r="AX21" s="16">
        <f t="shared" si="14"/>
        <v>116.16863999999998</v>
      </c>
      <c r="AY21" s="142"/>
      <c r="AZ21" s="77"/>
      <c r="BA21" s="77">
        <f t="shared" si="15"/>
        <v>0</v>
      </c>
      <c r="BB21" s="77">
        <f t="shared" si="16"/>
        <v>3273.6015393619996</v>
      </c>
      <c r="BC21" s="162"/>
      <c r="BD21" s="18">
        <f t="shared" si="17"/>
        <v>3273.6015393619996</v>
      </c>
      <c r="BE21" s="143">
        <f t="shared" si="18"/>
        <v>1358.3234606380006</v>
      </c>
      <c r="BF21" s="204">
        <f t="shared" si="19"/>
        <v>-842.6600000000003</v>
      </c>
    </row>
    <row r="22" spans="1:58" ht="13.5" thickBot="1">
      <c r="A22" s="169" t="s">
        <v>51</v>
      </c>
      <c r="B22" s="164">
        <v>632.9</v>
      </c>
      <c r="C22" s="171">
        <f t="shared" si="2"/>
        <v>5474.585</v>
      </c>
      <c r="D22" s="172">
        <f t="shared" si="20"/>
        <v>354.7350000000002</v>
      </c>
      <c r="E22" s="97">
        <v>502.03</v>
      </c>
      <c r="F22" s="97">
        <v>89.13</v>
      </c>
      <c r="G22" s="97">
        <v>679.36</v>
      </c>
      <c r="H22" s="97">
        <v>120.81</v>
      </c>
      <c r="I22" s="97">
        <v>1633.24</v>
      </c>
      <c r="J22" s="97">
        <v>290.13</v>
      </c>
      <c r="K22" s="97">
        <v>1131.19</v>
      </c>
      <c r="L22" s="97">
        <v>201.03</v>
      </c>
      <c r="M22" s="173">
        <v>401.64</v>
      </c>
      <c r="N22" s="206">
        <v>71.29</v>
      </c>
      <c r="O22" s="165">
        <v>0</v>
      </c>
      <c r="P22" s="165">
        <v>0</v>
      </c>
      <c r="Q22" s="165">
        <v>0</v>
      </c>
      <c r="R22" s="165">
        <v>0</v>
      </c>
      <c r="S22" s="97">
        <f t="shared" si="3"/>
        <v>4347.46</v>
      </c>
      <c r="T22" s="174">
        <f t="shared" si="4"/>
        <v>772.39</v>
      </c>
      <c r="U22" s="97">
        <v>643.66</v>
      </c>
      <c r="V22" s="97">
        <v>870.65</v>
      </c>
      <c r="W22" s="97">
        <v>2093.56</v>
      </c>
      <c r="X22" s="97">
        <v>1449.88</v>
      </c>
      <c r="Y22" s="97">
        <v>514.9</v>
      </c>
      <c r="Z22" s="97">
        <v>0</v>
      </c>
      <c r="AA22" s="165">
        <v>0</v>
      </c>
      <c r="AB22" s="176">
        <f t="shared" si="5"/>
        <v>5572.65</v>
      </c>
      <c r="AC22" s="177">
        <f t="shared" si="6"/>
        <v>6699.775</v>
      </c>
      <c r="AD22" s="101">
        <f t="shared" si="7"/>
        <v>0</v>
      </c>
      <c r="AE22" s="101">
        <f t="shared" si="8"/>
        <v>0</v>
      </c>
      <c r="AF22" s="101"/>
      <c r="AG22" s="97">
        <f t="shared" si="21"/>
        <v>379.73999999999995</v>
      </c>
      <c r="AH22" s="97">
        <f>B22*0.2*0.9997</f>
        <v>126.542026</v>
      </c>
      <c r="AI22" s="97">
        <f>0.85*B22*0.98509</f>
        <v>529.94394185</v>
      </c>
      <c r="AJ22" s="97">
        <f t="shared" si="9"/>
        <v>95.389909533</v>
      </c>
      <c r="AK22" s="97">
        <f>0.83*B22*0.98981</f>
        <v>519.9541216699998</v>
      </c>
      <c r="AL22" s="97">
        <f t="shared" si="10"/>
        <v>93.59174190059997</v>
      </c>
      <c r="AM22" s="97">
        <f>(1.91)*B22*0.9898</f>
        <v>1196.5088422</v>
      </c>
      <c r="AN22" s="97">
        <f t="shared" si="11"/>
        <v>215.37159159599997</v>
      </c>
      <c r="AO22" s="97"/>
      <c r="AP22" s="97">
        <f t="shared" si="12"/>
        <v>0</v>
      </c>
      <c r="AQ22" s="178"/>
      <c r="AR22" s="178">
        <f t="shared" si="12"/>
        <v>0</v>
      </c>
      <c r="AS22" s="163"/>
      <c r="AT22" s="163"/>
      <c r="AU22" s="163">
        <f t="shared" si="13"/>
        <v>0</v>
      </c>
      <c r="AV22" s="179">
        <v>349</v>
      </c>
      <c r="AW22" s="180">
        <v>0.3</v>
      </c>
      <c r="AX22" s="97">
        <f t="shared" si="14"/>
        <v>138.37152</v>
      </c>
      <c r="AY22" s="181"/>
      <c r="AZ22" s="165"/>
      <c r="BA22" s="165">
        <f t="shared" si="15"/>
        <v>0</v>
      </c>
      <c r="BB22" s="165">
        <f t="shared" si="16"/>
        <v>3295.4136947496</v>
      </c>
      <c r="BC22" s="182"/>
      <c r="BD22" s="98">
        <f t="shared" si="17"/>
        <v>3295.4136947496</v>
      </c>
      <c r="BE22" s="183">
        <f t="shared" si="18"/>
        <v>3404.3613052503997</v>
      </c>
      <c r="BF22" s="210">
        <f t="shared" si="19"/>
        <v>1225.1899999999996</v>
      </c>
    </row>
    <row r="23" spans="1:58" ht="12.75">
      <c r="A23" s="168" t="s">
        <v>39</v>
      </c>
      <c r="B23" s="222">
        <v>632.9</v>
      </c>
      <c r="C23" s="128">
        <f>B23*8.65</f>
        <v>5474.585</v>
      </c>
      <c r="D23" s="135">
        <f t="shared" si="20"/>
        <v>354.75500000000017</v>
      </c>
      <c r="E23" s="56">
        <v>502.04</v>
      </c>
      <c r="F23" s="54">
        <v>89.12</v>
      </c>
      <c r="G23" s="54">
        <v>679.34</v>
      </c>
      <c r="H23" s="54">
        <v>120.82</v>
      </c>
      <c r="I23" s="54">
        <v>1633.22</v>
      </c>
      <c r="J23" s="54">
        <v>290.14</v>
      </c>
      <c r="K23" s="54">
        <v>1131.19</v>
      </c>
      <c r="L23" s="54">
        <v>201.03</v>
      </c>
      <c r="M23" s="54">
        <v>401.64</v>
      </c>
      <c r="N23" s="118">
        <v>71.29</v>
      </c>
      <c r="O23" s="118">
        <v>0</v>
      </c>
      <c r="P23" s="118">
        <v>0</v>
      </c>
      <c r="Q23" s="54">
        <v>0</v>
      </c>
      <c r="R23" s="54">
        <v>0</v>
      </c>
      <c r="S23" s="54">
        <f>E23+G23+I23+K23+M23+O23+Q23</f>
        <v>4347.43</v>
      </c>
      <c r="T23" s="211">
        <f>P23+N23+L23+J23+H23+F23+R23</f>
        <v>772.4</v>
      </c>
      <c r="U23" s="57">
        <f>380.03+33.07</f>
        <v>413.09999999999997</v>
      </c>
      <c r="V23" s="54">
        <f>514.49+44.83</f>
        <v>559.32</v>
      </c>
      <c r="W23" s="54">
        <f>1236.56+107.69</f>
        <v>1344.25</v>
      </c>
      <c r="X23" s="54">
        <f>856.52+74.59</f>
        <v>931.11</v>
      </c>
      <c r="Y23" s="54">
        <f>304.05+26.47</f>
        <v>330.52</v>
      </c>
      <c r="Z23" s="118">
        <v>0</v>
      </c>
      <c r="AA23" s="118">
        <v>0</v>
      </c>
      <c r="AB23" s="118">
        <f>SUM(U23:AA23)</f>
        <v>3578.3</v>
      </c>
      <c r="AC23" s="212">
        <f>AB23+T23+D23</f>
        <v>4705.455</v>
      </c>
      <c r="AD23" s="54">
        <f>P23+Z23</f>
        <v>0</v>
      </c>
      <c r="AE23" s="54">
        <f>R23+AA23</f>
        <v>0</v>
      </c>
      <c r="AF23" s="54"/>
      <c r="AG23" s="54">
        <f t="shared" si="21"/>
        <v>379.73999999999995</v>
      </c>
      <c r="AH23" s="54">
        <f>B23*0.2</f>
        <v>126.58</v>
      </c>
      <c r="AI23" s="54">
        <f>0.847*B23</f>
        <v>536.0663</v>
      </c>
      <c r="AJ23" s="54">
        <f>AI23*0.18</f>
        <v>96.49193399999999</v>
      </c>
      <c r="AK23" s="54">
        <f>0.83*B23</f>
        <v>525.3069999999999</v>
      </c>
      <c r="AL23" s="54">
        <f>AK23*0.18</f>
        <v>94.55525999999998</v>
      </c>
      <c r="AM23" s="54">
        <f>(2.25/1.18)*B23</f>
        <v>1206.800847457627</v>
      </c>
      <c r="AN23" s="54">
        <f>AM23*0.18</f>
        <v>217.22415254237285</v>
      </c>
      <c r="AO23" s="54"/>
      <c r="AP23" s="54">
        <f>AO23*0.18</f>
        <v>0</v>
      </c>
      <c r="AQ23" s="190"/>
      <c r="AR23" s="190">
        <f>AQ23*0.18</f>
        <v>0</v>
      </c>
      <c r="AS23" s="155">
        <v>0</v>
      </c>
      <c r="AT23" s="155"/>
      <c r="AU23" s="155">
        <f>(AS23+AT23)*0.18</f>
        <v>0</v>
      </c>
      <c r="AV23" s="213">
        <v>425</v>
      </c>
      <c r="AW23" s="214">
        <v>0.3</v>
      </c>
      <c r="AX23" s="54">
        <f>AV23*AW23*1.12*1.18</f>
        <v>168.504</v>
      </c>
      <c r="AY23" s="215"/>
      <c r="AZ23" s="118"/>
      <c r="BA23" s="118">
        <f t="shared" si="15"/>
        <v>0</v>
      </c>
      <c r="BB23" s="118">
        <f>SUM(AG23:AU23)+AX23+AY23+AZ23+BA23</f>
        <v>3351.2694939999997</v>
      </c>
      <c r="BC23" s="223"/>
      <c r="BD23" s="110">
        <f t="shared" si="17"/>
        <v>3351.2694939999997</v>
      </c>
      <c r="BE23" s="218">
        <f t="shared" si="18"/>
        <v>1354.1855060000003</v>
      </c>
      <c r="BF23" s="218">
        <f t="shared" si="19"/>
        <v>-769.1300000000001</v>
      </c>
    </row>
    <row r="24" spans="1:58" ht="12.75">
      <c r="A24" s="14" t="s">
        <v>40</v>
      </c>
      <c r="B24" s="216">
        <v>632.9</v>
      </c>
      <c r="C24" s="127">
        <f>B24*8.65</f>
        <v>5474.585</v>
      </c>
      <c r="D24" s="186">
        <f t="shared" si="20"/>
        <v>354.73500000000075</v>
      </c>
      <c r="E24" s="16">
        <v>510.3</v>
      </c>
      <c r="F24" s="16">
        <v>80.86</v>
      </c>
      <c r="G24" s="16">
        <v>690.57</v>
      </c>
      <c r="H24" s="16">
        <v>109.6</v>
      </c>
      <c r="I24" s="16">
        <v>1660.14</v>
      </c>
      <c r="J24" s="16">
        <v>263.23</v>
      </c>
      <c r="K24" s="16">
        <v>1149.84</v>
      </c>
      <c r="L24" s="16">
        <v>182.38</v>
      </c>
      <c r="M24" s="136">
        <v>408.25</v>
      </c>
      <c r="N24" s="205">
        <v>64.68</v>
      </c>
      <c r="O24" s="77">
        <v>0</v>
      </c>
      <c r="P24" s="77">
        <v>0</v>
      </c>
      <c r="Q24" s="77">
        <v>0</v>
      </c>
      <c r="R24" s="77">
        <v>0</v>
      </c>
      <c r="S24" s="16">
        <f>E24+G24+I24+K24+M24+O24+Q24</f>
        <v>4419.1</v>
      </c>
      <c r="T24" s="137">
        <f>P24+N24+L24+J24+H24+F24+R24</f>
        <v>700.75</v>
      </c>
      <c r="U24" s="16">
        <v>315.77</v>
      </c>
      <c r="V24" s="16">
        <v>427.49</v>
      </c>
      <c r="W24" s="16">
        <v>1027.44</v>
      </c>
      <c r="X24" s="16">
        <v>711.68</v>
      </c>
      <c r="Y24" s="16">
        <v>252.63</v>
      </c>
      <c r="Z24" s="16">
        <v>0</v>
      </c>
      <c r="AA24" s="77">
        <v>0</v>
      </c>
      <c r="AB24" s="77">
        <f>SUM(U24:AA24)</f>
        <v>2735.01</v>
      </c>
      <c r="AC24" s="146">
        <f>D24+T24+AB24</f>
        <v>3790.495000000001</v>
      </c>
      <c r="AD24" s="99">
        <f>P24+Z24</f>
        <v>0</v>
      </c>
      <c r="AE24" s="99">
        <f>R24+AA24</f>
        <v>0</v>
      </c>
      <c r="AF24" s="99"/>
      <c r="AG24" s="16">
        <f t="shared" si="21"/>
        <v>379.73999999999995</v>
      </c>
      <c r="AH24" s="16">
        <f>B24*0.2</f>
        <v>126.58</v>
      </c>
      <c r="AI24" s="16">
        <f>0.85*B24</f>
        <v>537.9649999999999</v>
      </c>
      <c r="AJ24" s="16">
        <f>AI24*0.18</f>
        <v>96.83369999999998</v>
      </c>
      <c r="AK24" s="16">
        <f>0.83*B24</f>
        <v>525.3069999999999</v>
      </c>
      <c r="AL24" s="16">
        <f>AK24*0.18</f>
        <v>94.55525999999998</v>
      </c>
      <c r="AM24" s="16">
        <f>(1.91)*B24</f>
        <v>1208.839</v>
      </c>
      <c r="AN24" s="16">
        <f>AM24*0.18</f>
        <v>217.59102</v>
      </c>
      <c r="AO24" s="16"/>
      <c r="AP24" s="16">
        <f>AO24*0.18</f>
        <v>0</v>
      </c>
      <c r="AQ24" s="159"/>
      <c r="AR24" s="159">
        <f>AQ24*0.18</f>
        <v>0</v>
      </c>
      <c r="AS24" s="25">
        <v>0</v>
      </c>
      <c r="AT24" s="25"/>
      <c r="AU24" s="25">
        <f>(AS24+AT24)*0.18</f>
        <v>0</v>
      </c>
      <c r="AV24" s="140">
        <v>470</v>
      </c>
      <c r="AW24" s="141">
        <v>0.3</v>
      </c>
      <c r="AX24" s="16">
        <f>AV24*AW24*1.12*1.18</f>
        <v>186.34560000000002</v>
      </c>
      <c r="AY24" s="142"/>
      <c r="AZ24" s="77"/>
      <c r="BA24" s="77">
        <f t="shared" si="15"/>
        <v>0</v>
      </c>
      <c r="BB24" s="77">
        <f>SUM(AG24:AU24)+AX24+AY24+AZ24+BA24</f>
        <v>3373.7565799999998</v>
      </c>
      <c r="BC24" s="160"/>
      <c r="BD24" s="55">
        <f t="shared" si="17"/>
        <v>3373.7565799999998</v>
      </c>
      <c r="BE24" s="143">
        <f t="shared" si="18"/>
        <v>416.73842000000104</v>
      </c>
      <c r="BF24" s="143">
        <f t="shared" si="19"/>
        <v>-1684.0900000000001</v>
      </c>
    </row>
    <row r="25" spans="1:58" s="144" customFormat="1" ht="12.75">
      <c r="A25" s="145" t="s">
        <v>41</v>
      </c>
      <c r="B25" s="217">
        <v>632.9</v>
      </c>
      <c r="C25" s="127">
        <f>B25*8.65</f>
        <v>5474.585</v>
      </c>
      <c r="D25" s="186">
        <f t="shared" si="20"/>
        <v>354.73500000000075</v>
      </c>
      <c r="E25" s="16">
        <v>510.3</v>
      </c>
      <c r="F25" s="16">
        <v>80.86</v>
      </c>
      <c r="G25" s="16">
        <v>690.57</v>
      </c>
      <c r="H25" s="16">
        <v>109.6</v>
      </c>
      <c r="I25" s="16">
        <v>1660.14</v>
      </c>
      <c r="J25" s="16">
        <v>263.23</v>
      </c>
      <c r="K25" s="16">
        <v>1149.84</v>
      </c>
      <c r="L25" s="16">
        <v>182.38</v>
      </c>
      <c r="M25" s="136">
        <v>408.25</v>
      </c>
      <c r="N25" s="205">
        <v>64.68</v>
      </c>
      <c r="O25" s="77">
        <v>0</v>
      </c>
      <c r="P25" s="77">
        <v>0</v>
      </c>
      <c r="Q25" s="77"/>
      <c r="R25" s="77"/>
      <c r="S25" s="16">
        <f>E25+G25+I25+K25+M25+O25+Q25</f>
        <v>4419.1</v>
      </c>
      <c r="T25" s="137">
        <f>P25+N25+L25+J25+H25+F25+R25</f>
        <v>700.75</v>
      </c>
      <c r="U25" s="16">
        <v>947.62</v>
      </c>
      <c r="V25" s="16">
        <v>1281.22</v>
      </c>
      <c r="W25" s="16">
        <v>3081.69</v>
      </c>
      <c r="X25" s="16">
        <v>2134.1</v>
      </c>
      <c r="Y25" s="16">
        <v>758.09</v>
      </c>
      <c r="Z25" s="16">
        <v>0</v>
      </c>
      <c r="AA25" s="77">
        <v>0</v>
      </c>
      <c r="AB25" s="77">
        <f>SUM(U25:AA25)</f>
        <v>8202.720000000001</v>
      </c>
      <c r="AC25" s="146">
        <f>D25+T25+AB25</f>
        <v>9258.205000000002</v>
      </c>
      <c r="AD25" s="99">
        <f>P25+Z25</f>
        <v>0</v>
      </c>
      <c r="AE25" s="99">
        <f>R25+AA25</f>
        <v>0</v>
      </c>
      <c r="AF25" s="99"/>
      <c r="AG25" s="16">
        <f t="shared" si="21"/>
        <v>379.73999999999995</v>
      </c>
      <c r="AH25" s="16">
        <f>B25*0.2</f>
        <v>126.58</v>
      </c>
      <c r="AI25" s="16">
        <f>0.85*B25</f>
        <v>537.9649999999999</v>
      </c>
      <c r="AJ25" s="16">
        <f>AI25*0.18</f>
        <v>96.83369999999998</v>
      </c>
      <c r="AK25" s="16">
        <f>0.83*B25</f>
        <v>525.3069999999999</v>
      </c>
      <c r="AL25" s="16">
        <f>AK25*0.18</f>
        <v>94.55525999999998</v>
      </c>
      <c r="AM25" s="16">
        <f>(1.91)*B25</f>
        <v>1208.839</v>
      </c>
      <c r="AN25" s="16">
        <f>AM25*0.18</f>
        <v>217.59102</v>
      </c>
      <c r="AO25" s="16"/>
      <c r="AP25" s="16">
        <f>AO25*0.18</f>
        <v>0</v>
      </c>
      <c r="AQ25" s="159"/>
      <c r="AR25" s="159">
        <f>AQ25*0.18</f>
        <v>0</v>
      </c>
      <c r="AS25" s="25">
        <v>0</v>
      </c>
      <c r="AT25" s="25"/>
      <c r="AU25" s="25">
        <f>(AS25+AT25)*0.18</f>
        <v>0</v>
      </c>
      <c r="AV25" s="140">
        <v>514</v>
      </c>
      <c r="AW25" s="141">
        <v>0.3</v>
      </c>
      <c r="AX25" s="16">
        <f>AV25*AW25*1.12*1.18</f>
        <v>203.79072</v>
      </c>
      <c r="AY25" s="142"/>
      <c r="AZ25" s="77"/>
      <c r="BA25" s="77">
        <f t="shared" si="15"/>
        <v>0</v>
      </c>
      <c r="BB25" s="77">
        <f>SUM(AG25:BA25)-AV25-AW25</f>
        <v>3391.2016999999996</v>
      </c>
      <c r="BC25" s="160"/>
      <c r="BD25" s="77">
        <f t="shared" si="17"/>
        <v>3391.2016999999996</v>
      </c>
      <c r="BE25" s="143">
        <f>(AC25-BB25)+(AF25-BC25)</f>
        <v>5867.003300000002</v>
      </c>
      <c r="BF25" s="143">
        <f>AB25-S25</f>
        <v>3783.620000000001</v>
      </c>
    </row>
    <row r="26" spans="1:58" s="24" customFormat="1" ht="12.75">
      <c r="A26" s="19" t="s">
        <v>3</v>
      </c>
      <c r="B26" s="20"/>
      <c r="C26" s="20">
        <f>SUM(C14:C25)</f>
        <v>65695.02</v>
      </c>
      <c r="D26" s="20">
        <f aca="true" t="shared" si="22" ref="D26:BF26">SUM(D14:D25)</f>
        <v>5575.192500000003</v>
      </c>
      <c r="E26" s="20">
        <f t="shared" si="22"/>
        <v>5738.049999999999</v>
      </c>
      <c r="F26" s="20">
        <f t="shared" si="22"/>
        <v>1029.37</v>
      </c>
      <c r="G26" s="20">
        <f t="shared" si="22"/>
        <v>7759.469999999999</v>
      </c>
      <c r="H26" s="20">
        <f t="shared" si="22"/>
        <v>1393.4499999999996</v>
      </c>
      <c r="I26" s="20">
        <f t="shared" si="22"/>
        <v>18661.84</v>
      </c>
      <c r="J26" s="20">
        <f t="shared" si="22"/>
        <v>3349.11</v>
      </c>
      <c r="K26" s="20">
        <f t="shared" si="22"/>
        <v>12923.720000000003</v>
      </c>
      <c r="L26" s="20">
        <f t="shared" si="22"/>
        <v>2319.92</v>
      </c>
      <c r="M26" s="20">
        <f t="shared" si="22"/>
        <v>4590.5</v>
      </c>
      <c r="N26" s="20">
        <f t="shared" si="22"/>
        <v>823.4200000000001</v>
      </c>
      <c r="O26" s="20">
        <f t="shared" si="22"/>
        <v>0</v>
      </c>
      <c r="P26" s="20">
        <f t="shared" si="22"/>
        <v>0</v>
      </c>
      <c r="Q26" s="20">
        <f t="shared" si="22"/>
        <v>0</v>
      </c>
      <c r="R26" s="20">
        <f t="shared" si="22"/>
        <v>0</v>
      </c>
      <c r="S26" s="20">
        <f t="shared" si="22"/>
        <v>49673.579999999994</v>
      </c>
      <c r="T26" s="20">
        <f t="shared" si="22"/>
        <v>8915.27</v>
      </c>
      <c r="U26" s="20">
        <f t="shared" si="22"/>
        <v>5909.21</v>
      </c>
      <c r="V26" s="20">
        <f t="shared" si="22"/>
        <v>7988.51</v>
      </c>
      <c r="W26" s="20">
        <f t="shared" si="22"/>
        <v>19216.03</v>
      </c>
      <c r="X26" s="20">
        <f t="shared" si="22"/>
        <v>13306.76</v>
      </c>
      <c r="Y26" s="20">
        <f t="shared" si="22"/>
        <v>4727.4</v>
      </c>
      <c r="Z26" s="20">
        <f t="shared" si="22"/>
        <v>0</v>
      </c>
      <c r="AA26" s="20">
        <f t="shared" si="22"/>
        <v>0</v>
      </c>
      <c r="AB26" s="20">
        <f t="shared" si="22"/>
        <v>51147.91</v>
      </c>
      <c r="AC26" s="20">
        <f t="shared" si="22"/>
        <v>65638.37250000001</v>
      </c>
      <c r="AD26" s="20">
        <f t="shared" si="22"/>
        <v>0</v>
      </c>
      <c r="AE26" s="20">
        <f t="shared" si="22"/>
        <v>0</v>
      </c>
      <c r="AF26" s="20">
        <f t="shared" si="22"/>
        <v>0</v>
      </c>
      <c r="AG26" s="20">
        <f t="shared" si="22"/>
        <v>4404.983999999999</v>
      </c>
      <c r="AH26" s="20">
        <f t="shared" si="22"/>
        <v>1474.7911747999997</v>
      </c>
      <c r="AI26" s="20">
        <f t="shared" si="22"/>
        <v>6158.291616749999</v>
      </c>
      <c r="AJ26" s="20">
        <f t="shared" si="22"/>
        <v>1108.4924910149998</v>
      </c>
      <c r="AK26" s="20">
        <f t="shared" si="22"/>
        <v>5985.878518069998</v>
      </c>
      <c r="AL26" s="20">
        <f t="shared" si="22"/>
        <v>1077.4581332525995</v>
      </c>
      <c r="AM26" s="20">
        <f t="shared" si="22"/>
        <v>13772.924020257626</v>
      </c>
      <c r="AN26" s="20">
        <f t="shared" si="22"/>
        <v>2479.1263236463724</v>
      </c>
      <c r="AO26" s="20">
        <f t="shared" si="22"/>
        <v>0</v>
      </c>
      <c r="AP26" s="20">
        <f t="shared" si="22"/>
        <v>0</v>
      </c>
      <c r="AQ26" s="192">
        <f t="shared" si="22"/>
        <v>0</v>
      </c>
      <c r="AR26" s="192">
        <f t="shared" si="22"/>
        <v>0</v>
      </c>
      <c r="AS26" s="21">
        <f t="shared" si="22"/>
        <v>307</v>
      </c>
      <c r="AT26" s="21">
        <f t="shared" si="22"/>
        <v>0</v>
      </c>
      <c r="AU26" s="21">
        <f t="shared" si="22"/>
        <v>55.26</v>
      </c>
      <c r="AV26" s="20">
        <f t="shared" si="22"/>
        <v>4400</v>
      </c>
      <c r="AW26" s="20">
        <f t="shared" si="22"/>
        <v>3.599999999999999</v>
      </c>
      <c r="AX26" s="20">
        <f t="shared" si="22"/>
        <v>1744.512</v>
      </c>
      <c r="AY26" s="20">
        <f t="shared" si="22"/>
        <v>0</v>
      </c>
      <c r="AZ26" s="20">
        <f t="shared" si="22"/>
        <v>0</v>
      </c>
      <c r="BA26" s="20">
        <f t="shared" si="22"/>
        <v>0</v>
      </c>
      <c r="BB26" s="20">
        <f t="shared" si="22"/>
        <v>38568.718277791595</v>
      </c>
      <c r="BC26" s="20">
        <f t="shared" si="22"/>
        <v>0</v>
      </c>
      <c r="BD26" s="20">
        <f t="shared" si="22"/>
        <v>38568.718277791595</v>
      </c>
      <c r="BE26" s="20">
        <f t="shared" si="22"/>
        <v>27069.65422220841</v>
      </c>
      <c r="BF26" s="188">
        <f t="shared" si="22"/>
        <v>1474.3300000000004</v>
      </c>
    </row>
    <row r="27" spans="1:58" s="24" customFormat="1" ht="12.75">
      <c r="A27" s="19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2"/>
      <c r="W27" s="22"/>
      <c r="X27" s="22"/>
      <c r="Y27" s="22"/>
      <c r="Z27" s="22"/>
      <c r="AA27" s="22"/>
      <c r="AB27" s="22"/>
      <c r="AC27" s="22"/>
      <c r="AD27" s="100"/>
      <c r="AE27" s="100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74"/>
      <c r="AQ27" s="193"/>
      <c r="AR27" s="193"/>
      <c r="AS27" s="74"/>
      <c r="AT27" s="74"/>
      <c r="AU27" s="74"/>
      <c r="AV27" s="23"/>
      <c r="AW27" s="23"/>
      <c r="AX27" s="80"/>
      <c r="AY27" s="53"/>
      <c r="AZ27" s="53"/>
      <c r="BA27" s="53"/>
      <c r="BB27" s="53"/>
      <c r="BC27" s="53"/>
      <c r="BD27" s="53"/>
      <c r="BE27" s="53"/>
      <c r="BF27" s="189"/>
    </row>
    <row r="28" spans="1:58" s="24" customFormat="1" ht="13.5" thickBot="1">
      <c r="A28" s="27" t="s">
        <v>52</v>
      </c>
      <c r="B28" s="28"/>
      <c r="C28" s="28">
        <f>C12+C26</f>
        <v>82118.77500000001</v>
      </c>
      <c r="D28" s="28">
        <f aca="true" t="shared" si="23" ref="D28:BF28">D12+D26</f>
        <v>9528.445074350004</v>
      </c>
      <c r="E28" s="28">
        <f t="shared" si="23"/>
        <v>7056.779999999999</v>
      </c>
      <c r="F28" s="28">
        <f t="shared" si="23"/>
        <v>1324.25</v>
      </c>
      <c r="G28" s="28">
        <f t="shared" si="23"/>
        <v>9539.789999999999</v>
      </c>
      <c r="H28" s="28">
        <f t="shared" si="23"/>
        <v>1791.5399999999995</v>
      </c>
      <c r="I28" s="28">
        <f t="shared" si="23"/>
        <v>22947.690000000002</v>
      </c>
      <c r="J28" s="28">
        <f t="shared" si="23"/>
        <v>4307.5</v>
      </c>
      <c r="K28" s="28">
        <f t="shared" si="23"/>
        <v>15890.880000000003</v>
      </c>
      <c r="L28" s="28">
        <f t="shared" si="23"/>
        <v>2983.4300000000003</v>
      </c>
      <c r="M28" s="28">
        <f t="shared" si="23"/>
        <v>5645.42</v>
      </c>
      <c r="N28" s="28">
        <f t="shared" si="23"/>
        <v>1059.3500000000001</v>
      </c>
      <c r="O28" s="28">
        <f t="shared" si="23"/>
        <v>0</v>
      </c>
      <c r="P28" s="28">
        <f t="shared" si="23"/>
        <v>0</v>
      </c>
      <c r="Q28" s="28">
        <f t="shared" si="23"/>
        <v>0</v>
      </c>
      <c r="R28" s="28">
        <f t="shared" si="23"/>
        <v>0</v>
      </c>
      <c r="S28" s="28">
        <f t="shared" si="23"/>
        <v>61080.56</v>
      </c>
      <c r="T28" s="28">
        <f t="shared" si="23"/>
        <v>11466.07</v>
      </c>
      <c r="U28" s="28">
        <f t="shared" si="23"/>
        <v>6656.15</v>
      </c>
      <c r="V28" s="28">
        <f t="shared" si="23"/>
        <v>8996.91</v>
      </c>
      <c r="W28" s="28">
        <f t="shared" si="23"/>
        <v>21643.59</v>
      </c>
      <c r="X28" s="28">
        <f t="shared" si="23"/>
        <v>14987.41</v>
      </c>
      <c r="Y28" s="28">
        <f t="shared" si="23"/>
        <v>5324.91</v>
      </c>
      <c r="Z28" s="28">
        <f t="shared" si="23"/>
        <v>0</v>
      </c>
      <c r="AA28" s="28">
        <f t="shared" si="23"/>
        <v>0</v>
      </c>
      <c r="AB28" s="28">
        <f t="shared" si="23"/>
        <v>57608.97</v>
      </c>
      <c r="AC28" s="28">
        <f t="shared" si="23"/>
        <v>78603.48507435001</v>
      </c>
      <c r="AD28" s="28">
        <f t="shared" si="23"/>
        <v>0</v>
      </c>
      <c r="AE28" s="28">
        <f t="shared" si="23"/>
        <v>0</v>
      </c>
      <c r="AF28" s="28">
        <f t="shared" si="23"/>
        <v>0</v>
      </c>
      <c r="AG28" s="28">
        <f t="shared" si="23"/>
        <v>5544.203999999998</v>
      </c>
      <c r="AH28" s="28">
        <f t="shared" si="23"/>
        <v>1865.7335047999995</v>
      </c>
      <c r="AI28" s="28">
        <f t="shared" si="23"/>
        <v>7774.034684749999</v>
      </c>
      <c r="AJ28" s="28">
        <f>AJ12+AJ26</f>
        <v>1399.3262432549998</v>
      </c>
      <c r="AK28" s="28">
        <f t="shared" si="23"/>
        <v>7866.092268549997</v>
      </c>
      <c r="AL28" s="28">
        <f t="shared" si="23"/>
        <v>1415.8966083389996</v>
      </c>
      <c r="AM28" s="28">
        <f t="shared" si="23"/>
        <v>17226.008888927627</v>
      </c>
      <c r="AN28" s="28">
        <f t="shared" si="23"/>
        <v>3100.681600006972</v>
      </c>
      <c r="AO28" s="28">
        <f t="shared" si="23"/>
        <v>0</v>
      </c>
      <c r="AP28" s="28">
        <f t="shared" si="23"/>
        <v>0</v>
      </c>
      <c r="AQ28" s="196">
        <f t="shared" si="23"/>
        <v>0</v>
      </c>
      <c r="AR28" s="196">
        <f t="shared" si="23"/>
        <v>0</v>
      </c>
      <c r="AS28" s="195">
        <f t="shared" si="23"/>
        <v>757</v>
      </c>
      <c r="AT28" s="195">
        <f t="shared" si="23"/>
        <v>0</v>
      </c>
      <c r="AU28" s="195">
        <f t="shared" si="23"/>
        <v>136.26</v>
      </c>
      <c r="AV28" s="28">
        <f t="shared" si="23"/>
        <v>4400</v>
      </c>
      <c r="AW28" s="28">
        <f t="shared" si="23"/>
        <v>3.599999999999999</v>
      </c>
      <c r="AX28" s="28">
        <f t="shared" si="23"/>
        <v>1744.512</v>
      </c>
      <c r="AY28" s="28">
        <f t="shared" si="23"/>
        <v>0</v>
      </c>
      <c r="AZ28" s="28">
        <f t="shared" si="23"/>
        <v>0</v>
      </c>
      <c r="BA28" s="28">
        <f t="shared" si="23"/>
        <v>0</v>
      </c>
      <c r="BB28" s="28">
        <f t="shared" si="23"/>
        <v>48829.749798628596</v>
      </c>
      <c r="BC28" s="28">
        <f t="shared" si="23"/>
        <v>0</v>
      </c>
      <c r="BD28" s="28">
        <f t="shared" si="23"/>
        <v>48829.749798628596</v>
      </c>
      <c r="BE28" s="28">
        <f t="shared" si="23"/>
        <v>29773.73527572141</v>
      </c>
      <c r="BF28" s="28">
        <f t="shared" si="23"/>
        <v>-3471.5900000000006</v>
      </c>
    </row>
    <row r="29" spans="1:58" ht="15" customHeight="1">
      <c r="A29" s="8" t="s">
        <v>92</v>
      </c>
      <c r="B29" s="147"/>
      <c r="C29" s="148"/>
      <c r="D29" s="148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50"/>
      <c r="P29" s="151"/>
      <c r="Q29" s="152"/>
      <c r="R29" s="152"/>
      <c r="S29" s="152"/>
      <c r="T29" s="152"/>
      <c r="U29" s="153"/>
      <c r="V29" s="153"/>
      <c r="W29" s="153"/>
      <c r="X29" s="153"/>
      <c r="Y29" s="153"/>
      <c r="Z29" s="153"/>
      <c r="AA29" s="154"/>
      <c r="AB29" s="154"/>
      <c r="AC29" s="102"/>
      <c r="AD29" s="103"/>
      <c r="AE29" s="103"/>
      <c r="AF29" s="54"/>
      <c r="AG29" s="54"/>
      <c r="AH29" s="54"/>
      <c r="AI29" s="54"/>
      <c r="AJ29" s="54"/>
      <c r="AK29" s="54"/>
      <c r="AL29" s="54"/>
      <c r="AM29" s="54"/>
      <c r="AN29" s="69"/>
      <c r="AO29" s="69"/>
      <c r="AP29" s="69"/>
      <c r="AQ29" s="190"/>
      <c r="AR29" s="191"/>
      <c r="AS29" s="96"/>
      <c r="AT29" s="96"/>
      <c r="AU29" s="155"/>
      <c r="AV29" s="54"/>
      <c r="AW29" s="54"/>
      <c r="AX29" s="55"/>
      <c r="AY29" s="1"/>
      <c r="AZ29" s="1"/>
      <c r="BA29" s="1"/>
      <c r="BB29" s="1"/>
      <c r="BC29" s="1"/>
      <c r="BD29" s="1"/>
      <c r="BE29" s="1"/>
      <c r="BF29" s="156"/>
    </row>
    <row r="30" spans="1:58" ht="12.75">
      <c r="A30" s="14" t="s">
        <v>43</v>
      </c>
      <c r="B30" s="226">
        <v>632.9</v>
      </c>
      <c r="C30" s="227">
        <f aca="true" t="shared" si="24" ref="C30:C41">B30*8.65</f>
        <v>5474.585</v>
      </c>
      <c r="D30" s="228">
        <f aca="true" t="shared" si="25" ref="D30:D41">C30-E30-F30-G30-H30-I30-J30-K30-L30-M30-N30</f>
        <v>354.73500000000075</v>
      </c>
      <c r="E30" s="229">
        <v>510.3</v>
      </c>
      <c r="F30" s="229">
        <v>80.86</v>
      </c>
      <c r="G30" s="229">
        <v>690.57</v>
      </c>
      <c r="H30" s="229">
        <v>109.6</v>
      </c>
      <c r="I30" s="229">
        <v>1660.14</v>
      </c>
      <c r="J30" s="229">
        <v>263.23</v>
      </c>
      <c r="K30" s="229">
        <v>1149.84</v>
      </c>
      <c r="L30" s="229">
        <v>182.38</v>
      </c>
      <c r="M30" s="230">
        <v>408.25</v>
      </c>
      <c r="N30" s="231">
        <v>64.68</v>
      </c>
      <c r="O30" s="232">
        <v>0</v>
      </c>
      <c r="P30" s="232">
        <v>0</v>
      </c>
      <c r="Q30" s="232"/>
      <c r="R30" s="232"/>
      <c r="S30" s="229">
        <f aca="true" t="shared" si="26" ref="S30:S41">E30+G30+I30+K30+M30+O30+Q30</f>
        <v>4419.1</v>
      </c>
      <c r="T30" s="233">
        <f aca="true" t="shared" si="27" ref="T30:T41">P30+N30+L30+J30+H30+F30+R30</f>
        <v>700.75</v>
      </c>
      <c r="U30" s="229">
        <v>423</v>
      </c>
      <c r="V30" s="229">
        <v>572.78</v>
      </c>
      <c r="W30" s="229">
        <v>1376.51</v>
      </c>
      <c r="X30" s="229">
        <v>953.44</v>
      </c>
      <c r="Y30" s="229">
        <v>338.43</v>
      </c>
      <c r="Z30" s="229">
        <v>0</v>
      </c>
      <c r="AA30" s="232">
        <v>0</v>
      </c>
      <c r="AB30" s="232">
        <f>SUM(U30:AA30)</f>
        <v>3664.16</v>
      </c>
      <c r="AC30" s="234">
        <f aca="true" t="shared" si="28" ref="AC30:AC41">D30+T30+AB30</f>
        <v>4719.645</v>
      </c>
      <c r="AD30" s="235">
        <f aca="true" t="shared" si="29" ref="AD30:AD41">P30+Z30</f>
        <v>0</v>
      </c>
      <c r="AE30" s="235">
        <f aca="true" t="shared" si="30" ref="AE30:AE41">R30+AA30</f>
        <v>0</v>
      </c>
      <c r="AF30" s="235"/>
      <c r="AG30" s="236">
        <f aca="true" t="shared" si="31" ref="AG30:AG41">0.6*B30</f>
        <v>379.73999999999995</v>
      </c>
      <c r="AH30" s="236">
        <f aca="true" t="shared" si="32" ref="AH30:AH41">B30*0.2</f>
        <v>126.58</v>
      </c>
      <c r="AI30" s="236">
        <f aca="true" t="shared" si="33" ref="AI30:AI41">1*B30</f>
        <v>632.9</v>
      </c>
      <c r="AJ30" s="236">
        <v>0</v>
      </c>
      <c r="AK30" s="236">
        <f aca="true" t="shared" si="34" ref="AK30:AK41">0.98*B30</f>
        <v>620.242</v>
      </c>
      <c r="AL30" s="236">
        <v>0</v>
      </c>
      <c r="AM30" s="236">
        <f aca="true" t="shared" si="35" ref="AM30:AM41">2.25*B30</f>
        <v>1424.0249999999999</v>
      </c>
      <c r="AN30" s="236">
        <v>0</v>
      </c>
      <c r="AO30" s="236"/>
      <c r="AP30" s="236">
        <v>0</v>
      </c>
      <c r="AQ30" s="237"/>
      <c r="AR30" s="237"/>
      <c r="AS30" s="238">
        <v>0</v>
      </c>
      <c r="AT30" s="238"/>
      <c r="AU30" s="238">
        <f aca="true" t="shared" si="36" ref="AU30:AU39">AT30*0.18</f>
        <v>0</v>
      </c>
      <c r="AV30" s="239">
        <v>508</v>
      </c>
      <c r="AW30" s="240">
        <v>0.3</v>
      </c>
      <c r="AX30" s="236">
        <f aca="true" t="shared" si="37" ref="AX30:AX41">AV30*AW30*1.4</f>
        <v>213.35999999999999</v>
      </c>
      <c r="AY30" s="241"/>
      <c r="AZ30" s="242"/>
      <c r="BA30" s="242">
        <f aca="true" t="shared" si="38" ref="BA30:BA41">AZ30*0.18</f>
        <v>0</v>
      </c>
      <c r="BB30" s="242">
        <f aca="true" t="shared" si="39" ref="BB30:BB41">SUM(AG30:BA30)-AV30-AW30</f>
        <v>3396.8469999999998</v>
      </c>
      <c r="BC30" s="243"/>
      <c r="BD30" s="16"/>
      <c r="BE30" s="219">
        <f>(AC30-BB30)+(AF30-BC30)</f>
        <v>1322.7980000000007</v>
      </c>
      <c r="BF30" s="143">
        <f>AB30-S30</f>
        <v>-754.9400000000005</v>
      </c>
    </row>
    <row r="31" spans="1:58" ht="12.75">
      <c r="A31" s="14" t="s">
        <v>44</v>
      </c>
      <c r="B31" s="244">
        <v>632.9</v>
      </c>
      <c r="C31" s="227">
        <f t="shared" si="24"/>
        <v>5474.585</v>
      </c>
      <c r="D31" s="228">
        <f t="shared" si="25"/>
        <v>349.3550000000001</v>
      </c>
      <c r="E31" s="245">
        <v>481.84</v>
      </c>
      <c r="F31" s="229">
        <v>109.95</v>
      </c>
      <c r="G31" s="229">
        <v>651.96</v>
      </c>
      <c r="H31" s="229">
        <v>149.03</v>
      </c>
      <c r="I31" s="229">
        <v>1567.51</v>
      </c>
      <c r="J31" s="229">
        <v>357.89</v>
      </c>
      <c r="K31" s="229">
        <v>1085.63</v>
      </c>
      <c r="L31" s="229">
        <v>247.98</v>
      </c>
      <c r="M31" s="230">
        <v>385.5</v>
      </c>
      <c r="N31" s="231">
        <v>87.94</v>
      </c>
      <c r="O31" s="232">
        <v>0</v>
      </c>
      <c r="P31" s="232">
        <v>0</v>
      </c>
      <c r="Q31" s="246">
        <v>0</v>
      </c>
      <c r="R31" s="246">
        <v>0</v>
      </c>
      <c r="S31" s="229">
        <f t="shared" si="26"/>
        <v>4172.4400000000005</v>
      </c>
      <c r="T31" s="233">
        <f t="shared" si="27"/>
        <v>952.79</v>
      </c>
      <c r="U31" s="229">
        <v>451.31</v>
      </c>
      <c r="V31" s="229">
        <v>611.09</v>
      </c>
      <c r="W31" s="229">
        <v>1468.58</v>
      </c>
      <c r="X31" s="229">
        <v>1017.3</v>
      </c>
      <c r="Y31" s="229">
        <v>361.03</v>
      </c>
      <c r="Z31" s="229">
        <v>0</v>
      </c>
      <c r="AA31" s="232">
        <v>0</v>
      </c>
      <c r="AB31" s="232">
        <f>SUM(U31:AA31)</f>
        <v>3909.3099999999995</v>
      </c>
      <c r="AC31" s="234">
        <f t="shared" si="28"/>
        <v>5211.455</v>
      </c>
      <c r="AD31" s="235">
        <f t="shared" si="29"/>
        <v>0</v>
      </c>
      <c r="AE31" s="235">
        <f t="shared" si="30"/>
        <v>0</v>
      </c>
      <c r="AF31" s="235"/>
      <c r="AG31" s="236">
        <f t="shared" si="31"/>
        <v>379.73999999999995</v>
      </c>
      <c r="AH31" s="236">
        <f t="shared" si="32"/>
        <v>126.58</v>
      </c>
      <c r="AI31" s="236">
        <f t="shared" si="33"/>
        <v>632.9</v>
      </c>
      <c r="AJ31" s="236">
        <v>0</v>
      </c>
      <c r="AK31" s="236">
        <f t="shared" si="34"/>
        <v>620.242</v>
      </c>
      <c r="AL31" s="236">
        <v>0</v>
      </c>
      <c r="AM31" s="236">
        <f t="shared" si="35"/>
        <v>1424.0249999999999</v>
      </c>
      <c r="AN31" s="236">
        <v>0</v>
      </c>
      <c r="AO31" s="236"/>
      <c r="AP31" s="236"/>
      <c r="AQ31" s="237"/>
      <c r="AR31" s="237"/>
      <c r="AS31" s="238"/>
      <c r="AT31" s="238"/>
      <c r="AU31" s="238">
        <f t="shared" si="36"/>
        <v>0</v>
      </c>
      <c r="AV31" s="239">
        <v>407</v>
      </c>
      <c r="AW31" s="240">
        <v>0.3</v>
      </c>
      <c r="AX31" s="236">
        <f t="shared" si="37"/>
        <v>170.93999999999997</v>
      </c>
      <c r="AY31" s="241"/>
      <c r="AZ31" s="242"/>
      <c r="BA31" s="242">
        <f t="shared" si="38"/>
        <v>0</v>
      </c>
      <c r="BB31" s="242">
        <f t="shared" si="39"/>
        <v>3354.4269999999997</v>
      </c>
      <c r="BC31" s="243"/>
      <c r="BD31" s="16"/>
      <c r="BE31" s="219">
        <f aca="true" t="shared" si="40" ref="BE31:BE41">(AC31-BB31)+(AF31-BC31)</f>
        <v>1857.0280000000002</v>
      </c>
      <c r="BF31" s="143">
        <f aca="true" t="shared" si="41" ref="BF31:BF40">AB31-S31</f>
        <v>-263.130000000001</v>
      </c>
    </row>
    <row r="32" spans="1:58" ht="13.5" thickBot="1">
      <c r="A32" s="169" t="s">
        <v>45</v>
      </c>
      <c r="B32" s="226">
        <v>632.9</v>
      </c>
      <c r="C32" s="227">
        <f t="shared" si="24"/>
        <v>5474.585</v>
      </c>
      <c r="D32" s="228">
        <f t="shared" si="25"/>
        <v>349.1550000000009</v>
      </c>
      <c r="E32" s="229">
        <v>506.83</v>
      </c>
      <c r="F32" s="229">
        <v>84.99</v>
      </c>
      <c r="G32" s="229">
        <v>685.82</v>
      </c>
      <c r="H32" s="229">
        <v>115.2</v>
      </c>
      <c r="I32" s="229">
        <v>1648.79</v>
      </c>
      <c r="J32" s="229">
        <v>276.68</v>
      </c>
      <c r="K32" s="229">
        <v>1141.97</v>
      </c>
      <c r="L32" s="229">
        <v>191.69</v>
      </c>
      <c r="M32" s="230">
        <v>405.47</v>
      </c>
      <c r="N32" s="231">
        <v>67.99</v>
      </c>
      <c r="O32" s="232">
        <v>0</v>
      </c>
      <c r="P32" s="232">
        <v>0</v>
      </c>
      <c r="Q32" s="232">
        <v>0</v>
      </c>
      <c r="R32" s="232">
        <v>0</v>
      </c>
      <c r="S32" s="229">
        <f t="shared" si="26"/>
        <v>4388.88</v>
      </c>
      <c r="T32" s="233">
        <f t="shared" si="27"/>
        <v>736.5500000000001</v>
      </c>
      <c r="U32" s="229">
        <v>397.46</v>
      </c>
      <c r="V32" s="229">
        <v>538.12</v>
      </c>
      <c r="W32" s="229">
        <v>1293.33</v>
      </c>
      <c r="X32" s="229">
        <v>895.83</v>
      </c>
      <c r="Y32" s="229">
        <v>318.01</v>
      </c>
      <c r="Z32" s="229">
        <v>0</v>
      </c>
      <c r="AA32" s="232">
        <v>0</v>
      </c>
      <c r="AB32" s="232">
        <f>SUM(U32:AA32)</f>
        <v>3442.75</v>
      </c>
      <c r="AC32" s="234">
        <f t="shared" si="28"/>
        <v>4528.455000000001</v>
      </c>
      <c r="AD32" s="235">
        <f t="shared" si="29"/>
        <v>0</v>
      </c>
      <c r="AE32" s="235">
        <f t="shared" si="30"/>
        <v>0</v>
      </c>
      <c r="AF32" s="235"/>
      <c r="AG32" s="236">
        <f t="shared" si="31"/>
        <v>379.73999999999995</v>
      </c>
      <c r="AH32" s="236">
        <f t="shared" si="32"/>
        <v>126.58</v>
      </c>
      <c r="AI32" s="236">
        <f t="shared" si="33"/>
        <v>632.9</v>
      </c>
      <c r="AJ32" s="236">
        <v>0</v>
      </c>
      <c r="AK32" s="236">
        <f t="shared" si="34"/>
        <v>620.242</v>
      </c>
      <c r="AL32" s="236">
        <v>0</v>
      </c>
      <c r="AM32" s="236">
        <f t="shared" si="35"/>
        <v>1424.0249999999999</v>
      </c>
      <c r="AN32" s="236">
        <v>0</v>
      </c>
      <c r="AO32" s="236"/>
      <c r="AP32" s="236"/>
      <c r="AQ32" s="237"/>
      <c r="AR32" s="237"/>
      <c r="AS32" s="238"/>
      <c r="AT32" s="238"/>
      <c r="AU32" s="238">
        <f t="shared" si="36"/>
        <v>0</v>
      </c>
      <c r="AV32" s="239">
        <v>383</v>
      </c>
      <c r="AW32" s="240">
        <v>0.3</v>
      </c>
      <c r="AX32" s="236">
        <f t="shared" si="37"/>
        <v>160.85999999999999</v>
      </c>
      <c r="AY32" s="241"/>
      <c r="AZ32" s="242"/>
      <c r="BA32" s="242">
        <f t="shared" si="38"/>
        <v>0</v>
      </c>
      <c r="BB32" s="242">
        <f t="shared" si="39"/>
        <v>3344.3469999999998</v>
      </c>
      <c r="BC32" s="243"/>
      <c r="BD32" s="97"/>
      <c r="BE32" s="219">
        <f t="shared" si="40"/>
        <v>1184.108000000001</v>
      </c>
      <c r="BF32" s="143">
        <f t="shared" si="41"/>
        <v>-946.1300000000001</v>
      </c>
    </row>
    <row r="33" spans="1:58" ht="12.75">
      <c r="A33" s="168" t="s">
        <v>46</v>
      </c>
      <c r="B33" s="226">
        <v>632.9</v>
      </c>
      <c r="C33" s="227">
        <f t="shared" si="24"/>
        <v>5474.585</v>
      </c>
      <c r="D33" s="228">
        <f t="shared" si="25"/>
        <v>356.7950000000005</v>
      </c>
      <c r="E33" s="229">
        <v>505.93</v>
      </c>
      <c r="F33" s="229">
        <v>84.99</v>
      </c>
      <c r="G33" s="229">
        <v>684.65</v>
      </c>
      <c r="H33" s="229">
        <v>115.2</v>
      </c>
      <c r="I33" s="229">
        <v>1645.92</v>
      </c>
      <c r="J33" s="229">
        <v>276.68</v>
      </c>
      <c r="K33" s="229">
        <v>1139.99</v>
      </c>
      <c r="L33" s="229">
        <v>191.69</v>
      </c>
      <c r="M33" s="230">
        <v>404.75</v>
      </c>
      <c r="N33" s="231">
        <v>67.99</v>
      </c>
      <c r="O33" s="232">
        <v>0</v>
      </c>
      <c r="P33" s="232">
        <v>0</v>
      </c>
      <c r="Q33" s="232"/>
      <c r="R33" s="232"/>
      <c r="S33" s="229">
        <f t="shared" si="26"/>
        <v>4381.24</v>
      </c>
      <c r="T33" s="233">
        <f t="shared" si="27"/>
        <v>736.5500000000001</v>
      </c>
      <c r="U33" s="229">
        <v>279.01</v>
      </c>
      <c r="V33" s="229">
        <v>376.69</v>
      </c>
      <c r="W33" s="229">
        <v>906.84</v>
      </c>
      <c r="X33" s="229">
        <v>627.81</v>
      </c>
      <c r="Y33" s="229">
        <v>223.22</v>
      </c>
      <c r="Z33" s="229">
        <v>0</v>
      </c>
      <c r="AA33" s="232">
        <v>0</v>
      </c>
      <c r="AB33" s="232">
        <f>SUM(U33:AA33)</f>
        <v>2413.5699999999997</v>
      </c>
      <c r="AC33" s="234">
        <f t="shared" si="28"/>
        <v>3506.9150000000004</v>
      </c>
      <c r="AD33" s="235">
        <f t="shared" si="29"/>
        <v>0</v>
      </c>
      <c r="AE33" s="235">
        <f t="shared" si="30"/>
        <v>0</v>
      </c>
      <c r="AF33" s="235"/>
      <c r="AG33" s="236">
        <f t="shared" si="31"/>
        <v>379.73999999999995</v>
      </c>
      <c r="AH33" s="236">
        <f t="shared" si="32"/>
        <v>126.58</v>
      </c>
      <c r="AI33" s="236">
        <f t="shared" si="33"/>
        <v>632.9</v>
      </c>
      <c r="AJ33" s="236">
        <v>0</v>
      </c>
      <c r="AK33" s="236">
        <f t="shared" si="34"/>
        <v>620.242</v>
      </c>
      <c r="AL33" s="236">
        <v>0</v>
      </c>
      <c r="AM33" s="236">
        <f t="shared" si="35"/>
        <v>1424.0249999999999</v>
      </c>
      <c r="AN33" s="236">
        <v>0</v>
      </c>
      <c r="AO33" s="236"/>
      <c r="AP33" s="236"/>
      <c r="AQ33" s="237"/>
      <c r="AR33" s="237"/>
      <c r="AS33" s="238">
        <v>491</v>
      </c>
      <c r="AT33" s="238"/>
      <c r="AU33" s="238">
        <f t="shared" si="36"/>
        <v>0</v>
      </c>
      <c r="AV33" s="239">
        <v>307</v>
      </c>
      <c r="AW33" s="240">
        <v>0.3</v>
      </c>
      <c r="AX33" s="236">
        <f t="shared" si="37"/>
        <v>128.94</v>
      </c>
      <c r="AY33" s="241"/>
      <c r="AZ33" s="242"/>
      <c r="BA33" s="242">
        <f t="shared" si="38"/>
        <v>0</v>
      </c>
      <c r="BB33" s="242">
        <f t="shared" si="39"/>
        <v>3803.4269999999997</v>
      </c>
      <c r="BC33" s="243"/>
      <c r="BD33" s="54"/>
      <c r="BE33" s="219">
        <f t="shared" si="40"/>
        <v>-296.51199999999926</v>
      </c>
      <c r="BF33" s="143">
        <f t="shared" si="41"/>
        <v>-1967.67</v>
      </c>
    </row>
    <row r="34" spans="1:58" ht="12.75">
      <c r="A34" s="14" t="s">
        <v>47</v>
      </c>
      <c r="B34" s="226">
        <v>633.7</v>
      </c>
      <c r="C34" s="227">
        <f t="shared" si="24"/>
        <v>5481.505000000001</v>
      </c>
      <c r="D34" s="228">
        <f t="shared" si="25"/>
        <v>356.895000000001</v>
      </c>
      <c r="E34" s="229">
        <v>506.72</v>
      </c>
      <c r="F34" s="229">
        <v>84.99</v>
      </c>
      <c r="G34" s="229">
        <v>685.71</v>
      </c>
      <c r="H34" s="229">
        <v>115.2</v>
      </c>
      <c r="I34" s="229">
        <v>1648.5</v>
      </c>
      <c r="J34" s="229">
        <v>276.67</v>
      </c>
      <c r="K34" s="229">
        <v>1141.76</v>
      </c>
      <c r="L34" s="229">
        <v>191.69</v>
      </c>
      <c r="M34" s="230">
        <v>405.38</v>
      </c>
      <c r="N34" s="231">
        <v>67.99</v>
      </c>
      <c r="O34" s="232">
        <v>0</v>
      </c>
      <c r="P34" s="232">
        <v>0</v>
      </c>
      <c r="Q34" s="232"/>
      <c r="R34" s="232"/>
      <c r="S34" s="229">
        <f t="shared" si="26"/>
        <v>4388.070000000001</v>
      </c>
      <c r="T34" s="233">
        <f t="shared" si="27"/>
        <v>736.5400000000001</v>
      </c>
      <c r="U34" s="247">
        <v>583.51</v>
      </c>
      <c r="V34" s="247">
        <v>789.48</v>
      </c>
      <c r="W34" s="247">
        <v>1898.14</v>
      </c>
      <c r="X34" s="247">
        <v>1314.61</v>
      </c>
      <c r="Y34" s="247">
        <v>466.82</v>
      </c>
      <c r="Z34" s="247">
        <v>0</v>
      </c>
      <c r="AA34" s="248">
        <v>0</v>
      </c>
      <c r="AB34" s="232">
        <f aca="true" t="shared" si="42" ref="AB34:AB41">SUM(U34:AA34)</f>
        <v>5052.5599999999995</v>
      </c>
      <c r="AC34" s="234">
        <f t="shared" si="28"/>
        <v>6145.995000000001</v>
      </c>
      <c r="AD34" s="235">
        <f t="shared" si="29"/>
        <v>0</v>
      </c>
      <c r="AE34" s="235">
        <f t="shared" si="30"/>
        <v>0</v>
      </c>
      <c r="AF34" s="235"/>
      <c r="AG34" s="236">
        <f t="shared" si="31"/>
        <v>380.22</v>
      </c>
      <c r="AH34" s="236">
        <f t="shared" si="32"/>
        <v>126.74000000000001</v>
      </c>
      <c r="AI34" s="236">
        <f t="shared" si="33"/>
        <v>633.7</v>
      </c>
      <c r="AJ34" s="236">
        <v>0</v>
      </c>
      <c r="AK34" s="236">
        <f t="shared" si="34"/>
        <v>621.0260000000001</v>
      </c>
      <c r="AL34" s="236">
        <v>0</v>
      </c>
      <c r="AM34" s="236">
        <f t="shared" si="35"/>
        <v>1425.825</v>
      </c>
      <c r="AN34" s="236">
        <v>0</v>
      </c>
      <c r="AO34" s="236"/>
      <c r="AP34" s="236"/>
      <c r="AQ34" s="237"/>
      <c r="AR34" s="237"/>
      <c r="AS34" s="238"/>
      <c r="AT34" s="238"/>
      <c r="AU34" s="238">
        <f t="shared" si="36"/>
        <v>0</v>
      </c>
      <c r="AV34" s="239">
        <v>263</v>
      </c>
      <c r="AW34" s="240">
        <v>0.3</v>
      </c>
      <c r="AX34" s="236">
        <f t="shared" si="37"/>
        <v>110.45999999999998</v>
      </c>
      <c r="AY34" s="241"/>
      <c r="AZ34" s="242"/>
      <c r="BA34" s="242">
        <f t="shared" si="38"/>
        <v>0</v>
      </c>
      <c r="BB34" s="242">
        <f t="shared" si="39"/>
        <v>3297.9710000000005</v>
      </c>
      <c r="BC34" s="243"/>
      <c r="BD34" s="16"/>
      <c r="BE34" s="219">
        <f t="shared" si="40"/>
        <v>2848.0240000000003</v>
      </c>
      <c r="BF34" s="143">
        <f t="shared" si="41"/>
        <v>664.4899999999989</v>
      </c>
    </row>
    <row r="35" spans="1:58" ht="13.5" thickBot="1">
      <c r="A35" s="169" t="s">
        <v>48</v>
      </c>
      <c r="B35" s="226">
        <v>633.7</v>
      </c>
      <c r="C35" s="227">
        <f t="shared" si="24"/>
        <v>5481.505000000001</v>
      </c>
      <c r="D35" s="228">
        <f t="shared" si="25"/>
        <v>356.87500000000193</v>
      </c>
      <c r="E35" s="229">
        <v>506.73</v>
      </c>
      <c r="F35" s="229">
        <v>84.99</v>
      </c>
      <c r="G35" s="229">
        <v>685.7</v>
      </c>
      <c r="H35" s="229">
        <v>115.2</v>
      </c>
      <c r="I35" s="229">
        <v>1648.5</v>
      </c>
      <c r="J35" s="229">
        <v>276.67</v>
      </c>
      <c r="K35" s="229">
        <v>1141.77</v>
      </c>
      <c r="L35" s="229">
        <v>191.69</v>
      </c>
      <c r="M35" s="230">
        <v>405.39</v>
      </c>
      <c r="N35" s="231">
        <v>67.99</v>
      </c>
      <c r="O35" s="232">
        <v>0</v>
      </c>
      <c r="P35" s="232">
        <v>0</v>
      </c>
      <c r="Q35" s="232">
        <v>0</v>
      </c>
      <c r="R35" s="232">
        <v>0</v>
      </c>
      <c r="S35" s="229">
        <f t="shared" si="26"/>
        <v>4388.09</v>
      </c>
      <c r="T35" s="233">
        <f t="shared" si="27"/>
        <v>736.5400000000001</v>
      </c>
      <c r="U35" s="229">
        <v>432</v>
      </c>
      <c r="V35" s="229">
        <v>585.01</v>
      </c>
      <c r="W35" s="229">
        <v>1405.83</v>
      </c>
      <c r="X35" s="229">
        <v>973.76</v>
      </c>
      <c r="Y35" s="229">
        <v>345.6</v>
      </c>
      <c r="Z35" s="229">
        <v>0</v>
      </c>
      <c r="AA35" s="232">
        <v>0</v>
      </c>
      <c r="AB35" s="232">
        <f t="shared" si="42"/>
        <v>3742.2000000000003</v>
      </c>
      <c r="AC35" s="234">
        <f t="shared" si="28"/>
        <v>4835.6150000000025</v>
      </c>
      <c r="AD35" s="235">
        <f t="shared" si="29"/>
        <v>0</v>
      </c>
      <c r="AE35" s="235">
        <f t="shared" si="30"/>
        <v>0</v>
      </c>
      <c r="AF35" s="235"/>
      <c r="AG35" s="236">
        <f t="shared" si="31"/>
        <v>380.22</v>
      </c>
      <c r="AH35" s="236">
        <f t="shared" si="32"/>
        <v>126.74000000000001</v>
      </c>
      <c r="AI35" s="236">
        <f t="shared" si="33"/>
        <v>633.7</v>
      </c>
      <c r="AJ35" s="236">
        <v>0</v>
      </c>
      <c r="AK35" s="236">
        <f t="shared" si="34"/>
        <v>621.0260000000001</v>
      </c>
      <c r="AL35" s="236">
        <v>0</v>
      </c>
      <c r="AM35" s="236">
        <f t="shared" si="35"/>
        <v>1425.825</v>
      </c>
      <c r="AN35" s="236">
        <v>0</v>
      </c>
      <c r="AO35" s="236"/>
      <c r="AP35" s="236"/>
      <c r="AQ35" s="237"/>
      <c r="AR35" s="237"/>
      <c r="AS35" s="238"/>
      <c r="AT35" s="238"/>
      <c r="AU35" s="238">
        <f t="shared" si="36"/>
        <v>0</v>
      </c>
      <c r="AV35" s="239">
        <v>233</v>
      </c>
      <c r="AW35" s="240">
        <v>0.3</v>
      </c>
      <c r="AX35" s="236">
        <f t="shared" si="37"/>
        <v>97.85999999999999</v>
      </c>
      <c r="AY35" s="241"/>
      <c r="AZ35" s="242"/>
      <c r="BA35" s="242">
        <f t="shared" si="38"/>
        <v>0</v>
      </c>
      <c r="BB35" s="242">
        <f t="shared" si="39"/>
        <v>3285.3710000000005</v>
      </c>
      <c r="BC35" s="243"/>
      <c r="BD35" s="97"/>
      <c r="BE35" s="219">
        <f t="shared" si="40"/>
        <v>1550.244000000002</v>
      </c>
      <c r="BF35" s="143">
        <f t="shared" si="41"/>
        <v>-645.8899999999999</v>
      </c>
    </row>
    <row r="36" spans="1:58" ht="12.75">
      <c r="A36" s="168" t="s">
        <v>49</v>
      </c>
      <c r="B36" s="226">
        <v>633.7</v>
      </c>
      <c r="C36" s="227">
        <f t="shared" si="24"/>
        <v>5481.505000000001</v>
      </c>
      <c r="D36" s="228">
        <f t="shared" si="25"/>
        <v>351.3150000000006</v>
      </c>
      <c r="E36" s="245">
        <v>592.37</v>
      </c>
      <c r="F36" s="229">
        <v>0</v>
      </c>
      <c r="G36" s="229">
        <v>801.76</v>
      </c>
      <c r="H36" s="229">
        <v>0</v>
      </c>
      <c r="I36" s="229">
        <v>1927.26</v>
      </c>
      <c r="J36" s="229">
        <v>0</v>
      </c>
      <c r="K36" s="229">
        <v>1334.9</v>
      </c>
      <c r="L36" s="229">
        <v>0</v>
      </c>
      <c r="M36" s="230">
        <v>473.9</v>
      </c>
      <c r="N36" s="231">
        <v>0</v>
      </c>
      <c r="O36" s="232">
        <v>0</v>
      </c>
      <c r="P36" s="232">
        <v>0</v>
      </c>
      <c r="Q36" s="232"/>
      <c r="R36" s="232"/>
      <c r="S36" s="229">
        <f t="shared" si="26"/>
        <v>5130.1900000000005</v>
      </c>
      <c r="T36" s="233">
        <f t="shared" si="27"/>
        <v>0</v>
      </c>
      <c r="U36" s="245">
        <v>637.89</v>
      </c>
      <c r="V36" s="229">
        <v>862.73</v>
      </c>
      <c r="W36" s="229">
        <v>2074.75</v>
      </c>
      <c r="X36" s="229">
        <v>1436.87</v>
      </c>
      <c r="Y36" s="229">
        <v>510.33</v>
      </c>
      <c r="Z36" s="229">
        <v>0</v>
      </c>
      <c r="AA36" s="232">
        <v>0</v>
      </c>
      <c r="AB36" s="232">
        <f t="shared" si="42"/>
        <v>5522.57</v>
      </c>
      <c r="AC36" s="234">
        <f t="shared" si="28"/>
        <v>5873.885</v>
      </c>
      <c r="AD36" s="235">
        <f t="shared" si="29"/>
        <v>0</v>
      </c>
      <c r="AE36" s="235">
        <f t="shared" si="30"/>
        <v>0</v>
      </c>
      <c r="AF36" s="235"/>
      <c r="AG36" s="236">
        <f t="shared" si="31"/>
        <v>380.22</v>
      </c>
      <c r="AH36" s="236">
        <f t="shared" si="32"/>
        <v>126.74000000000001</v>
      </c>
      <c r="AI36" s="236">
        <f t="shared" si="33"/>
        <v>633.7</v>
      </c>
      <c r="AJ36" s="236">
        <v>0</v>
      </c>
      <c r="AK36" s="236">
        <f t="shared" si="34"/>
        <v>621.0260000000001</v>
      </c>
      <c r="AL36" s="236">
        <v>0</v>
      </c>
      <c r="AM36" s="236">
        <f t="shared" si="35"/>
        <v>1425.825</v>
      </c>
      <c r="AN36" s="236">
        <v>0</v>
      </c>
      <c r="AO36" s="236"/>
      <c r="AP36" s="236"/>
      <c r="AQ36" s="237"/>
      <c r="AR36" s="237"/>
      <c r="AS36" s="238"/>
      <c r="AT36" s="238"/>
      <c r="AU36" s="238">
        <f t="shared" si="36"/>
        <v>0</v>
      </c>
      <c r="AV36" s="239">
        <v>248</v>
      </c>
      <c r="AW36" s="240">
        <v>0.3</v>
      </c>
      <c r="AX36" s="236">
        <f t="shared" si="37"/>
        <v>104.15999999999998</v>
      </c>
      <c r="AY36" s="241"/>
      <c r="AZ36" s="242"/>
      <c r="BA36" s="242">
        <f t="shared" si="38"/>
        <v>0</v>
      </c>
      <c r="BB36" s="242">
        <f t="shared" si="39"/>
        <v>3291.6710000000003</v>
      </c>
      <c r="BC36" s="243"/>
      <c r="BD36" s="18"/>
      <c r="BE36" s="219">
        <f t="shared" si="40"/>
        <v>2582.214</v>
      </c>
      <c r="BF36" s="143">
        <f t="shared" si="41"/>
        <v>392.3799999999992</v>
      </c>
    </row>
    <row r="37" spans="1:58" ht="12.75">
      <c r="A37" s="14" t="s">
        <v>50</v>
      </c>
      <c r="B37" s="226">
        <v>633.7</v>
      </c>
      <c r="C37" s="227">
        <f t="shared" si="24"/>
        <v>5481.505000000001</v>
      </c>
      <c r="D37" s="228">
        <f t="shared" si="25"/>
        <v>351.3150000000006</v>
      </c>
      <c r="E37" s="245">
        <v>592.37</v>
      </c>
      <c r="F37" s="229">
        <v>0</v>
      </c>
      <c r="G37" s="229">
        <v>801.76</v>
      </c>
      <c r="H37" s="229">
        <v>0</v>
      </c>
      <c r="I37" s="229">
        <v>1927.26</v>
      </c>
      <c r="J37" s="229">
        <v>0</v>
      </c>
      <c r="K37" s="229">
        <v>1334.9</v>
      </c>
      <c r="L37" s="229">
        <v>0</v>
      </c>
      <c r="M37" s="230">
        <v>473.9</v>
      </c>
      <c r="N37" s="231">
        <v>0</v>
      </c>
      <c r="O37" s="232">
        <v>0</v>
      </c>
      <c r="P37" s="232">
        <v>0</v>
      </c>
      <c r="Q37" s="232"/>
      <c r="R37" s="232"/>
      <c r="S37" s="229">
        <f t="shared" si="26"/>
        <v>5130.1900000000005</v>
      </c>
      <c r="T37" s="233">
        <f t="shared" si="27"/>
        <v>0</v>
      </c>
      <c r="U37" s="247">
        <v>666.63</v>
      </c>
      <c r="V37" s="247">
        <v>901.85</v>
      </c>
      <c r="W37" s="247">
        <v>2168.42</v>
      </c>
      <c r="X37" s="247">
        <v>1501.81</v>
      </c>
      <c r="Y37" s="247">
        <v>533.29</v>
      </c>
      <c r="Z37" s="247">
        <v>0</v>
      </c>
      <c r="AA37" s="248">
        <v>0</v>
      </c>
      <c r="AB37" s="232">
        <f t="shared" si="42"/>
        <v>5772</v>
      </c>
      <c r="AC37" s="234">
        <f t="shared" si="28"/>
        <v>6123.3150000000005</v>
      </c>
      <c r="AD37" s="235">
        <f t="shared" si="29"/>
        <v>0</v>
      </c>
      <c r="AE37" s="235">
        <f t="shared" si="30"/>
        <v>0</v>
      </c>
      <c r="AF37" s="235"/>
      <c r="AG37" s="236">
        <f t="shared" si="31"/>
        <v>380.22</v>
      </c>
      <c r="AH37" s="236">
        <f t="shared" si="32"/>
        <v>126.74000000000001</v>
      </c>
      <c r="AI37" s="236">
        <f t="shared" si="33"/>
        <v>633.7</v>
      </c>
      <c r="AJ37" s="236">
        <v>0</v>
      </c>
      <c r="AK37" s="236">
        <f t="shared" si="34"/>
        <v>621.0260000000001</v>
      </c>
      <c r="AL37" s="236">
        <v>0</v>
      </c>
      <c r="AM37" s="236">
        <f t="shared" si="35"/>
        <v>1425.825</v>
      </c>
      <c r="AN37" s="236">
        <v>0</v>
      </c>
      <c r="AO37" s="236"/>
      <c r="AP37" s="236"/>
      <c r="AQ37" s="237"/>
      <c r="AR37" s="237"/>
      <c r="AS37" s="238"/>
      <c r="AT37" s="238">
        <f>47.8</f>
        <v>47.8</v>
      </c>
      <c r="AU37" s="238">
        <v>0</v>
      </c>
      <c r="AV37" s="239">
        <v>293</v>
      </c>
      <c r="AW37" s="240">
        <v>0.3</v>
      </c>
      <c r="AX37" s="236">
        <f t="shared" si="37"/>
        <v>123.05999999999997</v>
      </c>
      <c r="AY37" s="241"/>
      <c r="AZ37" s="242"/>
      <c r="BA37" s="242">
        <f t="shared" si="38"/>
        <v>0</v>
      </c>
      <c r="BB37" s="242">
        <f t="shared" si="39"/>
        <v>3358.3710000000005</v>
      </c>
      <c r="BC37" s="243"/>
      <c r="BD37" s="18"/>
      <c r="BE37" s="219">
        <f t="shared" si="40"/>
        <v>2764.944</v>
      </c>
      <c r="BF37" s="143">
        <f t="shared" si="41"/>
        <v>641.8099999999995</v>
      </c>
    </row>
    <row r="38" spans="1:58" ht="13.5" thickBot="1">
      <c r="A38" s="169" t="s">
        <v>51</v>
      </c>
      <c r="B38" s="226">
        <v>633.7</v>
      </c>
      <c r="C38" s="227">
        <f t="shared" si="24"/>
        <v>5481.505000000001</v>
      </c>
      <c r="D38" s="228">
        <f t="shared" si="25"/>
        <v>343.91500000000144</v>
      </c>
      <c r="E38" s="229">
        <v>593.24</v>
      </c>
      <c r="F38" s="229">
        <v>0</v>
      </c>
      <c r="G38" s="229">
        <v>802.89</v>
      </c>
      <c r="H38" s="229">
        <v>0</v>
      </c>
      <c r="I38" s="229">
        <v>1930.04</v>
      </c>
      <c r="J38" s="229">
        <v>0</v>
      </c>
      <c r="K38" s="229">
        <v>1336.82</v>
      </c>
      <c r="L38" s="229">
        <v>0</v>
      </c>
      <c r="M38" s="230">
        <v>474.6</v>
      </c>
      <c r="N38" s="231">
        <v>0</v>
      </c>
      <c r="O38" s="232">
        <v>0</v>
      </c>
      <c r="P38" s="232">
        <v>0</v>
      </c>
      <c r="Q38" s="232"/>
      <c r="R38" s="232"/>
      <c r="S38" s="229">
        <f t="shared" si="26"/>
        <v>5137.59</v>
      </c>
      <c r="T38" s="233">
        <f t="shared" si="27"/>
        <v>0</v>
      </c>
      <c r="U38" s="229">
        <v>603.28</v>
      </c>
      <c r="V38" s="229">
        <v>816.32</v>
      </c>
      <c r="W38" s="229">
        <v>1962.6</v>
      </c>
      <c r="X38" s="229">
        <v>1359.31</v>
      </c>
      <c r="Y38" s="229">
        <v>482.64</v>
      </c>
      <c r="Z38" s="229">
        <v>0</v>
      </c>
      <c r="AA38" s="232">
        <v>0</v>
      </c>
      <c r="AB38" s="232">
        <f t="shared" si="42"/>
        <v>5224.150000000001</v>
      </c>
      <c r="AC38" s="234">
        <f t="shared" si="28"/>
        <v>5568.065000000002</v>
      </c>
      <c r="AD38" s="235">
        <f t="shared" si="29"/>
        <v>0</v>
      </c>
      <c r="AE38" s="235">
        <f t="shared" si="30"/>
        <v>0</v>
      </c>
      <c r="AF38" s="235"/>
      <c r="AG38" s="236">
        <f t="shared" si="31"/>
        <v>380.22</v>
      </c>
      <c r="AH38" s="236">
        <f t="shared" si="32"/>
        <v>126.74000000000001</v>
      </c>
      <c r="AI38" s="236">
        <f t="shared" si="33"/>
        <v>633.7</v>
      </c>
      <c r="AJ38" s="236">
        <v>0</v>
      </c>
      <c r="AK38" s="236">
        <f t="shared" si="34"/>
        <v>621.0260000000001</v>
      </c>
      <c r="AL38" s="236">
        <v>0</v>
      </c>
      <c r="AM38" s="236">
        <f t="shared" si="35"/>
        <v>1425.825</v>
      </c>
      <c r="AN38" s="236">
        <v>0</v>
      </c>
      <c r="AO38" s="236"/>
      <c r="AP38" s="236"/>
      <c r="AQ38" s="237"/>
      <c r="AR38" s="237"/>
      <c r="AS38" s="238"/>
      <c r="AT38" s="238"/>
      <c r="AU38" s="249">
        <f t="shared" si="36"/>
        <v>0</v>
      </c>
      <c r="AV38" s="239">
        <v>349</v>
      </c>
      <c r="AW38" s="240">
        <v>0.3</v>
      </c>
      <c r="AX38" s="236">
        <f t="shared" si="37"/>
        <v>146.57999999999998</v>
      </c>
      <c r="AY38" s="241"/>
      <c r="AZ38" s="242"/>
      <c r="BA38" s="242">
        <f t="shared" si="38"/>
        <v>0</v>
      </c>
      <c r="BB38" s="242">
        <f t="shared" si="39"/>
        <v>3334.0910000000003</v>
      </c>
      <c r="BC38" s="243"/>
      <c r="BD38" s="98"/>
      <c r="BE38" s="219">
        <f t="shared" si="40"/>
        <v>2233.974000000002</v>
      </c>
      <c r="BF38" s="143">
        <f t="shared" si="41"/>
        <v>86.5600000000004</v>
      </c>
    </row>
    <row r="39" spans="1:58" ht="12.75">
      <c r="A39" s="168" t="s">
        <v>39</v>
      </c>
      <c r="B39" s="226">
        <v>633.7</v>
      </c>
      <c r="C39" s="227">
        <f t="shared" si="24"/>
        <v>5481.505000000001</v>
      </c>
      <c r="D39" s="228">
        <f t="shared" si="25"/>
        <v>343.66500000000076</v>
      </c>
      <c r="E39" s="250">
        <v>593.27</v>
      </c>
      <c r="F39" s="250">
        <v>0</v>
      </c>
      <c r="G39" s="250">
        <v>802.93</v>
      </c>
      <c r="H39" s="250">
        <v>0</v>
      </c>
      <c r="I39" s="250">
        <v>1930.14</v>
      </c>
      <c r="J39" s="250">
        <v>0</v>
      </c>
      <c r="K39" s="250">
        <v>1336.88</v>
      </c>
      <c r="L39" s="250">
        <v>0</v>
      </c>
      <c r="M39" s="251">
        <v>474.62</v>
      </c>
      <c r="N39" s="252">
        <v>0</v>
      </c>
      <c r="O39" s="253">
        <v>0</v>
      </c>
      <c r="P39" s="253">
        <v>0</v>
      </c>
      <c r="Q39" s="253"/>
      <c r="R39" s="253"/>
      <c r="S39" s="229">
        <f t="shared" si="26"/>
        <v>5137.84</v>
      </c>
      <c r="T39" s="233">
        <f t="shared" si="27"/>
        <v>0</v>
      </c>
      <c r="U39" s="229">
        <v>595.72</v>
      </c>
      <c r="V39" s="229">
        <v>806.39</v>
      </c>
      <c r="W39" s="229">
        <v>1938.21</v>
      </c>
      <c r="X39" s="229">
        <v>1342.57</v>
      </c>
      <c r="Y39" s="229">
        <v>476.56</v>
      </c>
      <c r="Z39" s="229">
        <v>0</v>
      </c>
      <c r="AA39" s="232">
        <v>0</v>
      </c>
      <c r="AB39" s="232">
        <f t="shared" si="42"/>
        <v>5159.450000000001</v>
      </c>
      <c r="AC39" s="234">
        <f t="shared" si="28"/>
        <v>5503.115000000002</v>
      </c>
      <c r="AD39" s="235">
        <f t="shared" si="29"/>
        <v>0</v>
      </c>
      <c r="AE39" s="235">
        <f t="shared" si="30"/>
        <v>0</v>
      </c>
      <c r="AF39" s="235"/>
      <c r="AG39" s="236">
        <f t="shared" si="31"/>
        <v>380.22</v>
      </c>
      <c r="AH39" s="236">
        <f t="shared" si="32"/>
        <v>126.74000000000001</v>
      </c>
      <c r="AI39" s="236">
        <f t="shared" si="33"/>
        <v>633.7</v>
      </c>
      <c r="AJ39" s="236">
        <v>0</v>
      </c>
      <c r="AK39" s="236">
        <f t="shared" si="34"/>
        <v>621.0260000000001</v>
      </c>
      <c r="AL39" s="236">
        <v>0</v>
      </c>
      <c r="AM39" s="236">
        <f t="shared" si="35"/>
        <v>1425.825</v>
      </c>
      <c r="AN39" s="236">
        <v>0</v>
      </c>
      <c r="AO39" s="236"/>
      <c r="AP39" s="236"/>
      <c r="AQ39" s="237"/>
      <c r="AR39" s="237"/>
      <c r="AS39" s="238"/>
      <c r="AT39" s="238"/>
      <c r="AU39" s="238">
        <f t="shared" si="36"/>
        <v>0</v>
      </c>
      <c r="AV39" s="239">
        <v>425</v>
      </c>
      <c r="AW39" s="240">
        <v>0.3</v>
      </c>
      <c r="AX39" s="236">
        <f t="shared" si="37"/>
        <v>178.5</v>
      </c>
      <c r="AY39" s="241"/>
      <c r="AZ39" s="242"/>
      <c r="BA39" s="242">
        <f t="shared" si="38"/>
        <v>0</v>
      </c>
      <c r="BB39" s="242">
        <f t="shared" si="39"/>
        <v>3366.0110000000004</v>
      </c>
      <c r="BC39" s="243"/>
      <c r="BD39" s="110"/>
      <c r="BE39" s="219">
        <f t="shared" si="40"/>
        <v>2137.104000000001</v>
      </c>
      <c r="BF39" s="143">
        <f t="shared" si="41"/>
        <v>21.610000000000582</v>
      </c>
    </row>
    <row r="40" spans="1:58" ht="12.75">
      <c r="A40" s="14" t="s">
        <v>40</v>
      </c>
      <c r="B40" s="226">
        <v>633.7</v>
      </c>
      <c r="C40" s="227">
        <f t="shared" si="24"/>
        <v>5481.505000000001</v>
      </c>
      <c r="D40" s="228">
        <f t="shared" si="25"/>
        <v>343.66500000000076</v>
      </c>
      <c r="E40" s="229">
        <v>593.27</v>
      </c>
      <c r="F40" s="229">
        <v>0</v>
      </c>
      <c r="G40" s="229">
        <v>802.93</v>
      </c>
      <c r="H40" s="229">
        <v>0</v>
      </c>
      <c r="I40" s="229">
        <v>1930.14</v>
      </c>
      <c r="J40" s="229">
        <v>0</v>
      </c>
      <c r="K40" s="229">
        <v>1336.88</v>
      </c>
      <c r="L40" s="229">
        <v>0</v>
      </c>
      <c r="M40" s="230">
        <v>474.62</v>
      </c>
      <c r="N40" s="231">
        <v>0</v>
      </c>
      <c r="O40" s="232">
        <v>0</v>
      </c>
      <c r="P40" s="232">
        <v>0</v>
      </c>
      <c r="Q40" s="232"/>
      <c r="R40" s="232"/>
      <c r="S40" s="229">
        <f t="shared" si="26"/>
        <v>5137.84</v>
      </c>
      <c r="T40" s="233">
        <f t="shared" si="27"/>
        <v>0</v>
      </c>
      <c r="U40" s="245">
        <v>515.43</v>
      </c>
      <c r="V40" s="229">
        <v>697.82</v>
      </c>
      <c r="W40" s="229">
        <v>1677.15</v>
      </c>
      <c r="X40" s="229">
        <v>1161.69</v>
      </c>
      <c r="Y40" s="229">
        <v>412.37</v>
      </c>
      <c r="Z40" s="229">
        <v>0</v>
      </c>
      <c r="AA40" s="232">
        <v>0</v>
      </c>
      <c r="AB40" s="232">
        <f t="shared" si="42"/>
        <v>4464.46</v>
      </c>
      <c r="AC40" s="234">
        <f t="shared" si="28"/>
        <v>4808.125000000001</v>
      </c>
      <c r="AD40" s="235">
        <f t="shared" si="29"/>
        <v>0</v>
      </c>
      <c r="AE40" s="235">
        <f t="shared" si="30"/>
        <v>0</v>
      </c>
      <c r="AF40" s="235"/>
      <c r="AG40" s="236">
        <f t="shared" si="31"/>
        <v>380.22</v>
      </c>
      <c r="AH40" s="236">
        <f t="shared" si="32"/>
        <v>126.74000000000001</v>
      </c>
      <c r="AI40" s="236">
        <f t="shared" si="33"/>
        <v>633.7</v>
      </c>
      <c r="AJ40" s="236">
        <v>0</v>
      </c>
      <c r="AK40" s="236">
        <f t="shared" si="34"/>
        <v>621.0260000000001</v>
      </c>
      <c r="AL40" s="236">
        <v>0</v>
      </c>
      <c r="AM40" s="236">
        <f t="shared" si="35"/>
        <v>1425.825</v>
      </c>
      <c r="AN40" s="236">
        <v>0</v>
      </c>
      <c r="AO40" s="236"/>
      <c r="AP40" s="236"/>
      <c r="AQ40" s="237"/>
      <c r="AR40" s="237"/>
      <c r="AS40" s="238"/>
      <c r="AT40" s="238">
        <v>10000</v>
      </c>
      <c r="AU40" s="238">
        <f>0*0.18</f>
        <v>0</v>
      </c>
      <c r="AV40" s="239">
        <v>470</v>
      </c>
      <c r="AW40" s="240">
        <v>0.3</v>
      </c>
      <c r="AX40" s="236">
        <f t="shared" si="37"/>
        <v>197.39999999999998</v>
      </c>
      <c r="AY40" s="241"/>
      <c r="AZ40" s="242"/>
      <c r="BA40" s="242">
        <f t="shared" si="38"/>
        <v>0</v>
      </c>
      <c r="BB40" s="242">
        <f t="shared" si="39"/>
        <v>13384.911</v>
      </c>
      <c r="BC40" s="243"/>
      <c r="BD40" s="55"/>
      <c r="BE40" s="219">
        <f t="shared" si="40"/>
        <v>-8576.786</v>
      </c>
      <c r="BF40" s="143">
        <f t="shared" si="41"/>
        <v>-673.3800000000001</v>
      </c>
    </row>
    <row r="41" spans="1:58" s="144" customFormat="1" ht="12.75">
      <c r="A41" s="145" t="s">
        <v>41</v>
      </c>
      <c r="B41" s="226">
        <v>633.7</v>
      </c>
      <c r="C41" s="227">
        <f t="shared" si="24"/>
        <v>5481.505000000001</v>
      </c>
      <c r="D41" s="228">
        <f t="shared" si="25"/>
        <v>343.66500000000076</v>
      </c>
      <c r="E41" s="229">
        <v>593.27</v>
      </c>
      <c r="F41" s="229">
        <v>0</v>
      </c>
      <c r="G41" s="229">
        <v>802.93</v>
      </c>
      <c r="H41" s="229">
        <v>0</v>
      </c>
      <c r="I41" s="229">
        <v>1930.14</v>
      </c>
      <c r="J41" s="229">
        <v>0</v>
      </c>
      <c r="K41" s="229">
        <v>1336.88</v>
      </c>
      <c r="L41" s="229">
        <v>0</v>
      </c>
      <c r="M41" s="230">
        <v>474.62</v>
      </c>
      <c r="N41" s="231">
        <v>0</v>
      </c>
      <c r="O41" s="232">
        <v>0</v>
      </c>
      <c r="P41" s="232">
        <v>0</v>
      </c>
      <c r="Q41" s="232"/>
      <c r="R41" s="232"/>
      <c r="S41" s="229">
        <f t="shared" si="26"/>
        <v>5137.84</v>
      </c>
      <c r="T41" s="233">
        <f t="shared" si="27"/>
        <v>0</v>
      </c>
      <c r="U41" s="229">
        <v>990.07</v>
      </c>
      <c r="V41" s="229">
        <v>1338.98</v>
      </c>
      <c r="W41" s="229">
        <v>3220.08</v>
      </c>
      <c r="X41" s="229">
        <v>2230.06</v>
      </c>
      <c r="Y41" s="229">
        <v>792.05</v>
      </c>
      <c r="Z41" s="229">
        <v>0</v>
      </c>
      <c r="AA41" s="232">
        <v>0</v>
      </c>
      <c r="AB41" s="232">
        <f t="shared" si="42"/>
        <v>8571.24</v>
      </c>
      <c r="AC41" s="234">
        <f t="shared" si="28"/>
        <v>8914.905</v>
      </c>
      <c r="AD41" s="235">
        <f t="shared" si="29"/>
        <v>0</v>
      </c>
      <c r="AE41" s="235">
        <f t="shared" si="30"/>
        <v>0</v>
      </c>
      <c r="AF41" s="235"/>
      <c r="AG41" s="236">
        <f t="shared" si="31"/>
        <v>380.22</v>
      </c>
      <c r="AH41" s="236">
        <f t="shared" si="32"/>
        <v>126.74000000000001</v>
      </c>
      <c r="AI41" s="236">
        <f t="shared" si="33"/>
        <v>633.7</v>
      </c>
      <c r="AJ41" s="236">
        <v>0</v>
      </c>
      <c r="AK41" s="236">
        <f t="shared" si="34"/>
        <v>621.0260000000001</v>
      </c>
      <c r="AL41" s="236">
        <v>0</v>
      </c>
      <c r="AM41" s="236">
        <f t="shared" si="35"/>
        <v>1425.825</v>
      </c>
      <c r="AN41" s="236">
        <v>0</v>
      </c>
      <c r="AO41" s="236"/>
      <c r="AP41" s="236"/>
      <c r="AQ41" s="237"/>
      <c r="AR41" s="237"/>
      <c r="AS41" s="238"/>
      <c r="AT41" s="238"/>
      <c r="AU41" s="238">
        <f>AT41*0.18</f>
        <v>0</v>
      </c>
      <c r="AV41" s="239">
        <v>514</v>
      </c>
      <c r="AW41" s="240">
        <v>0.3</v>
      </c>
      <c r="AX41" s="236">
        <f t="shared" si="37"/>
        <v>215.87999999999997</v>
      </c>
      <c r="AY41" s="241"/>
      <c r="AZ41" s="242"/>
      <c r="BA41" s="242">
        <f t="shared" si="38"/>
        <v>0</v>
      </c>
      <c r="BB41" s="242">
        <f t="shared" si="39"/>
        <v>3403.3910000000005</v>
      </c>
      <c r="BC41" s="243"/>
      <c r="BD41" s="77"/>
      <c r="BE41" s="219">
        <f t="shared" si="40"/>
        <v>5511.514</v>
      </c>
      <c r="BF41" s="143">
        <f>AB41-S41</f>
        <v>3433.3999999999996</v>
      </c>
    </row>
    <row r="42" spans="1:58" s="24" customFormat="1" ht="12.75">
      <c r="A42" s="19" t="s">
        <v>3</v>
      </c>
      <c r="B42" s="20"/>
      <c r="C42" s="20">
        <f>SUM(C30:C41)</f>
        <v>65750.38000000003</v>
      </c>
      <c r="D42" s="20">
        <f aca="true" t="shared" si="43" ref="D42:BF42">SUM(D30:D41)</f>
        <v>4201.3500000000095</v>
      </c>
      <c r="E42" s="20">
        <f t="shared" si="43"/>
        <v>6576.140000000001</v>
      </c>
      <c r="F42" s="20">
        <f t="shared" si="43"/>
        <v>530.77</v>
      </c>
      <c r="G42" s="20">
        <f t="shared" si="43"/>
        <v>8899.610000000002</v>
      </c>
      <c r="H42" s="20">
        <f t="shared" si="43"/>
        <v>719.4300000000001</v>
      </c>
      <c r="I42" s="20">
        <f t="shared" si="43"/>
        <v>21394.34</v>
      </c>
      <c r="J42" s="20">
        <f t="shared" si="43"/>
        <v>1727.8200000000002</v>
      </c>
      <c r="K42" s="20">
        <f t="shared" si="43"/>
        <v>14818.220000000001</v>
      </c>
      <c r="L42" s="20">
        <f t="shared" si="43"/>
        <v>1197.1200000000001</v>
      </c>
      <c r="M42" s="20">
        <f t="shared" si="43"/>
        <v>5261</v>
      </c>
      <c r="N42" s="20">
        <f t="shared" si="43"/>
        <v>424.58000000000004</v>
      </c>
      <c r="O42" s="20">
        <f t="shared" si="43"/>
        <v>0</v>
      </c>
      <c r="P42" s="20">
        <f t="shared" si="43"/>
        <v>0</v>
      </c>
      <c r="Q42" s="20">
        <f t="shared" si="43"/>
        <v>0</v>
      </c>
      <c r="R42" s="20">
        <f t="shared" si="43"/>
        <v>0</v>
      </c>
      <c r="S42" s="20">
        <f t="shared" si="43"/>
        <v>56949.31</v>
      </c>
      <c r="T42" s="20">
        <f t="shared" si="43"/>
        <v>4599.72</v>
      </c>
      <c r="U42" s="20">
        <f t="shared" si="43"/>
        <v>6575.31</v>
      </c>
      <c r="V42" s="20">
        <f t="shared" si="43"/>
        <v>8897.26</v>
      </c>
      <c r="W42" s="20">
        <f t="shared" si="43"/>
        <v>21390.440000000002</v>
      </c>
      <c r="X42" s="20">
        <f t="shared" si="43"/>
        <v>14815.06</v>
      </c>
      <c r="Y42" s="20">
        <f t="shared" si="43"/>
        <v>5260.35</v>
      </c>
      <c r="Z42" s="20">
        <f t="shared" si="43"/>
        <v>0</v>
      </c>
      <c r="AA42" s="20">
        <f t="shared" si="43"/>
        <v>0</v>
      </c>
      <c r="AB42" s="20">
        <f t="shared" si="43"/>
        <v>56938.42</v>
      </c>
      <c r="AC42" s="20">
        <f t="shared" si="43"/>
        <v>65739.49</v>
      </c>
      <c r="AD42" s="20">
        <f t="shared" si="43"/>
        <v>0</v>
      </c>
      <c r="AE42" s="20">
        <f t="shared" si="43"/>
        <v>0</v>
      </c>
      <c r="AF42" s="20">
        <f t="shared" si="43"/>
        <v>0</v>
      </c>
      <c r="AG42" s="20">
        <f t="shared" si="43"/>
        <v>4560.720000000001</v>
      </c>
      <c r="AH42" s="20">
        <f t="shared" si="43"/>
        <v>1520.24</v>
      </c>
      <c r="AI42" s="20">
        <f t="shared" si="43"/>
        <v>7601.199999999999</v>
      </c>
      <c r="AJ42" s="20">
        <f t="shared" si="43"/>
        <v>0</v>
      </c>
      <c r="AK42" s="20">
        <f t="shared" si="43"/>
        <v>7449.175999999999</v>
      </c>
      <c r="AL42" s="20">
        <f t="shared" si="43"/>
        <v>0</v>
      </c>
      <c r="AM42" s="20">
        <f t="shared" si="43"/>
        <v>17102.700000000004</v>
      </c>
      <c r="AN42" s="20">
        <f t="shared" si="43"/>
        <v>0</v>
      </c>
      <c r="AO42" s="20">
        <f t="shared" si="43"/>
        <v>0</v>
      </c>
      <c r="AP42" s="20">
        <f t="shared" si="43"/>
        <v>0</v>
      </c>
      <c r="AQ42" s="192">
        <f t="shared" si="43"/>
        <v>0</v>
      </c>
      <c r="AR42" s="192">
        <f t="shared" si="43"/>
        <v>0</v>
      </c>
      <c r="AS42" s="21">
        <f t="shared" si="43"/>
        <v>491</v>
      </c>
      <c r="AT42" s="21">
        <f t="shared" si="43"/>
        <v>10047.8</v>
      </c>
      <c r="AU42" s="21">
        <f t="shared" si="43"/>
        <v>0</v>
      </c>
      <c r="AV42" s="20">
        <f t="shared" si="43"/>
        <v>4400</v>
      </c>
      <c r="AW42" s="20">
        <f t="shared" si="43"/>
        <v>3.599999999999999</v>
      </c>
      <c r="AX42" s="20">
        <f t="shared" si="43"/>
        <v>1847.9999999999998</v>
      </c>
      <c r="AY42" s="20">
        <f t="shared" si="43"/>
        <v>0</v>
      </c>
      <c r="AZ42" s="20">
        <f t="shared" si="43"/>
        <v>0</v>
      </c>
      <c r="BA42" s="20">
        <f t="shared" si="43"/>
        <v>0</v>
      </c>
      <c r="BB42" s="20">
        <f t="shared" si="43"/>
        <v>50620.836</v>
      </c>
      <c r="BC42" s="20">
        <f t="shared" si="43"/>
        <v>0</v>
      </c>
      <c r="BD42" s="20">
        <f t="shared" si="43"/>
        <v>0</v>
      </c>
      <c r="BE42" s="20">
        <f t="shared" si="43"/>
        <v>15118.654000000006</v>
      </c>
      <c r="BF42" s="188">
        <f t="shared" si="43"/>
        <v>-10.89000000000351</v>
      </c>
    </row>
    <row r="43" spans="1:58" s="24" customFormat="1" ht="12.75">
      <c r="A43" s="19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22"/>
      <c r="W43" s="22"/>
      <c r="X43" s="22"/>
      <c r="Y43" s="22"/>
      <c r="Z43" s="22"/>
      <c r="AA43" s="22"/>
      <c r="AB43" s="22"/>
      <c r="AC43" s="22"/>
      <c r="AD43" s="100"/>
      <c r="AE43" s="100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74"/>
      <c r="AQ43" s="193"/>
      <c r="AR43" s="193"/>
      <c r="AS43" s="74"/>
      <c r="AT43" s="74"/>
      <c r="AU43" s="74"/>
      <c r="AV43" s="23"/>
      <c r="AW43" s="23"/>
      <c r="AX43" s="80"/>
      <c r="AY43" s="53"/>
      <c r="AZ43" s="53"/>
      <c r="BA43" s="53"/>
      <c r="BB43" s="53"/>
      <c r="BC43" s="53"/>
      <c r="BD43" s="53"/>
      <c r="BE43" s="53"/>
      <c r="BF43" s="189"/>
    </row>
    <row r="44" spans="1:58" s="24" customFormat="1" ht="13.5" thickBot="1">
      <c r="A44" s="27" t="s">
        <v>52</v>
      </c>
      <c r="B44" s="28"/>
      <c r="C44" s="28">
        <f>C28+C42</f>
        <v>147869.15500000003</v>
      </c>
      <c r="D44" s="28">
        <f aca="true" t="shared" si="44" ref="D44:AI44">D28+D42</f>
        <v>13729.795074350013</v>
      </c>
      <c r="E44" s="28">
        <f t="shared" si="44"/>
        <v>13632.92</v>
      </c>
      <c r="F44" s="28">
        <f t="shared" si="44"/>
        <v>1855.02</v>
      </c>
      <c r="G44" s="28">
        <f t="shared" si="44"/>
        <v>18439.4</v>
      </c>
      <c r="H44" s="28">
        <f t="shared" si="44"/>
        <v>2510.9699999999993</v>
      </c>
      <c r="I44" s="28">
        <f t="shared" si="44"/>
        <v>44342.03</v>
      </c>
      <c r="J44" s="28">
        <f t="shared" si="44"/>
        <v>6035.32</v>
      </c>
      <c r="K44" s="28">
        <f t="shared" si="44"/>
        <v>30709.100000000006</v>
      </c>
      <c r="L44" s="28">
        <f t="shared" si="44"/>
        <v>4180.55</v>
      </c>
      <c r="M44" s="28">
        <f t="shared" si="44"/>
        <v>10906.42</v>
      </c>
      <c r="N44" s="28">
        <f t="shared" si="44"/>
        <v>1483.9300000000003</v>
      </c>
      <c r="O44" s="28">
        <f t="shared" si="44"/>
        <v>0</v>
      </c>
      <c r="P44" s="28">
        <f t="shared" si="44"/>
        <v>0</v>
      </c>
      <c r="Q44" s="28">
        <f t="shared" si="44"/>
        <v>0</v>
      </c>
      <c r="R44" s="28">
        <f t="shared" si="44"/>
        <v>0</v>
      </c>
      <c r="S44" s="28">
        <f t="shared" si="44"/>
        <v>118029.87</v>
      </c>
      <c r="T44" s="28">
        <f t="shared" si="44"/>
        <v>16065.79</v>
      </c>
      <c r="U44" s="28">
        <f t="shared" si="44"/>
        <v>13231.46</v>
      </c>
      <c r="V44" s="28">
        <f t="shared" si="44"/>
        <v>17894.17</v>
      </c>
      <c r="W44" s="28">
        <f t="shared" si="44"/>
        <v>43034.03</v>
      </c>
      <c r="X44" s="28">
        <f t="shared" si="44"/>
        <v>29802.47</v>
      </c>
      <c r="Y44" s="28">
        <f t="shared" si="44"/>
        <v>10585.26</v>
      </c>
      <c r="Z44" s="28">
        <f t="shared" si="44"/>
        <v>0</v>
      </c>
      <c r="AA44" s="28">
        <f t="shared" si="44"/>
        <v>0</v>
      </c>
      <c r="AB44" s="28">
        <f t="shared" si="44"/>
        <v>114547.39</v>
      </c>
      <c r="AC44" s="28">
        <f t="shared" si="44"/>
        <v>144342.97507435002</v>
      </c>
      <c r="AD44" s="28">
        <f t="shared" si="44"/>
        <v>0</v>
      </c>
      <c r="AE44" s="28">
        <f t="shared" si="44"/>
        <v>0</v>
      </c>
      <c r="AF44" s="28">
        <f t="shared" si="44"/>
        <v>0</v>
      </c>
      <c r="AG44" s="28">
        <f t="shared" si="44"/>
        <v>10104.923999999999</v>
      </c>
      <c r="AH44" s="28">
        <f t="shared" si="44"/>
        <v>3385.9735047999993</v>
      </c>
      <c r="AI44" s="28">
        <f t="shared" si="44"/>
        <v>15375.234684749998</v>
      </c>
      <c r="AJ44" s="28">
        <f aca="true" t="shared" si="45" ref="AJ44:BF44">AJ28+AJ42</f>
        <v>1399.3262432549998</v>
      </c>
      <c r="AK44" s="28">
        <f t="shared" si="45"/>
        <v>15315.268268549997</v>
      </c>
      <c r="AL44" s="28">
        <f t="shared" si="45"/>
        <v>1415.8966083389996</v>
      </c>
      <c r="AM44" s="28">
        <f t="shared" si="45"/>
        <v>34328.708888927635</v>
      </c>
      <c r="AN44" s="28">
        <f t="shared" si="45"/>
        <v>3100.681600006972</v>
      </c>
      <c r="AO44" s="28">
        <f t="shared" si="45"/>
        <v>0</v>
      </c>
      <c r="AP44" s="28">
        <f t="shared" si="45"/>
        <v>0</v>
      </c>
      <c r="AQ44" s="196">
        <f t="shared" si="45"/>
        <v>0</v>
      </c>
      <c r="AR44" s="196">
        <f t="shared" si="45"/>
        <v>0</v>
      </c>
      <c r="AS44" s="195">
        <f t="shared" si="45"/>
        <v>1248</v>
      </c>
      <c r="AT44" s="195">
        <f t="shared" si="45"/>
        <v>10047.8</v>
      </c>
      <c r="AU44" s="195">
        <f t="shared" si="45"/>
        <v>136.26</v>
      </c>
      <c r="AV44" s="28">
        <f t="shared" si="45"/>
        <v>8800</v>
      </c>
      <c r="AW44" s="28">
        <f t="shared" si="45"/>
        <v>7.199999999999998</v>
      </c>
      <c r="AX44" s="28">
        <f t="shared" si="45"/>
        <v>3592.5119999999997</v>
      </c>
      <c r="AY44" s="28">
        <f t="shared" si="45"/>
        <v>0</v>
      </c>
      <c r="AZ44" s="28">
        <f t="shared" si="45"/>
        <v>0</v>
      </c>
      <c r="BA44" s="28">
        <f t="shared" si="45"/>
        <v>0</v>
      </c>
      <c r="BB44" s="28">
        <f t="shared" si="45"/>
        <v>99450.5857986286</v>
      </c>
      <c r="BC44" s="28">
        <f t="shared" si="45"/>
        <v>0</v>
      </c>
      <c r="BD44" s="28">
        <f t="shared" si="45"/>
        <v>48829.749798628596</v>
      </c>
      <c r="BE44" s="28">
        <f t="shared" si="45"/>
        <v>44892.38927572142</v>
      </c>
      <c r="BF44" s="28">
        <f t="shared" si="45"/>
        <v>-3482.480000000004</v>
      </c>
    </row>
  </sheetData>
  <sheetProtection/>
  <mergeCells count="67">
    <mergeCell ref="BF3:BF6"/>
    <mergeCell ref="BD4:BD6"/>
    <mergeCell ref="BC3:BD3"/>
    <mergeCell ref="AV5:AX5"/>
    <mergeCell ref="AY5:AY6"/>
    <mergeCell ref="AZ5:AZ6"/>
    <mergeCell ref="BA5:BA6"/>
    <mergeCell ref="BB5:BB6"/>
    <mergeCell ref="N5:N6"/>
    <mergeCell ref="O5:O6"/>
    <mergeCell ref="P5:P6"/>
    <mergeCell ref="E3:F4"/>
    <mergeCell ref="G3:H4"/>
    <mergeCell ref="I3:J4"/>
    <mergeCell ref="K3:L4"/>
    <mergeCell ref="K5:K6"/>
    <mergeCell ref="L5:L6"/>
    <mergeCell ref="A1:N1"/>
    <mergeCell ref="A3:A6"/>
    <mergeCell ref="B3:B6"/>
    <mergeCell ref="C3:C6"/>
    <mergeCell ref="D3:D6"/>
    <mergeCell ref="S3:T4"/>
    <mergeCell ref="M3:N4"/>
    <mergeCell ref="O3:P4"/>
    <mergeCell ref="Q3:R4"/>
    <mergeCell ref="Q5:Q6"/>
    <mergeCell ref="J5:J6"/>
    <mergeCell ref="AG5:AG6"/>
    <mergeCell ref="AH5:AH6"/>
    <mergeCell ref="BE3:BE6"/>
    <mergeCell ref="BC4:BC6"/>
    <mergeCell ref="AF3:AF6"/>
    <mergeCell ref="U3:AB4"/>
    <mergeCell ref="AC3:AC6"/>
    <mergeCell ref="R5:R6"/>
    <mergeCell ref="M5:M6"/>
    <mergeCell ref="AQ5:AQ6"/>
    <mergeCell ref="AS5:AS6"/>
    <mergeCell ref="AT5:AT6"/>
    <mergeCell ref="AK5:AK6"/>
    <mergeCell ref="AL5:AL6"/>
    <mergeCell ref="E5:E6"/>
    <mergeCell ref="F5:F6"/>
    <mergeCell ref="G5:G6"/>
    <mergeCell ref="H5:H6"/>
    <mergeCell ref="I5:I6"/>
    <mergeCell ref="U5:U6"/>
    <mergeCell ref="V5:V6"/>
    <mergeCell ref="W5:W6"/>
    <mergeCell ref="AI5:AI6"/>
    <mergeCell ref="AJ5:AJ6"/>
    <mergeCell ref="AA5:AA6"/>
    <mergeCell ref="AB5:AB6"/>
    <mergeCell ref="AE3:AE6"/>
    <mergeCell ref="AD3:AD6"/>
    <mergeCell ref="AG3:BB4"/>
    <mergeCell ref="AR5:AR6"/>
    <mergeCell ref="AM5:AM6"/>
    <mergeCell ref="AN5:AN6"/>
    <mergeCell ref="AO5:AO6"/>
    <mergeCell ref="AP5:AP6"/>
    <mergeCell ref="S5:S6"/>
    <mergeCell ref="Z5:Z6"/>
    <mergeCell ref="X5:X6"/>
    <mergeCell ref="Y5:Y6"/>
    <mergeCell ref="T5:T6"/>
  </mergeCells>
  <printOptions/>
  <pageMargins left="0.37" right="0.28" top="0.2" bottom="0.16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9">
      <selection activeCell="P47" sqref="P47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375" style="2" customWidth="1"/>
    <col min="15" max="15" width="10.75390625" style="2" customWidth="1"/>
    <col min="16" max="16" width="13.375" style="2" customWidth="1"/>
    <col min="17" max="16384" width="9.125" style="2" customWidth="1"/>
  </cols>
  <sheetData>
    <row r="1" ht="18.75">
      <c r="E1" s="29" t="s">
        <v>53</v>
      </c>
    </row>
    <row r="2" ht="18.75">
      <c r="E2" s="29" t="s">
        <v>54</v>
      </c>
    </row>
    <row r="5" spans="1:15" ht="12.75">
      <c r="A5" s="397" t="s">
        <v>90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</row>
    <row r="6" spans="1:15" ht="12.75">
      <c r="A6" s="420" t="s">
        <v>93</v>
      </c>
      <c r="B6" s="420"/>
      <c r="C6" s="420"/>
      <c r="D6" s="420"/>
      <c r="E6" s="420"/>
      <c r="F6" s="420"/>
      <c r="G6" s="420"/>
      <c r="H6" s="95"/>
      <c r="I6" s="95"/>
      <c r="J6" s="95"/>
      <c r="K6" s="95"/>
      <c r="L6" s="95"/>
      <c r="M6" s="95"/>
      <c r="N6" s="95"/>
      <c r="O6" s="95"/>
    </row>
    <row r="7" spans="1:5" ht="13.5" thickBot="1">
      <c r="A7" s="31" t="s">
        <v>55</v>
      </c>
      <c r="D7" s="4"/>
      <c r="E7" s="31">
        <v>8.65</v>
      </c>
    </row>
    <row r="8" spans="1:16" ht="12.75" customHeight="1">
      <c r="A8" s="398" t="s">
        <v>56</v>
      </c>
      <c r="B8" s="401" t="s">
        <v>0</v>
      </c>
      <c r="C8" s="404" t="s">
        <v>57</v>
      </c>
      <c r="D8" s="407" t="s">
        <v>2</v>
      </c>
      <c r="E8" s="359" t="s">
        <v>58</v>
      </c>
      <c r="F8" s="359"/>
      <c r="G8" s="391" t="s">
        <v>74</v>
      </c>
      <c r="H8" s="392"/>
      <c r="I8" s="411" t="s">
        <v>8</v>
      </c>
      <c r="J8" s="412"/>
      <c r="K8" s="412"/>
      <c r="L8" s="412"/>
      <c r="M8" s="412"/>
      <c r="N8" s="413"/>
      <c r="O8" s="417" t="s">
        <v>59</v>
      </c>
      <c r="P8" s="382" t="s">
        <v>89</v>
      </c>
    </row>
    <row r="9" spans="1:16" ht="12.75">
      <c r="A9" s="399"/>
      <c r="B9" s="402"/>
      <c r="C9" s="405"/>
      <c r="D9" s="408"/>
      <c r="E9" s="410"/>
      <c r="F9" s="410"/>
      <c r="G9" s="393"/>
      <c r="H9" s="394"/>
      <c r="I9" s="414"/>
      <c r="J9" s="415"/>
      <c r="K9" s="415"/>
      <c r="L9" s="415"/>
      <c r="M9" s="415"/>
      <c r="N9" s="416"/>
      <c r="O9" s="418"/>
      <c r="P9" s="383"/>
    </row>
    <row r="10" spans="1:16" ht="26.25" customHeight="1">
      <c r="A10" s="399"/>
      <c r="B10" s="402"/>
      <c r="C10" s="405"/>
      <c r="D10" s="408"/>
      <c r="E10" s="367" t="s">
        <v>60</v>
      </c>
      <c r="F10" s="367"/>
      <c r="G10" s="121" t="s">
        <v>61</v>
      </c>
      <c r="H10" s="385" t="s">
        <v>5</v>
      </c>
      <c r="I10" s="387" t="s">
        <v>62</v>
      </c>
      <c r="J10" s="389" t="s">
        <v>30</v>
      </c>
      <c r="K10" s="389" t="s">
        <v>63</v>
      </c>
      <c r="L10" s="389" t="s">
        <v>35</v>
      </c>
      <c r="M10" s="389" t="s">
        <v>64</v>
      </c>
      <c r="N10" s="395" t="s">
        <v>37</v>
      </c>
      <c r="O10" s="418"/>
      <c r="P10" s="383"/>
    </row>
    <row r="11" spans="1:16" ht="66.75" customHeight="1" thickBot="1">
      <c r="A11" s="400"/>
      <c r="B11" s="403"/>
      <c r="C11" s="406"/>
      <c r="D11" s="409"/>
      <c r="E11" s="200" t="s">
        <v>65</v>
      </c>
      <c r="F11" s="116" t="s">
        <v>19</v>
      </c>
      <c r="G11" s="94" t="s">
        <v>75</v>
      </c>
      <c r="H11" s="386"/>
      <c r="I11" s="388"/>
      <c r="J11" s="390"/>
      <c r="K11" s="390"/>
      <c r="L11" s="390"/>
      <c r="M11" s="390"/>
      <c r="N11" s="396"/>
      <c r="O11" s="419"/>
      <c r="P11" s="384"/>
    </row>
    <row r="12" spans="1:16" ht="13.5" thickBot="1">
      <c r="A12" s="33">
        <v>1</v>
      </c>
      <c r="B12" s="34">
        <v>2</v>
      </c>
      <c r="C12" s="36">
        <v>3</v>
      </c>
      <c r="D12" s="38">
        <v>4</v>
      </c>
      <c r="E12" s="37">
        <v>5</v>
      </c>
      <c r="F12" s="35">
        <v>6</v>
      </c>
      <c r="G12" s="33">
        <v>7</v>
      </c>
      <c r="H12" s="90">
        <v>8</v>
      </c>
      <c r="I12" s="37">
        <v>9</v>
      </c>
      <c r="J12" s="34">
        <v>10</v>
      </c>
      <c r="K12" s="34">
        <v>11</v>
      </c>
      <c r="L12" s="34">
        <v>12</v>
      </c>
      <c r="M12" s="34">
        <v>13</v>
      </c>
      <c r="N12" s="81">
        <v>14</v>
      </c>
      <c r="O12" s="38">
        <v>15</v>
      </c>
      <c r="P12" s="106">
        <v>16</v>
      </c>
    </row>
    <row r="13" spans="1:16" ht="12.75">
      <c r="A13" s="8" t="s">
        <v>38</v>
      </c>
      <c r="B13" s="9"/>
      <c r="C13" s="11"/>
      <c r="D13" s="40"/>
      <c r="E13" s="39"/>
      <c r="F13" s="32"/>
      <c r="G13" s="8"/>
      <c r="H13" s="91"/>
      <c r="I13" s="39"/>
      <c r="J13" s="9"/>
      <c r="K13" s="9"/>
      <c r="L13" s="9"/>
      <c r="M13" s="9"/>
      <c r="N13" s="82"/>
      <c r="O13" s="40"/>
      <c r="P13" s="107"/>
    </row>
    <row r="14" spans="1:16" ht="12.75">
      <c r="A14" s="14" t="s">
        <v>39</v>
      </c>
      <c r="B14" s="15">
        <f>Лист1!B9</f>
        <v>632.9</v>
      </c>
      <c r="C14" s="129">
        <f>Лист1!C9</f>
        <v>5474.585</v>
      </c>
      <c r="D14" s="201">
        <f>Лист1!D9</f>
        <v>1318.7180348000002</v>
      </c>
      <c r="E14" s="41">
        <f>Лист1!S9</f>
        <v>3801.3600000000006</v>
      </c>
      <c r="F14" s="77">
        <f>Лист1!T9</f>
        <v>876.67</v>
      </c>
      <c r="G14" s="42">
        <f>Лист1!AB9</f>
        <v>0</v>
      </c>
      <c r="H14" s="122">
        <f>Лист1!AC9</f>
        <v>2195.3880348000002</v>
      </c>
      <c r="I14" s="41">
        <f>Лист1!AG9</f>
        <v>379.73999999999995</v>
      </c>
      <c r="J14" s="16">
        <f>Лист1!AI9+Лист1!AJ9</f>
        <v>636.1429796</v>
      </c>
      <c r="K14" s="16">
        <f>Лист1!AH9+Лист1!AK9+Лист1!AL9+Лист1!AM9+Лист1!AN9+Лист1!AO9+Лист1!AP9+Лист1!AQ9+Лист1!AR9</f>
        <v>2233.75289299</v>
      </c>
      <c r="L14" s="17">
        <f>Лист1!AS9+Лист1!AT9+Лист1!AU9</f>
        <v>0</v>
      </c>
      <c r="M14" s="17">
        <f>Лист1!AX9</f>
        <v>0</v>
      </c>
      <c r="N14" s="104">
        <f>SUM(I14:M14)</f>
        <v>3249.63587259</v>
      </c>
      <c r="O14" s="43">
        <f>Лист1!BE9</f>
        <v>-1054.2478377899997</v>
      </c>
      <c r="P14" s="108">
        <f>Лист1!BF9</f>
        <v>-3801.3600000000006</v>
      </c>
    </row>
    <row r="15" spans="1:16" ht="12.75">
      <c r="A15" s="14" t="s">
        <v>40</v>
      </c>
      <c r="B15" s="15">
        <f>Лист1!B10</f>
        <v>632.9</v>
      </c>
      <c r="C15" s="129">
        <f>Лист1!C10</f>
        <v>5474.585</v>
      </c>
      <c r="D15" s="201">
        <f>Лист1!D10</f>
        <v>1318.7180348000002</v>
      </c>
      <c r="E15" s="41">
        <f>Лист1!S10</f>
        <v>3797.57</v>
      </c>
      <c r="F15" s="77">
        <f>Лист1!T10</f>
        <v>879.1899999999999</v>
      </c>
      <c r="G15" s="42">
        <f>Лист1!AB10</f>
        <v>2555.2400000000002</v>
      </c>
      <c r="H15" s="122">
        <f>Лист1!AC10</f>
        <v>4753.1480348000005</v>
      </c>
      <c r="I15" s="41">
        <f>Лист1!AG10</f>
        <v>379.73999999999995</v>
      </c>
      <c r="J15" s="16">
        <f>Лист1!AI10+Лист1!AJ10</f>
        <v>636.1429796</v>
      </c>
      <c r="K15" s="16">
        <f>Лист1!AH10+Лист1!AK10+Лист1!AL10+Лист1!AM10+Лист1!AN10+Лист1!AO10+Лист1!AP10+Лист1!AQ10+Лист1!AR10</f>
        <v>2227.01124219</v>
      </c>
      <c r="L15" s="17">
        <f>Лист1!AS10+Лист1!AT10+Лист1!AU10</f>
        <v>531</v>
      </c>
      <c r="M15" s="17">
        <f>Лист1!AX10</f>
        <v>0</v>
      </c>
      <c r="N15" s="104">
        <f>SUM(I15:M15)</f>
        <v>3773.89422179</v>
      </c>
      <c r="O15" s="43">
        <f>Лист1!BE10</f>
        <v>979.2538130100011</v>
      </c>
      <c r="P15" s="108">
        <f>Лист1!BF10</f>
        <v>-1242.33</v>
      </c>
    </row>
    <row r="16" spans="1:18" ht="13.5" thickBot="1">
      <c r="A16" s="44" t="s">
        <v>41</v>
      </c>
      <c r="B16" s="65">
        <f>Лист1!B11</f>
        <v>632.9</v>
      </c>
      <c r="C16" s="130">
        <f>Лист1!C11</f>
        <v>5474.585</v>
      </c>
      <c r="D16" s="202">
        <f>Лист1!D11</f>
        <v>1315.8165047500001</v>
      </c>
      <c r="E16" s="66">
        <f>Лист1!S11</f>
        <v>3808.05</v>
      </c>
      <c r="F16" s="117">
        <f>Лист1!T11</f>
        <v>794.9399999999999</v>
      </c>
      <c r="G16" s="67">
        <f>Лист1!AB11</f>
        <v>3905.8199999999997</v>
      </c>
      <c r="H16" s="123">
        <f>Лист1!AC11</f>
        <v>6016.57650475</v>
      </c>
      <c r="I16" s="41">
        <f>Лист1!AG11</f>
        <v>379.73999999999995</v>
      </c>
      <c r="J16" s="16">
        <f>Лист1!AI11+Лист1!AJ11</f>
        <v>634.29086104</v>
      </c>
      <c r="K16" s="16">
        <f>Лист1!AH11+Лист1!AK11+Лист1!AL11+Лист1!AM11+Лист1!AN11+Лист1!AO11+Лист1!AP11+Лист1!AQ11+Лист1!AR11</f>
        <v>2223.470565417</v>
      </c>
      <c r="L16" s="17">
        <f>Лист1!AS11+Лист1!AT11+Лист1!AU11</f>
        <v>0</v>
      </c>
      <c r="M16" s="17">
        <f>Лист1!AX11</f>
        <v>0</v>
      </c>
      <c r="N16" s="104">
        <f>SUM(I16:M16)</f>
        <v>3237.501426457</v>
      </c>
      <c r="O16" s="43">
        <f>Лист1!BE11</f>
        <v>2779.075078293</v>
      </c>
      <c r="P16" s="108">
        <f>Лист1!BF11</f>
        <v>97.76999999999953</v>
      </c>
      <c r="Q16" s="1"/>
      <c r="R16" s="1"/>
    </row>
    <row r="17" spans="1:18" s="24" customFormat="1" ht="13.5" thickBot="1">
      <c r="A17" s="45" t="s">
        <v>3</v>
      </c>
      <c r="B17" s="71"/>
      <c r="C17" s="73">
        <f>SUM(C14:C16)</f>
        <v>16423.755</v>
      </c>
      <c r="D17" s="114">
        <f aca="true" t="shared" si="0" ref="D17:P17">SUM(D14:D16)</f>
        <v>3953.2525743500005</v>
      </c>
      <c r="E17" s="75">
        <f t="shared" si="0"/>
        <v>11406.98</v>
      </c>
      <c r="F17" s="72">
        <f t="shared" si="0"/>
        <v>2550.7999999999997</v>
      </c>
      <c r="G17" s="76">
        <f t="shared" si="0"/>
        <v>6461.0599999999995</v>
      </c>
      <c r="H17" s="124">
        <f t="shared" si="0"/>
        <v>12965.112574350002</v>
      </c>
      <c r="I17" s="75">
        <f t="shared" si="0"/>
        <v>1139.2199999999998</v>
      </c>
      <c r="J17" s="72">
        <f t="shared" si="0"/>
        <v>1906.57682024</v>
      </c>
      <c r="K17" s="72">
        <f t="shared" si="0"/>
        <v>6684.234700597</v>
      </c>
      <c r="L17" s="72">
        <f t="shared" si="0"/>
        <v>531</v>
      </c>
      <c r="M17" s="72">
        <f t="shared" si="0"/>
        <v>0</v>
      </c>
      <c r="N17" s="83">
        <f t="shared" si="0"/>
        <v>10261.031520837</v>
      </c>
      <c r="O17" s="114">
        <f t="shared" si="0"/>
        <v>2704.0810535130013</v>
      </c>
      <c r="P17" s="109">
        <f t="shared" si="0"/>
        <v>-4945.920000000001</v>
      </c>
      <c r="Q17" s="52"/>
      <c r="R17" s="53"/>
    </row>
    <row r="18" spans="1:18" ht="12.75">
      <c r="A18" s="8" t="s">
        <v>42</v>
      </c>
      <c r="B18" s="68"/>
      <c r="C18" s="131"/>
      <c r="D18" s="203"/>
      <c r="E18" s="56"/>
      <c r="F18" s="118"/>
      <c r="G18" s="57"/>
      <c r="H18" s="125"/>
      <c r="I18" s="56"/>
      <c r="J18" s="54"/>
      <c r="K18" s="54"/>
      <c r="L18" s="69"/>
      <c r="M18" s="69"/>
      <c r="N18" s="105"/>
      <c r="O18" s="70"/>
      <c r="P18" s="110"/>
      <c r="Q18" s="1"/>
      <c r="R18" s="1"/>
    </row>
    <row r="19" spans="1:18" ht="12.75">
      <c r="A19" s="14" t="s">
        <v>43</v>
      </c>
      <c r="B19" s="15">
        <f>Лист1!B14</f>
        <v>632.9</v>
      </c>
      <c r="C19" s="129">
        <f>Лист1!C14</f>
        <v>5474.585</v>
      </c>
      <c r="D19" s="201">
        <f>Лист1!D14</f>
        <v>684.323125</v>
      </c>
      <c r="E19" s="41">
        <f>Лист1!S14</f>
        <v>2570.22</v>
      </c>
      <c r="F19" s="77">
        <f>Лист1!T14</f>
        <v>727.64</v>
      </c>
      <c r="G19" s="42">
        <f>Лист1!AB14</f>
        <v>4525.660000000001</v>
      </c>
      <c r="H19" s="122">
        <f>Лист1!AC14</f>
        <v>5937.623125000001</v>
      </c>
      <c r="I19" s="41">
        <f>Лист1!AG14</f>
        <v>341.76599999999996</v>
      </c>
      <c r="J19" s="16">
        <f>Лист1!AI14+Лист1!AJ14</f>
        <v>550.3468728999999</v>
      </c>
      <c r="K19" s="16">
        <f>Лист1!AH14+Лист1!AK14+Лист1!AL14+Лист1!AM14+Лист1!AN14+Лист1!AO14+Лист1!AP14+Лист1!AQ14+Лист1!AR14</f>
        <v>1890.130268182</v>
      </c>
      <c r="L19" s="17">
        <f>Лист1!AS14+Лист1!AT14+Лист1!AU14</f>
        <v>0</v>
      </c>
      <c r="M19" s="17">
        <f>Лист1!AX14</f>
        <v>201.41184</v>
      </c>
      <c r="N19" s="104">
        <f>SUM(I19:M19)</f>
        <v>2983.654981082</v>
      </c>
      <c r="O19" s="43">
        <f>Лист1!BE14</f>
        <v>2953.9681439180013</v>
      </c>
      <c r="P19" s="108">
        <f>Лист1!BF14</f>
        <v>1955.440000000001</v>
      </c>
      <c r="Q19" s="1"/>
      <c r="R19" s="1"/>
    </row>
    <row r="20" spans="1:18" ht="12.75">
      <c r="A20" s="14" t="s">
        <v>44</v>
      </c>
      <c r="B20" s="15">
        <f>Лист1!B15</f>
        <v>632.9</v>
      </c>
      <c r="C20" s="129">
        <f>Лист1!C15</f>
        <v>5474.585</v>
      </c>
      <c r="D20" s="201">
        <f>Лист1!D15</f>
        <v>684.323125</v>
      </c>
      <c r="E20" s="41">
        <f>Лист1!S15</f>
        <v>4016.7999999999997</v>
      </c>
      <c r="F20" s="77">
        <f>Лист1!T15</f>
        <v>727.64</v>
      </c>
      <c r="G20" s="42">
        <f>Лист1!AB15</f>
        <v>2929.5299999999997</v>
      </c>
      <c r="H20" s="122">
        <f>Лист1!AC15</f>
        <v>4341.493125</v>
      </c>
      <c r="I20" s="41">
        <f>Лист1!AG15</f>
        <v>341.76599999999996</v>
      </c>
      <c r="J20" s="16">
        <f>Лист1!AI15+Лист1!AJ15</f>
        <v>550.3704728999999</v>
      </c>
      <c r="K20" s="16">
        <f>Лист1!AH15+Лист1!AK15+Лист1!AL15+Лист1!AM15+Лист1!AN15+Лист1!AO15+Лист1!AP15+Лист1!AQ15+Лист1!AR15</f>
        <v>1892.8588899519996</v>
      </c>
      <c r="L20" s="17">
        <f>Лист1!AS15+Лист1!AT15+Лист1!AU15</f>
        <v>0</v>
      </c>
      <c r="M20" s="17">
        <f>Лист1!AX15</f>
        <v>161.36736</v>
      </c>
      <c r="N20" s="104">
        <f aca="true" t="shared" si="1" ref="N20:N25">SUM(I20:M20)</f>
        <v>2946.3627228519995</v>
      </c>
      <c r="O20" s="43">
        <f>Лист1!BE15</f>
        <v>1395.1304021480005</v>
      </c>
      <c r="P20" s="108">
        <f>Лист1!BF15</f>
        <v>-1087.27</v>
      </c>
      <c r="Q20" s="1"/>
      <c r="R20" s="1"/>
    </row>
    <row r="21" spans="1:18" ht="12.75">
      <c r="A21" s="14" t="s">
        <v>45</v>
      </c>
      <c r="B21" s="15">
        <f>Лист1!B16</f>
        <v>632.9</v>
      </c>
      <c r="C21" s="129">
        <f>Лист1!C16</f>
        <v>5474.585</v>
      </c>
      <c r="D21" s="201">
        <f>Лист1!D16</f>
        <v>684.323125</v>
      </c>
      <c r="E21" s="41">
        <f>Лист1!S16</f>
        <v>4018.84</v>
      </c>
      <c r="F21" s="77">
        <f>Лист1!T16</f>
        <v>727.64</v>
      </c>
      <c r="G21" s="42">
        <f>Лист1!AB16</f>
        <v>3599.26</v>
      </c>
      <c r="H21" s="122">
        <f>Лист1!AC16</f>
        <v>5011.223125</v>
      </c>
      <c r="I21" s="41">
        <f>Лист1!AG16</f>
        <v>341.76599999999996</v>
      </c>
      <c r="J21" s="16">
        <f>Лист1!AI16+Лист1!AJ16</f>
        <v>550.6878722499999</v>
      </c>
      <c r="K21" s="16">
        <f>Лист1!AH16+Лист1!AK16+Лист1!AL16+Лист1!AM16+Лист1!AN16+Лист1!AO16+Лист1!AP16+Лист1!AQ16+Лист1!AR16</f>
        <v>1829.895529642</v>
      </c>
      <c r="L21" s="17">
        <f>Лист1!AS16+Лист1!AT16+Лист1!AU16</f>
        <v>0</v>
      </c>
      <c r="M21" s="17">
        <f>Лист1!AX16</f>
        <v>151.85184</v>
      </c>
      <c r="N21" s="104">
        <f t="shared" si="1"/>
        <v>2874.201241892</v>
      </c>
      <c r="O21" s="43">
        <f>Лист1!BE16</f>
        <v>2137.021883108001</v>
      </c>
      <c r="P21" s="108">
        <f>Лист1!BF16</f>
        <v>-419.5799999999999</v>
      </c>
      <c r="Q21" s="1"/>
      <c r="R21" s="1"/>
    </row>
    <row r="22" spans="1:18" ht="12.75">
      <c r="A22" s="14" t="s">
        <v>46</v>
      </c>
      <c r="B22" s="15">
        <f>Лист1!B17</f>
        <v>632.9</v>
      </c>
      <c r="C22" s="129">
        <f>Лист1!C17</f>
        <v>5474.585</v>
      </c>
      <c r="D22" s="201">
        <f>Лист1!D17</f>
        <v>684.323125</v>
      </c>
      <c r="E22" s="41">
        <f>Лист1!S17</f>
        <v>4144.79</v>
      </c>
      <c r="F22" s="77">
        <f>Лист1!T17</f>
        <v>696.5</v>
      </c>
      <c r="G22" s="42">
        <f>Лист1!AB17</f>
        <v>2413.5699999999997</v>
      </c>
      <c r="H22" s="122">
        <f>Лист1!AC17</f>
        <v>3794.3931249999996</v>
      </c>
      <c r="I22" s="41">
        <f>Лист1!AG17</f>
        <v>341.76599999999996</v>
      </c>
      <c r="J22" s="16">
        <f>Лист1!AI17+Лист1!AJ17</f>
        <v>567.1291585799999</v>
      </c>
      <c r="K22" s="16">
        <f>Лист1!AH17+Лист1!AK17+Лист1!AL17+Лист1!AM17+Лист1!AN17+Лист1!AO17+Лист1!AP17+Лист1!AQ17+Лист1!AR17</f>
        <v>1855.823151544</v>
      </c>
      <c r="L22" s="17">
        <f>Лист1!AS17+Лист1!AT17+Лист1!AU17</f>
        <v>362.26</v>
      </c>
      <c r="M22" s="17">
        <f>Лист1!AX17</f>
        <v>121.71936</v>
      </c>
      <c r="N22" s="104">
        <f t="shared" si="1"/>
        <v>3248.697670124</v>
      </c>
      <c r="O22" s="43">
        <f>Лист1!BE17</f>
        <v>545.6954548759995</v>
      </c>
      <c r="P22" s="108">
        <f>Лист1!BF17</f>
        <v>-1731.2200000000003</v>
      </c>
      <c r="Q22" s="1"/>
      <c r="R22" s="1"/>
    </row>
    <row r="23" spans="1:18" ht="12.75">
      <c r="A23" s="14" t="s">
        <v>47</v>
      </c>
      <c r="B23" s="15">
        <f>Лист1!B18</f>
        <v>632.9</v>
      </c>
      <c r="C23" s="129">
        <f>Лист1!C18</f>
        <v>5474.585</v>
      </c>
      <c r="D23" s="201">
        <f>Лист1!D18</f>
        <v>354.7350000000002</v>
      </c>
      <c r="E23" s="41">
        <f>Лист1!S18</f>
        <v>4347.46</v>
      </c>
      <c r="F23" s="77">
        <f>Лист1!T18</f>
        <v>772.39</v>
      </c>
      <c r="G23" s="42">
        <f>Лист1!AB18</f>
        <v>3246.46</v>
      </c>
      <c r="H23" s="122">
        <f>Лист1!AC18</f>
        <v>4373.585</v>
      </c>
      <c r="I23" s="41">
        <f>Лист1!AG18</f>
        <v>379.73999999999995</v>
      </c>
      <c r="J23" s="16">
        <f>Лист1!AI18+Лист1!AJ18</f>
        <v>634.7986999999999</v>
      </c>
      <c r="K23" s="16">
        <f>Лист1!AH18+Лист1!AK18+Лист1!AL18+Лист1!AM18+Лист1!AN18+Лист1!AO18+Лист1!AP18+Лист1!AQ18+Лист1!AR18</f>
        <v>2174.1380799999997</v>
      </c>
      <c r="L23" s="17">
        <f>Лист1!AS18+Лист1!AT18+Лист1!AU18</f>
        <v>0</v>
      </c>
      <c r="M23" s="17">
        <f>Лист1!AX18</f>
        <v>104.27423999999999</v>
      </c>
      <c r="N23" s="104">
        <f t="shared" si="1"/>
        <v>3292.95102</v>
      </c>
      <c r="O23" s="43">
        <f>Лист1!BE18</f>
        <v>1080.63398</v>
      </c>
      <c r="P23" s="108">
        <f>Лист1!BF18</f>
        <v>-1101</v>
      </c>
      <c r="Q23" s="1"/>
      <c r="R23" s="1"/>
    </row>
    <row r="24" spans="1:18" ht="12.75">
      <c r="A24" s="14" t="s">
        <v>48</v>
      </c>
      <c r="B24" s="15">
        <f>Лист1!B19</f>
        <v>632.9</v>
      </c>
      <c r="C24" s="129">
        <f>Лист1!C19</f>
        <v>5474.585</v>
      </c>
      <c r="D24" s="201">
        <f>Лист1!D19</f>
        <v>354.7350000000002</v>
      </c>
      <c r="E24" s="41">
        <f>Лист1!S19</f>
        <v>4347.46</v>
      </c>
      <c r="F24" s="77">
        <f>Лист1!T19</f>
        <v>772.39</v>
      </c>
      <c r="G24" s="42">
        <f>Лист1!AB19</f>
        <v>4796.65</v>
      </c>
      <c r="H24" s="122">
        <f>Лист1!AC19</f>
        <v>5923.775</v>
      </c>
      <c r="I24" s="41">
        <f>Лист1!AG19</f>
        <v>379.73999999999995</v>
      </c>
      <c r="J24" s="16">
        <f>Лист1!AI19+Лист1!AJ19</f>
        <v>634.7986999999999</v>
      </c>
      <c r="K24" s="16">
        <f>Лист1!AH19+Лист1!AK19+Лист1!AL19+Лист1!AM19+Лист1!AN19+Лист1!AO19+Лист1!AP19+Лист1!AQ19+Лист1!AR19</f>
        <v>2174.195041</v>
      </c>
      <c r="L24" s="17">
        <f>Лист1!AS19+Лист1!AT19+Лист1!AU19</f>
        <v>0</v>
      </c>
      <c r="M24" s="17">
        <f>Лист1!AX19</f>
        <v>92.37983999999999</v>
      </c>
      <c r="N24" s="104">
        <f t="shared" si="1"/>
        <v>3281.113581</v>
      </c>
      <c r="O24" s="43">
        <f>Лист1!BE19</f>
        <v>2642.661419</v>
      </c>
      <c r="P24" s="108">
        <f>Лист1!BF19</f>
        <v>449.1899999999996</v>
      </c>
      <c r="Q24" s="1"/>
      <c r="R24" s="1"/>
    </row>
    <row r="25" spans="1:18" ht="12.75">
      <c r="A25" s="14" t="s">
        <v>49</v>
      </c>
      <c r="B25" s="15">
        <f>Лист1!B20</f>
        <v>632.9</v>
      </c>
      <c r="C25" s="129">
        <f>Лист1!C20</f>
        <v>5474.585</v>
      </c>
      <c r="D25" s="201">
        <f>Лист1!D20</f>
        <v>354.7350000000002</v>
      </c>
      <c r="E25" s="41">
        <f>Лист1!S20</f>
        <v>4347.46</v>
      </c>
      <c r="F25" s="77">
        <f>Лист1!T20</f>
        <v>772.39</v>
      </c>
      <c r="G25" s="42">
        <f>Лист1!AB20</f>
        <v>6043.3</v>
      </c>
      <c r="H25" s="122">
        <f>Лист1!AC20</f>
        <v>7170.425</v>
      </c>
      <c r="I25" s="41">
        <f>Лист1!AG20</f>
        <v>379.73999999999995</v>
      </c>
      <c r="J25" s="16">
        <f>Лист1!AI20+Лист1!AJ20</f>
        <v>625.7210785899999</v>
      </c>
      <c r="K25" s="16">
        <f>Лист1!AH20+Лист1!AK20+Лист1!AL20+Лист1!AM20+Лист1!AN20+Лист1!AO20+Лист1!AP20+Лист1!AQ20+Лист1!AR20</f>
        <v>2152.70593414</v>
      </c>
      <c r="L25" s="17">
        <f>Лист1!AS20+Лист1!AT20+Лист1!AU20</f>
        <v>0</v>
      </c>
      <c r="M25" s="17">
        <f>Лист1!AX20</f>
        <v>98.32704</v>
      </c>
      <c r="N25" s="104">
        <f t="shared" si="1"/>
        <v>3256.49405273</v>
      </c>
      <c r="O25" s="43">
        <f>Лист1!BE20</f>
        <v>3913.93094727</v>
      </c>
      <c r="P25" s="108">
        <f>Лист1!BF20</f>
        <v>1695.8400000000001</v>
      </c>
      <c r="Q25" s="1"/>
      <c r="R25" s="1"/>
    </row>
    <row r="26" spans="1:18" ht="12.75">
      <c r="A26" s="14" t="s">
        <v>50</v>
      </c>
      <c r="B26" s="15">
        <f>Лист1!B21</f>
        <v>632.9</v>
      </c>
      <c r="C26" s="129">
        <f>Лист1!C21</f>
        <v>5474.585</v>
      </c>
      <c r="D26" s="201">
        <f>Лист1!D21</f>
        <v>354.7350000000002</v>
      </c>
      <c r="E26" s="41">
        <f>Лист1!S21</f>
        <v>4347.46</v>
      </c>
      <c r="F26" s="77">
        <f>Лист1!T21</f>
        <v>772.39</v>
      </c>
      <c r="G26" s="42">
        <f>Лист1!AB21</f>
        <v>3504.7999999999997</v>
      </c>
      <c r="H26" s="122">
        <f>Лист1!AC21</f>
        <v>4631.925</v>
      </c>
      <c r="I26" s="41">
        <f>Лист1!AG21</f>
        <v>379.73999999999995</v>
      </c>
      <c r="J26" s="16">
        <f>Лист1!AI21+Лист1!AJ21</f>
        <v>625.4417671619999</v>
      </c>
      <c r="K26" s="16">
        <f>Лист1!AH21+Лист1!AK21+Лист1!AL21+Лист1!AM21+Лист1!AN21+Лист1!AO21+Лист1!AP21+Лист1!AQ21+Лист1!AR21</f>
        <v>2152.2511321999996</v>
      </c>
      <c r="L26" s="17">
        <f>Лист1!AS21+Лист1!AT21+Лист1!AU21</f>
        <v>0</v>
      </c>
      <c r="M26" s="17">
        <f>Лист1!AX21</f>
        <v>116.16863999999998</v>
      </c>
      <c r="N26" s="104">
        <f>SUM(I26:M26)</f>
        <v>3273.601539361999</v>
      </c>
      <c r="O26" s="43">
        <f>Лист1!BE21</f>
        <v>1358.3234606380006</v>
      </c>
      <c r="P26" s="108">
        <f>Лист1!BF21</f>
        <v>-842.6600000000003</v>
      </c>
      <c r="Q26" s="1"/>
      <c r="R26" s="1"/>
    </row>
    <row r="27" spans="1:18" ht="12.75">
      <c r="A27" s="14" t="s">
        <v>51</v>
      </c>
      <c r="B27" s="15">
        <f>Лист1!B22</f>
        <v>632.9</v>
      </c>
      <c r="C27" s="129">
        <f>Лист1!C22</f>
        <v>5474.585</v>
      </c>
      <c r="D27" s="201">
        <f>Лист1!D22</f>
        <v>354.7350000000002</v>
      </c>
      <c r="E27" s="41">
        <f>Лист1!S22</f>
        <v>4347.46</v>
      </c>
      <c r="F27" s="77">
        <f>Лист1!T22</f>
        <v>772.39</v>
      </c>
      <c r="G27" s="42">
        <f>Лист1!AB22</f>
        <v>5572.65</v>
      </c>
      <c r="H27" s="122">
        <f>Лист1!AC22</f>
        <v>6699.775</v>
      </c>
      <c r="I27" s="41">
        <f>Лист1!AG22</f>
        <v>379.73999999999995</v>
      </c>
      <c r="J27" s="16">
        <f>Лист1!AI22+Лист1!AJ22</f>
        <v>625.333851383</v>
      </c>
      <c r="K27" s="16">
        <f>Лист1!AH22+Лист1!AK22+Лист1!AL22+Лист1!AM22+Лист1!AN22+Лист1!AO22+Лист1!AP22+Лист1!AQ22+Лист1!AR22</f>
        <v>2151.9683233665996</v>
      </c>
      <c r="L27" s="17">
        <f>Лист1!AS22+Лист1!AT22+Лист1!AU22</f>
        <v>0</v>
      </c>
      <c r="M27" s="17">
        <f>Лист1!AX22</f>
        <v>138.37152</v>
      </c>
      <c r="N27" s="104">
        <f>SUM(I27:M27)</f>
        <v>3295.4136947495995</v>
      </c>
      <c r="O27" s="43">
        <f>Лист1!BE22</f>
        <v>3404.3613052503997</v>
      </c>
      <c r="P27" s="108">
        <f>Лист1!BF22</f>
        <v>1225.1899999999996</v>
      </c>
      <c r="Q27" s="1"/>
      <c r="R27" s="1"/>
    </row>
    <row r="28" spans="1:18" ht="12.75">
      <c r="A28" s="14" t="s">
        <v>39</v>
      </c>
      <c r="B28" s="15">
        <f>Лист1!B23</f>
        <v>632.9</v>
      </c>
      <c r="C28" s="129">
        <f>Лист1!C23</f>
        <v>5474.585</v>
      </c>
      <c r="D28" s="201">
        <f>Лист1!D23</f>
        <v>354.75500000000017</v>
      </c>
      <c r="E28" s="41">
        <f>Лист1!S23</f>
        <v>4347.43</v>
      </c>
      <c r="F28" s="77">
        <f>Лист1!T23</f>
        <v>772.4</v>
      </c>
      <c r="G28" s="42">
        <f>Лист1!AB23</f>
        <v>3578.3</v>
      </c>
      <c r="H28" s="122">
        <f>Лист1!AC23</f>
        <v>4705.455</v>
      </c>
      <c r="I28" s="41">
        <f>Лист1!AG23</f>
        <v>379.73999999999995</v>
      </c>
      <c r="J28" s="16">
        <f>Лист1!AI23+Лист1!AJ23</f>
        <v>632.558234</v>
      </c>
      <c r="K28" s="16">
        <f>Лист1!AH23+Лист1!AK23+Лист1!AL23+Лист1!AM23+Лист1!AN23+Лист1!AO23+Лист1!AP23+Лист1!AQ23+Лист1!AR23</f>
        <v>2170.46726</v>
      </c>
      <c r="L28" s="17">
        <f>Лист1!AS23+Лист1!AT23+Лист1!AU23</f>
        <v>0</v>
      </c>
      <c r="M28" s="17">
        <f>Лист1!AX23</f>
        <v>168.504</v>
      </c>
      <c r="N28" s="104">
        <f>SUM(I28:M28)</f>
        <v>3351.2694939999997</v>
      </c>
      <c r="O28" s="43">
        <f>Лист1!BE23</f>
        <v>1354.1855060000003</v>
      </c>
      <c r="P28" s="108">
        <f>Лист1!BF23</f>
        <v>-769.1300000000001</v>
      </c>
      <c r="Q28" s="1"/>
      <c r="R28" s="1"/>
    </row>
    <row r="29" spans="1:18" ht="12.75">
      <c r="A29" s="14" t="s">
        <v>40</v>
      </c>
      <c r="B29" s="15">
        <f>Лист1!B24</f>
        <v>632.9</v>
      </c>
      <c r="C29" s="129">
        <f>Лист1!C24</f>
        <v>5474.585</v>
      </c>
      <c r="D29" s="201">
        <f>Лист1!D24</f>
        <v>354.73500000000075</v>
      </c>
      <c r="E29" s="41">
        <f>Лист1!S24</f>
        <v>4419.1</v>
      </c>
      <c r="F29" s="77">
        <f>Лист1!T24</f>
        <v>700.75</v>
      </c>
      <c r="G29" s="42">
        <f>Лист1!AB24</f>
        <v>2735.01</v>
      </c>
      <c r="H29" s="122">
        <f>Лист1!AC24</f>
        <v>3790.495000000001</v>
      </c>
      <c r="I29" s="41">
        <f>Лист1!AG24</f>
        <v>379.73999999999995</v>
      </c>
      <c r="J29" s="16">
        <f>Лист1!AI24+Лист1!AJ24</f>
        <v>634.7986999999999</v>
      </c>
      <c r="K29" s="16">
        <f>Лист1!AH24+Лист1!AK24+Лист1!AL24+Лист1!AM24+Лист1!AN24+Лист1!AO24+Лист1!AP24+Лист1!AQ24+Лист1!AR24</f>
        <v>2172.8722799999996</v>
      </c>
      <c r="L29" s="17">
        <f>Лист1!AS24+Лист1!AT24+Лист1!AU24</f>
        <v>0</v>
      </c>
      <c r="M29" s="17">
        <f>Лист1!AX24</f>
        <v>186.34560000000002</v>
      </c>
      <c r="N29" s="104">
        <f>SUM(I29:M29)</f>
        <v>3373.7565799999998</v>
      </c>
      <c r="O29" s="43">
        <f>Лист1!BE24</f>
        <v>416.73842000000104</v>
      </c>
      <c r="P29" s="108">
        <f>Лист1!BF24</f>
        <v>-1684.0900000000001</v>
      </c>
      <c r="Q29" s="1"/>
      <c r="R29" s="1"/>
    </row>
    <row r="30" spans="1:18" ht="13.5" thickBot="1">
      <c r="A30" s="44" t="s">
        <v>41</v>
      </c>
      <c r="B30" s="15">
        <f>Лист1!B25</f>
        <v>632.9</v>
      </c>
      <c r="C30" s="129">
        <f>Лист1!C25</f>
        <v>5474.585</v>
      </c>
      <c r="D30" s="201">
        <f>Лист1!D25</f>
        <v>354.73500000000075</v>
      </c>
      <c r="E30" s="41">
        <f>Лист1!S25</f>
        <v>4419.1</v>
      </c>
      <c r="F30" s="77">
        <f>Лист1!T25</f>
        <v>700.75</v>
      </c>
      <c r="G30" s="42">
        <f>Лист1!AB25</f>
        <v>8202.720000000001</v>
      </c>
      <c r="H30" s="122">
        <f>Лист1!AC25</f>
        <v>9258.205000000002</v>
      </c>
      <c r="I30" s="41">
        <f>Лист1!AG25</f>
        <v>379.73999999999995</v>
      </c>
      <c r="J30" s="16">
        <f>Лист1!AI25+Лист1!AJ25</f>
        <v>634.7986999999999</v>
      </c>
      <c r="K30" s="16">
        <f>Лист1!AH25+Лист1!AK25+Лист1!AL25+Лист1!AM25+Лист1!AN25+Лист1!AO25+Лист1!AP25+Лист1!AQ25+Лист1!AR25</f>
        <v>2172.8722799999996</v>
      </c>
      <c r="L30" s="17">
        <f>Лист1!AS25+Лист1!AT25+Лист1!AU25</f>
        <v>0</v>
      </c>
      <c r="M30" s="17">
        <f>Лист1!AX25</f>
        <v>203.79072</v>
      </c>
      <c r="N30" s="104">
        <f>SUM(I30:M30)</f>
        <v>3391.2016999999996</v>
      </c>
      <c r="O30" s="43">
        <f>Лист1!BE25</f>
        <v>5867.003300000002</v>
      </c>
      <c r="P30" s="108">
        <f>Лист1!BF25</f>
        <v>3783.620000000001</v>
      </c>
      <c r="Q30" s="1"/>
      <c r="R30" s="1"/>
    </row>
    <row r="31" spans="1:18" s="24" customFormat="1" ht="13.5" thickBot="1">
      <c r="A31" s="45" t="s">
        <v>3</v>
      </c>
      <c r="B31" s="46"/>
      <c r="C31" s="49">
        <f aca="true" t="shared" si="2" ref="C31:P31">SUM(C19:C30)</f>
        <v>65695.02</v>
      </c>
      <c r="D31" s="51">
        <f t="shared" si="2"/>
        <v>5575.192500000003</v>
      </c>
      <c r="E31" s="50">
        <f t="shared" si="2"/>
        <v>49673.579999999994</v>
      </c>
      <c r="F31" s="47">
        <f t="shared" si="2"/>
        <v>8915.27</v>
      </c>
      <c r="G31" s="48">
        <f t="shared" si="2"/>
        <v>51147.91</v>
      </c>
      <c r="H31" s="92">
        <f t="shared" si="2"/>
        <v>65638.37250000001</v>
      </c>
      <c r="I31" s="50">
        <f t="shared" si="2"/>
        <v>4404.983999999999</v>
      </c>
      <c r="J31" s="47">
        <f t="shared" si="2"/>
        <v>7266.784107765001</v>
      </c>
      <c r="K31" s="47">
        <f t="shared" si="2"/>
        <v>24790.178170026596</v>
      </c>
      <c r="L31" s="47">
        <f t="shared" si="2"/>
        <v>362.26</v>
      </c>
      <c r="M31" s="47">
        <f t="shared" si="2"/>
        <v>1744.512</v>
      </c>
      <c r="N31" s="84">
        <f t="shared" si="2"/>
        <v>38568.718277791595</v>
      </c>
      <c r="O31" s="51">
        <f t="shared" si="2"/>
        <v>27069.65422220841</v>
      </c>
      <c r="P31" s="111">
        <f t="shared" si="2"/>
        <v>1474.3300000000004</v>
      </c>
      <c r="Q31" s="53"/>
      <c r="R31" s="53"/>
    </row>
    <row r="32" spans="1:18" ht="13.5" thickBot="1">
      <c r="A32" s="86" t="s">
        <v>94</v>
      </c>
      <c r="B32" s="87"/>
      <c r="C32" s="88"/>
      <c r="D32" s="115"/>
      <c r="E32" s="87"/>
      <c r="F32" s="87"/>
      <c r="G32" s="86"/>
      <c r="H32" s="126"/>
      <c r="I32" s="87"/>
      <c r="J32" s="87"/>
      <c r="K32" s="87"/>
      <c r="L32" s="87"/>
      <c r="M32" s="87"/>
      <c r="N32" s="89"/>
      <c r="O32" s="115"/>
      <c r="P32" s="112"/>
      <c r="Q32" s="1"/>
      <c r="R32" s="1"/>
    </row>
    <row r="33" spans="1:18" s="24" customFormat="1" ht="13.5" thickBot="1">
      <c r="A33" s="58" t="s">
        <v>52</v>
      </c>
      <c r="B33" s="59"/>
      <c r="C33" s="60">
        <f>C17+C31</f>
        <v>82118.77500000001</v>
      </c>
      <c r="D33" s="62">
        <f aca="true" t="shared" si="3" ref="D33:P33">D17+D31</f>
        <v>9528.445074350004</v>
      </c>
      <c r="E33" s="120">
        <f t="shared" si="3"/>
        <v>61080.56</v>
      </c>
      <c r="F33" s="119">
        <f t="shared" si="3"/>
        <v>11466.07</v>
      </c>
      <c r="G33" s="61">
        <f t="shared" si="3"/>
        <v>57608.97</v>
      </c>
      <c r="H33" s="85">
        <f t="shared" si="3"/>
        <v>78603.48507435001</v>
      </c>
      <c r="I33" s="120">
        <f t="shared" si="3"/>
        <v>5544.203999999998</v>
      </c>
      <c r="J33" s="59">
        <f t="shared" si="3"/>
        <v>9173.360928005</v>
      </c>
      <c r="K33" s="59">
        <f t="shared" si="3"/>
        <v>31474.412870623597</v>
      </c>
      <c r="L33" s="59">
        <f t="shared" si="3"/>
        <v>893.26</v>
      </c>
      <c r="M33" s="59">
        <f t="shared" si="3"/>
        <v>1744.512</v>
      </c>
      <c r="N33" s="93">
        <f t="shared" si="3"/>
        <v>48829.749798628596</v>
      </c>
      <c r="O33" s="62">
        <f t="shared" si="3"/>
        <v>29773.73527572141</v>
      </c>
      <c r="P33" s="113">
        <f t="shared" si="3"/>
        <v>-3471.5900000000006</v>
      </c>
      <c r="Q33" s="63"/>
      <c r="R33" s="53"/>
    </row>
    <row r="34" spans="1:18" ht="12.75">
      <c r="A34" s="8" t="s">
        <v>92</v>
      </c>
      <c r="B34" s="68"/>
      <c r="C34" s="131"/>
      <c r="D34" s="203"/>
      <c r="E34" s="56"/>
      <c r="F34" s="118"/>
      <c r="G34" s="57"/>
      <c r="H34" s="125"/>
      <c r="I34" s="56"/>
      <c r="J34" s="54"/>
      <c r="K34" s="54"/>
      <c r="L34" s="69"/>
      <c r="M34" s="69"/>
      <c r="N34" s="105"/>
      <c r="O34" s="70"/>
      <c r="P34" s="110"/>
      <c r="Q34" s="1"/>
      <c r="R34" s="1"/>
    </row>
    <row r="35" spans="1:18" ht="12.75">
      <c r="A35" s="14" t="s">
        <v>43</v>
      </c>
      <c r="B35" s="15">
        <f>Лист1!B30</f>
        <v>632.9</v>
      </c>
      <c r="C35" s="129">
        <f>Лист1!C30</f>
        <v>5474.585</v>
      </c>
      <c r="D35" s="201">
        <f>Лист1!D30</f>
        <v>354.73500000000075</v>
      </c>
      <c r="E35" s="41">
        <f>Лист1!S30</f>
        <v>4419.1</v>
      </c>
      <c r="F35" s="77">
        <f>Лист1!T30</f>
        <v>700.75</v>
      </c>
      <c r="G35" s="42">
        <f>Лист1!AB30</f>
        <v>3664.16</v>
      </c>
      <c r="H35" s="122">
        <f>Лист1!AC30</f>
        <v>4719.645</v>
      </c>
      <c r="I35" s="41">
        <f>Лист1!AG30</f>
        <v>379.73999999999995</v>
      </c>
      <c r="J35" s="16">
        <f>Лист1!AI30+Лист1!AJ30</f>
        <v>632.9</v>
      </c>
      <c r="K35" s="16">
        <f>Лист1!AH30+Лист1!AK30+Лист1!AL30+Лист1!AM30+Лист1!AN30+Лист1!AO30+Лист1!AP30+Лист1!AQ30+Лист1!AR30</f>
        <v>2170.8469999999998</v>
      </c>
      <c r="L35" s="17">
        <f>Лист1!AS30+Лист1!AT30+Лист1!AU30</f>
        <v>0</v>
      </c>
      <c r="M35" s="17">
        <f>Лист1!AX30</f>
        <v>213.35999999999999</v>
      </c>
      <c r="N35" s="104">
        <f>SUM(I35:M35)</f>
        <v>3396.8469999999998</v>
      </c>
      <c r="O35" s="43">
        <f>Лист1!BE30</f>
        <v>1322.7980000000007</v>
      </c>
      <c r="P35" s="108">
        <f>Лист1!BF30</f>
        <v>-754.9400000000005</v>
      </c>
      <c r="Q35" s="1"/>
      <c r="R35" s="1"/>
    </row>
    <row r="36" spans="1:18" ht="12.75">
      <c r="A36" s="14" t="s">
        <v>44</v>
      </c>
      <c r="B36" s="15">
        <f>Лист1!B31</f>
        <v>632.9</v>
      </c>
      <c r="C36" s="129">
        <f>Лист1!C31</f>
        <v>5474.585</v>
      </c>
      <c r="D36" s="201">
        <f>Лист1!D31</f>
        <v>349.3550000000001</v>
      </c>
      <c r="E36" s="41">
        <f>Лист1!S31</f>
        <v>4172.4400000000005</v>
      </c>
      <c r="F36" s="77">
        <f>Лист1!T31</f>
        <v>952.79</v>
      </c>
      <c r="G36" s="42">
        <f>Лист1!AB31</f>
        <v>3909.3099999999995</v>
      </c>
      <c r="H36" s="122">
        <f>Лист1!AC31</f>
        <v>5211.455</v>
      </c>
      <c r="I36" s="41">
        <f>Лист1!AG31</f>
        <v>379.73999999999995</v>
      </c>
      <c r="J36" s="16">
        <f>Лист1!AI31+Лист1!AJ31</f>
        <v>632.9</v>
      </c>
      <c r="K36" s="16">
        <f>Лист1!AH31+Лист1!AK31+Лист1!AL31+Лист1!AM31+Лист1!AN31+Лист1!AO31+Лист1!AP31+Лист1!AQ31+Лист1!AR31</f>
        <v>2170.8469999999998</v>
      </c>
      <c r="L36" s="17">
        <f>Лист1!AS31+Лист1!AT31+Лист1!AU31</f>
        <v>0</v>
      </c>
      <c r="M36" s="17">
        <f>Лист1!AX31</f>
        <v>170.93999999999997</v>
      </c>
      <c r="N36" s="104">
        <f aca="true" t="shared" si="4" ref="N36:N41">SUM(I36:M36)</f>
        <v>3354.4269999999997</v>
      </c>
      <c r="O36" s="43">
        <f>Лист1!BE31</f>
        <v>1857.0280000000002</v>
      </c>
      <c r="P36" s="108">
        <f>Лист1!BF31</f>
        <v>-263.130000000001</v>
      </c>
      <c r="Q36" s="1"/>
      <c r="R36" s="1"/>
    </row>
    <row r="37" spans="1:18" ht="12.75">
      <c r="A37" s="14" t="s">
        <v>45</v>
      </c>
      <c r="B37" s="15">
        <f>Лист1!B32</f>
        <v>632.9</v>
      </c>
      <c r="C37" s="129">
        <f>Лист1!C32</f>
        <v>5474.585</v>
      </c>
      <c r="D37" s="201">
        <f>Лист1!D32</f>
        <v>349.1550000000009</v>
      </c>
      <c r="E37" s="41">
        <f>Лист1!S32</f>
        <v>4388.88</v>
      </c>
      <c r="F37" s="77">
        <f>Лист1!T32</f>
        <v>736.5500000000001</v>
      </c>
      <c r="G37" s="42">
        <f>Лист1!AB32</f>
        <v>3442.75</v>
      </c>
      <c r="H37" s="122">
        <f>Лист1!AC32</f>
        <v>4528.455000000001</v>
      </c>
      <c r="I37" s="41">
        <f>Лист1!AG32</f>
        <v>379.73999999999995</v>
      </c>
      <c r="J37" s="16">
        <f>Лист1!AI32+Лист1!AJ32</f>
        <v>632.9</v>
      </c>
      <c r="K37" s="16">
        <f>Лист1!AH32+Лист1!AK32+Лист1!AL32+Лист1!AM32+Лист1!AN32+Лист1!AO32+Лист1!AP32+Лист1!AQ32+Лист1!AR32</f>
        <v>2170.8469999999998</v>
      </c>
      <c r="L37" s="17">
        <f>Лист1!AS32+Лист1!AT32+Лист1!AU32</f>
        <v>0</v>
      </c>
      <c r="M37" s="17">
        <f>Лист1!AX32</f>
        <v>160.85999999999999</v>
      </c>
      <c r="N37" s="104">
        <f t="shared" si="4"/>
        <v>3344.3469999999998</v>
      </c>
      <c r="O37" s="43">
        <f>Лист1!BE32</f>
        <v>1184.108000000001</v>
      </c>
      <c r="P37" s="108">
        <f>Лист1!BF32</f>
        <v>-946.1300000000001</v>
      </c>
      <c r="Q37" s="1"/>
      <c r="R37" s="1"/>
    </row>
    <row r="38" spans="1:18" ht="12.75">
      <c r="A38" s="14" t="s">
        <v>46</v>
      </c>
      <c r="B38" s="15">
        <f>Лист1!B33</f>
        <v>632.9</v>
      </c>
      <c r="C38" s="129">
        <f>Лист1!C33</f>
        <v>5474.585</v>
      </c>
      <c r="D38" s="201">
        <f>Лист1!D33</f>
        <v>356.7950000000005</v>
      </c>
      <c r="E38" s="41">
        <f>Лист1!S33</f>
        <v>4381.24</v>
      </c>
      <c r="F38" s="77">
        <f>Лист1!T33</f>
        <v>736.5500000000001</v>
      </c>
      <c r="G38" s="42">
        <f>Лист1!AB33</f>
        <v>2413.5699999999997</v>
      </c>
      <c r="H38" s="122">
        <f>Лист1!AC33</f>
        <v>3506.9150000000004</v>
      </c>
      <c r="I38" s="41">
        <f>Лист1!AG33</f>
        <v>379.73999999999995</v>
      </c>
      <c r="J38" s="16">
        <f>Лист1!AI33+Лист1!AJ33</f>
        <v>632.9</v>
      </c>
      <c r="K38" s="16">
        <f>Лист1!AH33+Лист1!AK33+Лист1!AL33+Лист1!AM33+Лист1!AN33+Лист1!AO33+Лист1!AP33+Лист1!AQ33+Лист1!AR33</f>
        <v>2170.8469999999998</v>
      </c>
      <c r="L38" s="17">
        <f>Лист1!AS33+Лист1!AT33+Лист1!AU33</f>
        <v>491</v>
      </c>
      <c r="M38" s="17">
        <f>Лист1!AX33</f>
        <v>128.94</v>
      </c>
      <c r="N38" s="104">
        <f t="shared" si="4"/>
        <v>3803.4269999999997</v>
      </c>
      <c r="O38" s="43">
        <f>Лист1!BE33</f>
        <v>-296.51199999999926</v>
      </c>
      <c r="P38" s="108">
        <f>Лист1!BF33</f>
        <v>-1967.67</v>
      </c>
      <c r="Q38" s="1"/>
      <c r="R38" s="1"/>
    </row>
    <row r="39" spans="1:18" ht="12.75">
      <c r="A39" s="14" t="s">
        <v>47</v>
      </c>
      <c r="B39" s="15">
        <f>Лист1!B34</f>
        <v>633.7</v>
      </c>
      <c r="C39" s="129">
        <f>Лист1!C34</f>
        <v>5481.505000000001</v>
      </c>
      <c r="D39" s="201">
        <f>Лист1!D34</f>
        <v>356.895000000001</v>
      </c>
      <c r="E39" s="41">
        <f>Лист1!S34</f>
        <v>4388.070000000001</v>
      </c>
      <c r="F39" s="77">
        <f>Лист1!T34</f>
        <v>736.5400000000001</v>
      </c>
      <c r="G39" s="42">
        <f>Лист1!AB34</f>
        <v>5052.5599999999995</v>
      </c>
      <c r="H39" s="122">
        <f>Лист1!AC34</f>
        <v>6145.995000000001</v>
      </c>
      <c r="I39" s="41">
        <f>Лист1!AG34</f>
        <v>380.22</v>
      </c>
      <c r="J39" s="16">
        <f>Лист1!AI34+Лист1!AJ34</f>
        <v>633.7</v>
      </c>
      <c r="K39" s="16">
        <f>Лист1!AH34+Лист1!AK34+Лист1!AL34+Лист1!AM34+Лист1!AN34+Лист1!AO34+Лист1!AP34+Лист1!AQ34+Лист1!AR34</f>
        <v>2173.5910000000003</v>
      </c>
      <c r="L39" s="17">
        <f>Лист1!AS34+Лист1!AT34+Лист1!AU34</f>
        <v>0</v>
      </c>
      <c r="M39" s="17">
        <f>Лист1!AX34</f>
        <v>110.45999999999998</v>
      </c>
      <c r="N39" s="104">
        <f t="shared" si="4"/>
        <v>3297.9710000000005</v>
      </c>
      <c r="O39" s="43">
        <f>Лист1!BE34</f>
        <v>2848.0240000000003</v>
      </c>
      <c r="P39" s="108">
        <f>Лист1!BF34</f>
        <v>664.4899999999989</v>
      </c>
      <c r="Q39" s="1"/>
      <c r="R39" s="1"/>
    </row>
    <row r="40" spans="1:18" ht="12.75">
      <c r="A40" s="14" t="s">
        <v>48</v>
      </c>
      <c r="B40" s="15">
        <f>Лист1!B35</f>
        <v>633.7</v>
      </c>
      <c r="C40" s="129">
        <f>Лист1!C35</f>
        <v>5481.505000000001</v>
      </c>
      <c r="D40" s="201">
        <f>Лист1!D35</f>
        <v>356.87500000000193</v>
      </c>
      <c r="E40" s="41">
        <f>Лист1!S35</f>
        <v>4388.09</v>
      </c>
      <c r="F40" s="77">
        <f>Лист1!T35</f>
        <v>736.5400000000001</v>
      </c>
      <c r="G40" s="42">
        <f>Лист1!AB35</f>
        <v>3742.2000000000003</v>
      </c>
      <c r="H40" s="122">
        <f>Лист1!AC35</f>
        <v>4835.6150000000025</v>
      </c>
      <c r="I40" s="41">
        <f>Лист1!AG35</f>
        <v>380.22</v>
      </c>
      <c r="J40" s="16">
        <f>Лист1!AI35+Лист1!AJ35</f>
        <v>633.7</v>
      </c>
      <c r="K40" s="16">
        <f>Лист1!AH35+Лист1!AK35+Лист1!AL35+Лист1!AM35+Лист1!AN35+Лист1!AO35+Лист1!AP35+Лист1!AQ35+Лист1!AR35</f>
        <v>2173.5910000000003</v>
      </c>
      <c r="L40" s="17">
        <f>Лист1!AS35+Лист1!AT35+Лист1!AU35</f>
        <v>0</v>
      </c>
      <c r="M40" s="17">
        <f>Лист1!AX35</f>
        <v>97.85999999999999</v>
      </c>
      <c r="N40" s="104">
        <f t="shared" si="4"/>
        <v>3285.3710000000005</v>
      </c>
      <c r="O40" s="43">
        <f>Лист1!BE35</f>
        <v>1550.244000000002</v>
      </c>
      <c r="P40" s="108">
        <f>Лист1!BF35</f>
        <v>-645.8899999999999</v>
      </c>
      <c r="Q40" s="1"/>
      <c r="R40" s="1"/>
    </row>
    <row r="41" spans="1:18" ht="12.75">
      <c r="A41" s="14" t="s">
        <v>49</v>
      </c>
      <c r="B41" s="15">
        <f>Лист1!B36</f>
        <v>633.7</v>
      </c>
      <c r="C41" s="129">
        <f>Лист1!C36</f>
        <v>5481.505000000001</v>
      </c>
      <c r="D41" s="201">
        <f>Лист1!D36</f>
        <v>351.3150000000006</v>
      </c>
      <c r="E41" s="41">
        <f>Лист1!S36</f>
        <v>5130.1900000000005</v>
      </c>
      <c r="F41" s="77">
        <f>Лист1!T36</f>
        <v>0</v>
      </c>
      <c r="G41" s="42">
        <f>Лист1!AB36</f>
        <v>5522.57</v>
      </c>
      <c r="H41" s="122">
        <f>Лист1!AC36</f>
        <v>5873.885</v>
      </c>
      <c r="I41" s="41">
        <f>Лист1!AG36</f>
        <v>380.22</v>
      </c>
      <c r="J41" s="16">
        <f>Лист1!AI36+Лист1!AJ36</f>
        <v>633.7</v>
      </c>
      <c r="K41" s="16">
        <f>Лист1!AH36+Лист1!AK36+Лист1!AL36+Лист1!AM36+Лист1!AN36+Лист1!AO36+Лист1!AP36+Лист1!AQ36+Лист1!AR36</f>
        <v>2173.5910000000003</v>
      </c>
      <c r="L41" s="17">
        <f>Лист1!AS36+Лист1!AT36+Лист1!AU36</f>
        <v>0</v>
      </c>
      <c r="M41" s="17">
        <f>Лист1!AX36</f>
        <v>104.15999999999998</v>
      </c>
      <c r="N41" s="104">
        <f t="shared" si="4"/>
        <v>3291.6710000000003</v>
      </c>
      <c r="O41" s="43">
        <f>Лист1!BE36</f>
        <v>2582.214</v>
      </c>
      <c r="P41" s="108">
        <f>Лист1!BF36</f>
        <v>392.3799999999992</v>
      </c>
      <c r="Q41" s="1"/>
      <c r="R41" s="1"/>
    </row>
    <row r="42" spans="1:18" ht="12.75">
      <c r="A42" s="14" t="s">
        <v>50</v>
      </c>
      <c r="B42" s="15">
        <f>Лист1!B37</f>
        <v>633.7</v>
      </c>
      <c r="C42" s="129">
        <f>Лист1!C37</f>
        <v>5481.505000000001</v>
      </c>
      <c r="D42" s="201">
        <f>Лист1!D37</f>
        <v>351.3150000000006</v>
      </c>
      <c r="E42" s="41">
        <f>Лист1!S37</f>
        <v>5130.1900000000005</v>
      </c>
      <c r="F42" s="77">
        <f>Лист1!T37</f>
        <v>0</v>
      </c>
      <c r="G42" s="42">
        <f>Лист1!AB37</f>
        <v>5772</v>
      </c>
      <c r="H42" s="122">
        <f>Лист1!AC37</f>
        <v>6123.3150000000005</v>
      </c>
      <c r="I42" s="41">
        <f>Лист1!AG37</f>
        <v>380.22</v>
      </c>
      <c r="J42" s="16">
        <f>Лист1!AI37+Лист1!AJ37</f>
        <v>633.7</v>
      </c>
      <c r="K42" s="16">
        <f>Лист1!AH37+Лист1!AK37+Лист1!AL37+Лист1!AM37+Лист1!AN37+Лист1!AO37+Лист1!AP37+Лист1!AQ37+Лист1!AR37</f>
        <v>2173.5910000000003</v>
      </c>
      <c r="L42" s="17">
        <f>Лист1!AS37+Лист1!AT37+Лист1!AU37</f>
        <v>47.8</v>
      </c>
      <c r="M42" s="17">
        <f>Лист1!AX37</f>
        <v>123.05999999999997</v>
      </c>
      <c r="N42" s="104">
        <f>SUM(I42:M42)</f>
        <v>3358.3710000000005</v>
      </c>
      <c r="O42" s="43">
        <f>Лист1!BE37</f>
        <v>2764.944</v>
      </c>
      <c r="P42" s="108">
        <f>Лист1!BF37</f>
        <v>641.8099999999995</v>
      </c>
      <c r="Q42" s="1"/>
      <c r="R42" s="1"/>
    </row>
    <row r="43" spans="1:18" ht="12.75">
      <c r="A43" s="14" t="s">
        <v>51</v>
      </c>
      <c r="B43" s="15">
        <f>Лист1!B38</f>
        <v>633.7</v>
      </c>
      <c r="C43" s="129">
        <f>Лист1!C38</f>
        <v>5481.505000000001</v>
      </c>
      <c r="D43" s="201">
        <f>Лист1!D38</f>
        <v>343.91500000000144</v>
      </c>
      <c r="E43" s="41">
        <f>Лист1!S38</f>
        <v>5137.59</v>
      </c>
      <c r="F43" s="77">
        <f>Лист1!T38</f>
        <v>0</v>
      </c>
      <c r="G43" s="42">
        <f>Лист1!AB38</f>
        <v>5224.150000000001</v>
      </c>
      <c r="H43" s="122">
        <f>Лист1!AC38</f>
        <v>5568.065000000002</v>
      </c>
      <c r="I43" s="41">
        <f>Лист1!AG38</f>
        <v>380.22</v>
      </c>
      <c r="J43" s="16">
        <f>Лист1!AI38+Лист1!AJ38</f>
        <v>633.7</v>
      </c>
      <c r="K43" s="16">
        <f>Лист1!AH38+Лист1!AK38+Лист1!AL38+Лист1!AM38+Лист1!AN38+Лист1!AO38+Лист1!AP38+Лист1!AQ38+Лист1!AR38</f>
        <v>2173.5910000000003</v>
      </c>
      <c r="L43" s="17">
        <f>Лист1!AS38+Лист1!AT38+Лист1!AU38</f>
        <v>0</v>
      </c>
      <c r="M43" s="17">
        <f>Лист1!AX38</f>
        <v>146.57999999999998</v>
      </c>
      <c r="N43" s="104">
        <f>SUM(I43:M43)</f>
        <v>3334.0910000000003</v>
      </c>
      <c r="O43" s="43">
        <f>Лист1!BE38</f>
        <v>2233.974000000002</v>
      </c>
      <c r="P43" s="108">
        <f>Лист1!BF38</f>
        <v>86.5600000000004</v>
      </c>
      <c r="Q43" s="1"/>
      <c r="R43" s="1"/>
    </row>
    <row r="44" spans="1:18" ht="12.75">
      <c r="A44" s="14" t="s">
        <v>39</v>
      </c>
      <c r="B44" s="15">
        <f>Лист1!B39</f>
        <v>633.7</v>
      </c>
      <c r="C44" s="129">
        <f>Лист1!C39</f>
        <v>5481.505000000001</v>
      </c>
      <c r="D44" s="201">
        <f>Лист1!D39</f>
        <v>343.66500000000076</v>
      </c>
      <c r="E44" s="41">
        <f>Лист1!S39</f>
        <v>5137.84</v>
      </c>
      <c r="F44" s="77">
        <f>Лист1!T39</f>
        <v>0</v>
      </c>
      <c r="G44" s="42">
        <f>Лист1!AB39</f>
        <v>5159.450000000001</v>
      </c>
      <c r="H44" s="122">
        <f>Лист1!AC39</f>
        <v>5503.115000000002</v>
      </c>
      <c r="I44" s="41">
        <f>Лист1!AG39</f>
        <v>380.22</v>
      </c>
      <c r="J44" s="16">
        <f>Лист1!AI39+Лист1!AJ39</f>
        <v>633.7</v>
      </c>
      <c r="K44" s="16">
        <f>Лист1!AH39+Лист1!AK39+Лист1!AL39+Лист1!AM39+Лист1!AN39+Лист1!AO39+Лист1!AP39+Лист1!AQ39+Лист1!AR39</f>
        <v>2173.5910000000003</v>
      </c>
      <c r="L44" s="17">
        <f>Лист1!AS39+Лист1!AT39+Лист1!AU39</f>
        <v>0</v>
      </c>
      <c r="M44" s="17">
        <f>Лист1!AX39</f>
        <v>178.5</v>
      </c>
      <c r="N44" s="104">
        <f>SUM(I44:M44)</f>
        <v>3366.0110000000004</v>
      </c>
      <c r="O44" s="43">
        <f>Лист1!BE39</f>
        <v>2137.104000000001</v>
      </c>
      <c r="P44" s="108">
        <f>Лист1!BF39</f>
        <v>21.610000000000582</v>
      </c>
      <c r="Q44" s="1"/>
      <c r="R44" s="1"/>
    </row>
    <row r="45" spans="1:18" ht="12.75">
      <c r="A45" s="14" t="s">
        <v>40</v>
      </c>
      <c r="B45" s="15">
        <f>Лист1!B40</f>
        <v>633.7</v>
      </c>
      <c r="C45" s="129">
        <f>Лист1!C40</f>
        <v>5481.505000000001</v>
      </c>
      <c r="D45" s="201">
        <f>Лист1!D40</f>
        <v>343.66500000000076</v>
      </c>
      <c r="E45" s="41">
        <f>Лист1!S40</f>
        <v>5137.84</v>
      </c>
      <c r="F45" s="77">
        <f>Лист1!T40</f>
        <v>0</v>
      </c>
      <c r="G45" s="42">
        <f>Лист1!AB40</f>
        <v>4464.46</v>
      </c>
      <c r="H45" s="122">
        <f>Лист1!AC40</f>
        <v>4808.125000000001</v>
      </c>
      <c r="I45" s="41">
        <f>Лист1!AG40</f>
        <v>380.22</v>
      </c>
      <c r="J45" s="16">
        <f>Лист1!AI40+Лист1!AJ40</f>
        <v>633.7</v>
      </c>
      <c r="K45" s="16">
        <f>Лист1!AH40+Лист1!AK40+Лист1!AL40+Лист1!AM40+Лист1!AN40+Лист1!AO40+Лист1!AP40+Лист1!AQ40+Лист1!AR40</f>
        <v>2173.5910000000003</v>
      </c>
      <c r="L45" s="17">
        <f>Лист1!AS40+Лист1!AT40+Лист1!AU40</f>
        <v>10000</v>
      </c>
      <c r="M45" s="17">
        <f>Лист1!AX40</f>
        <v>197.39999999999998</v>
      </c>
      <c r="N45" s="104">
        <f>SUM(I45:M45)</f>
        <v>13384.911</v>
      </c>
      <c r="O45" s="43">
        <f>Лист1!BE40</f>
        <v>-8576.786</v>
      </c>
      <c r="P45" s="108">
        <f>Лист1!BF40</f>
        <v>-673.3800000000001</v>
      </c>
      <c r="Q45" s="1"/>
      <c r="R45" s="1"/>
    </row>
    <row r="46" spans="1:18" ht="13.5" thickBot="1">
      <c r="A46" s="44" t="s">
        <v>41</v>
      </c>
      <c r="B46" s="15">
        <f>Лист1!B41</f>
        <v>633.7</v>
      </c>
      <c r="C46" s="129">
        <f>Лист1!C41</f>
        <v>5481.505000000001</v>
      </c>
      <c r="D46" s="201">
        <f>Лист1!D41</f>
        <v>343.66500000000076</v>
      </c>
      <c r="E46" s="41">
        <f>Лист1!S41</f>
        <v>5137.84</v>
      </c>
      <c r="F46" s="77">
        <f>Лист1!T41</f>
        <v>0</v>
      </c>
      <c r="G46" s="42">
        <f>Лист1!AB41</f>
        <v>8571.24</v>
      </c>
      <c r="H46" s="122">
        <f>Лист1!AC41</f>
        <v>8914.905</v>
      </c>
      <c r="I46" s="41">
        <f>Лист1!AG41</f>
        <v>380.22</v>
      </c>
      <c r="J46" s="16">
        <f>Лист1!AI41+Лист1!AJ41</f>
        <v>633.7</v>
      </c>
      <c r="K46" s="16">
        <f>Лист1!AH41+Лист1!AK41+Лист1!AL41+Лист1!AM41+Лист1!AN41+Лист1!AO41+Лист1!AP41+Лист1!AQ41+Лист1!AR41</f>
        <v>2173.5910000000003</v>
      </c>
      <c r="L46" s="17">
        <f>Лист1!AS41+Лист1!AT41+Лист1!AU41</f>
        <v>0</v>
      </c>
      <c r="M46" s="17">
        <f>Лист1!AX41</f>
        <v>215.87999999999997</v>
      </c>
      <c r="N46" s="104">
        <f>SUM(I46:M46)</f>
        <v>3403.3910000000005</v>
      </c>
      <c r="O46" s="43">
        <f>Лист1!BE41</f>
        <v>5511.514</v>
      </c>
      <c r="P46" s="108">
        <f>Лист1!BF41</f>
        <v>3433.3999999999996</v>
      </c>
      <c r="Q46" s="1"/>
      <c r="R46" s="1"/>
    </row>
    <row r="47" spans="1:18" s="24" customFormat="1" ht="13.5" thickBot="1">
      <c r="A47" s="45" t="s">
        <v>3</v>
      </c>
      <c r="B47" s="46"/>
      <c r="C47" s="49">
        <f aca="true" t="shared" si="5" ref="C47:P47">SUM(C35:C46)</f>
        <v>65750.38000000003</v>
      </c>
      <c r="D47" s="51">
        <f t="shared" si="5"/>
        <v>4201.3500000000095</v>
      </c>
      <c r="E47" s="50">
        <f t="shared" si="5"/>
        <v>56949.31</v>
      </c>
      <c r="F47" s="47">
        <f t="shared" si="5"/>
        <v>4599.72</v>
      </c>
      <c r="G47" s="48">
        <f t="shared" si="5"/>
        <v>56938.42</v>
      </c>
      <c r="H47" s="92">
        <f t="shared" si="5"/>
        <v>65739.49</v>
      </c>
      <c r="I47" s="50">
        <f t="shared" si="5"/>
        <v>4560.720000000001</v>
      </c>
      <c r="J47" s="47">
        <f t="shared" si="5"/>
        <v>7601.199999999999</v>
      </c>
      <c r="K47" s="47">
        <f t="shared" si="5"/>
        <v>26072.116</v>
      </c>
      <c r="L47" s="47">
        <f t="shared" si="5"/>
        <v>10538.8</v>
      </c>
      <c r="M47" s="47">
        <f t="shared" si="5"/>
        <v>1847.9999999999998</v>
      </c>
      <c r="N47" s="84">
        <f t="shared" si="5"/>
        <v>50620.836</v>
      </c>
      <c r="O47" s="51">
        <f t="shared" si="5"/>
        <v>15118.654000000006</v>
      </c>
      <c r="P47" s="111">
        <f t="shared" si="5"/>
        <v>-10.89000000000351</v>
      </c>
      <c r="Q47" s="53"/>
      <c r="R47" s="53"/>
    </row>
    <row r="48" spans="1:18" ht="13.5" thickBot="1">
      <c r="A48" s="86" t="s">
        <v>66</v>
      </c>
      <c r="B48" s="87"/>
      <c r="C48" s="88"/>
      <c r="D48" s="115"/>
      <c r="E48" s="87"/>
      <c r="F48" s="87"/>
      <c r="G48" s="86"/>
      <c r="H48" s="126"/>
      <c r="I48" s="87"/>
      <c r="J48" s="87"/>
      <c r="K48" s="87"/>
      <c r="L48" s="87"/>
      <c r="M48" s="87"/>
      <c r="N48" s="89"/>
      <c r="O48" s="115"/>
      <c r="P48" s="112"/>
      <c r="Q48" s="1"/>
      <c r="R48" s="1"/>
    </row>
    <row r="49" spans="1:18" s="24" customFormat="1" ht="13.5" thickBot="1">
      <c r="A49" s="58" t="s">
        <v>52</v>
      </c>
      <c r="B49" s="59"/>
      <c r="C49" s="60">
        <f>C33+C47</f>
        <v>147869.15500000003</v>
      </c>
      <c r="D49" s="62">
        <f aca="true" t="shared" si="6" ref="D49:P49">D33+D47</f>
        <v>13729.795074350013</v>
      </c>
      <c r="E49" s="120">
        <f t="shared" si="6"/>
        <v>118029.87</v>
      </c>
      <c r="F49" s="119">
        <f t="shared" si="6"/>
        <v>16065.79</v>
      </c>
      <c r="G49" s="61">
        <f t="shared" si="6"/>
        <v>114547.39</v>
      </c>
      <c r="H49" s="85">
        <f t="shared" si="6"/>
        <v>144342.97507435002</v>
      </c>
      <c r="I49" s="120">
        <f t="shared" si="6"/>
        <v>10104.923999999999</v>
      </c>
      <c r="J49" s="59">
        <f t="shared" si="6"/>
        <v>16774.560928004998</v>
      </c>
      <c r="K49" s="59">
        <f t="shared" si="6"/>
        <v>57546.5288706236</v>
      </c>
      <c r="L49" s="59">
        <f t="shared" si="6"/>
        <v>11432.06</v>
      </c>
      <c r="M49" s="59">
        <f t="shared" si="6"/>
        <v>3592.5119999999997</v>
      </c>
      <c r="N49" s="93">
        <f t="shared" si="6"/>
        <v>99450.5857986286</v>
      </c>
      <c r="O49" s="62">
        <f t="shared" si="6"/>
        <v>44892.38927572142</v>
      </c>
      <c r="P49" s="113">
        <f t="shared" si="6"/>
        <v>-3482.480000000004</v>
      </c>
      <c r="Q49" s="63"/>
      <c r="R49" s="53"/>
    </row>
  </sheetData>
  <sheetProtection/>
  <mergeCells count="19">
    <mergeCell ref="A5:O5"/>
    <mergeCell ref="A8:A11"/>
    <mergeCell ref="B8:B11"/>
    <mergeCell ref="C8:C11"/>
    <mergeCell ref="D8:D11"/>
    <mergeCell ref="E8:F9"/>
    <mergeCell ref="I8:N9"/>
    <mergeCell ref="O8:O11"/>
    <mergeCell ref="A6:G6"/>
    <mergeCell ref="P8:P11"/>
    <mergeCell ref="E10:F10"/>
    <mergeCell ref="H10:H11"/>
    <mergeCell ref="I10:I11"/>
    <mergeCell ref="J10:J11"/>
    <mergeCell ref="K10:K11"/>
    <mergeCell ref="L10:L11"/>
    <mergeCell ref="G8:H9"/>
    <mergeCell ref="N10:N11"/>
    <mergeCell ref="M10:M11"/>
  </mergeCells>
  <printOptions/>
  <pageMargins left="0.3937007874015748" right="0.3937007874015748" top="0.17" bottom="0.16" header="0.17" footer="0.26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27"/>
  <sheetViews>
    <sheetView zoomScalePageLayoutView="0" workbookViewId="0" topLeftCell="AT5">
      <selection activeCell="BA16" sqref="BA16"/>
    </sheetView>
  </sheetViews>
  <sheetFormatPr defaultColWidth="9.00390625" defaultRowHeight="12.75"/>
  <cols>
    <col min="1" max="1" width="8.75390625" style="2" bestFit="1" customWidth="1"/>
    <col min="2" max="2" width="10.375" style="2" customWidth="1"/>
    <col min="3" max="3" width="10.125" style="2" bestFit="1" customWidth="1"/>
    <col min="4" max="4" width="9.125" style="2" customWidth="1"/>
    <col min="5" max="5" width="10.25390625" style="2" customWidth="1"/>
    <col min="6" max="6" width="9.125" style="2" customWidth="1"/>
    <col min="7" max="7" width="9.875" style="2" customWidth="1"/>
    <col min="8" max="8" width="9.125" style="2" customWidth="1"/>
    <col min="9" max="9" width="10.375" style="2" customWidth="1"/>
    <col min="10" max="12" width="9.125" style="2" customWidth="1"/>
    <col min="13" max="13" width="10.125" style="2" bestFit="1" customWidth="1"/>
    <col min="14" max="16" width="9.125" style="2" customWidth="1"/>
    <col min="17" max="17" width="10.125" style="2" bestFit="1" customWidth="1"/>
    <col min="18" max="18" width="10.125" style="2" customWidth="1"/>
    <col min="19" max="20" width="9.125" style="2" customWidth="1"/>
    <col min="21" max="21" width="10.625" style="2" customWidth="1"/>
    <col min="22" max="22" width="10.125" style="2" customWidth="1"/>
    <col min="23" max="23" width="11.00390625" style="2" customWidth="1"/>
    <col min="24" max="24" width="13.125" style="2" customWidth="1"/>
    <col min="25" max="25" width="12.125" style="2" customWidth="1"/>
    <col min="26" max="26" width="14.375" style="2" customWidth="1"/>
    <col min="27" max="28" width="13.125" style="2" customWidth="1"/>
    <col min="29" max="29" width="9.25390625" style="2" bestFit="1" customWidth="1"/>
    <col min="30" max="30" width="9.875" style="2" customWidth="1"/>
    <col min="31" max="31" width="10.25390625" style="2" customWidth="1"/>
    <col min="32" max="32" width="10.375" style="2" customWidth="1"/>
    <col min="33" max="33" width="10.75390625" style="2" customWidth="1"/>
    <col min="34" max="34" width="10.25390625" style="2" customWidth="1"/>
    <col min="35" max="35" width="9.25390625" style="2" bestFit="1" customWidth="1"/>
    <col min="36" max="36" width="10.875" style="2" customWidth="1"/>
    <col min="37" max="37" width="13.75390625" style="2" customWidth="1"/>
    <col min="38" max="38" width="13.375" style="2" customWidth="1"/>
    <col min="39" max="39" width="12.00390625" style="2" customWidth="1"/>
    <col min="40" max="40" width="13.125" style="2" customWidth="1"/>
    <col min="41" max="41" width="13.875" style="2" customWidth="1"/>
    <col min="42" max="42" width="15.375" style="2" customWidth="1"/>
    <col min="43" max="44" width="11.875" style="2" customWidth="1"/>
    <col min="45" max="45" width="12.25390625" style="2" customWidth="1"/>
    <col min="46" max="46" width="12.125" style="2" customWidth="1"/>
    <col min="47" max="47" width="14.25390625" style="2" customWidth="1"/>
    <col min="48" max="48" width="13.75390625" style="2" customWidth="1"/>
    <col min="49" max="49" width="15.875" style="2" customWidth="1"/>
    <col min="50" max="50" width="11.37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7" width="10.75390625" style="2" customWidth="1"/>
    <col min="58" max="58" width="14.00390625" style="2" customWidth="1"/>
    <col min="59" max="59" width="12.125" style="2" customWidth="1"/>
    <col min="60" max="16384" width="9.125" style="2" customWidth="1"/>
  </cols>
  <sheetData>
    <row r="1" spans="1:16" ht="21" customHeight="1">
      <c r="A1" s="350" t="s">
        <v>95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1"/>
      <c r="N1" s="1"/>
      <c r="O1" s="1"/>
      <c r="P1" s="1"/>
    </row>
    <row r="2" spans="1:56" ht="110.25" customHeight="1" thickBot="1">
      <c r="A2" s="1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BD2" s="257"/>
    </row>
    <row r="3" spans="1:60" ht="29.25" customHeight="1" thickBot="1">
      <c r="A3" s="351" t="s">
        <v>96</v>
      </c>
      <c r="B3" s="353" t="s">
        <v>0</v>
      </c>
      <c r="C3" s="355" t="s">
        <v>1</v>
      </c>
      <c r="D3" s="357" t="s">
        <v>2</v>
      </c>
      <c r="E3" s="351" t="s">
        <v>97</v>
      </c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66"/>
      <c r="S3" s="351"/>
      <c r="T3" s="359"/>
      <c r="U3" s="351" t="s">
        <v>3</v>
      </c>
      <c r="V3" s="359"/>
      <c r="W3" s="362" t="s">
        <v>4</v>
      </c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439"/>
      <c r="AJ3" s="441" t="s">
        <v>78</v>
      </c>
      <c r="AK3" s="328" t="s">
        <v>8</v>
      </c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30"/>
      <c r="BF3" s="341" t="s">
        <v>9</v>
      </c>
      <c r="BG3" s="427" t="s">
        <v>10</v>
      </c>
      <c r="BH3" s="258"/>
    </row>
    <row r="4" spans="1:59" ht="51.75" customHeight="1" hidden="1" thickBot="1">
      <c r="A4" s="352"/>
      <c r="B4" s="354"/>
      <c r="C4" s="356"/>
      <c r="D4" s="358"/>
      <c r="E4" s="352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8"/>
      <c r="S4" s="360"/>
      <c r="T4" s="361"/>
      <c r="U4" s="360"/>
      <c r="V4" s="361"/>
      <c r="W4" s="364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440"/>
      <c r="AJ4" s="442"/>
      <c r="AK4" s="324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2"/>
      <c r="BF4" s="342"/>
      <c r="BG4" s="428"/>
    </row>
    <row r="5" spans="1:61" ht="19.5" customHeight="1">
      <c r="A5" s="352"/>
      <c r="B5" s="354"/>
      <c r="C5" s="356"/>
      <c r="D5" s="358"/>
      <c r="E5" s="421" t="s">
        <v>11</v>
      </c>
      <c r="F5" s="422"/>
      <c r="G5" s="421" t="s">
        <v>98</v>
      </c>
      <c r="H5" s="422"/>
      <c r="I5" s="421" t="s">
        <v>12</v>
      </c>
      <c r="J5" s="422"/>
      <c r="K5" s="421" t="s">
        <v>14</v>
      </c>
      <c r="L5" s="422"/>
      <c r="M5" s="421" t="s">
        <v>13</v>
      </c>
      <c r="N5" s="422"/>
      <c r="O5" s="425" t="s">
        <v>15</v>
      </c>
      <c r="P5" s="425"/>
      <c r="Q5" s="421" t="s">
        <v>99</v>
      </c>
      <c r="R5" s="422"/>
      <c r="S5" s="425" t="s">
        <v>100</v>
      </c>
      <c r="T5" s="422"/>
      <c r="U5" s="315" t="s">
        <v>18</v>
      </c>
      <c r="V5" s="319" t="s">
        <v>19</v>
      </c>
      <c r="W5" s="447" t="s">
        <v>20</v>
      </c>
      <c r="X5" s="447" t="s">
        <v>101</v>
      </c>
      <c r="Y5" s="447" t="s">
        <v>21</v>
      </c>
      <c r="Z5" s="447" t="s">
        <v>23</v>
      </c>
      <c r="AA5" s="447" t="s">
        <v>22</v>
      </c>
      <c r="AB5" s="447" t="s">
        <v>24</v>
      </c>
      <c r="AC5" s="447" t="s">
        <v>25</v>
      </c>
      <c r="AD5" s="455" t="s">
        <v>26</v>
      </c>
      <c r="AE5" s="455" t="s">
        <v>102</v>
      </c>
      <c r="AF5" s="445" t="s">
        <v>27</v>
      </c>
      <c r="AG5" s="432" t="s">
        <v>77</v>
      </c>
      <c r="AH5" s="434" t="s">
        <v>6</v>
      </c>
      <c r="AI5" s="436" t="s">
        <v>7</v>
      </c>
      <c r="AJ5" s="442"/>
      <c r="AK5" s="438" t="s">
        <v>103</v>
      </c>
      <c r="AL5" s="430" t="s">
        <v>104</v>
      </c>
      <c r="AM5" s="430" t="s">
        <v>105</v>
      </c>
      <c r="AN5" s="376" t="s">
        <v>106</v>
      </c>
      <c r="AO5" s="430" t="s">
        <v>107</v>
      </c>
      <c r="AP5" s="376" t="s">
        <v>108</v>
      </c>
      <c r="AQ5" s="376" t="s">
        <v>109</v>
      </c>
      <c r="AR5" s="376" t="s">
        <v>122</v>
      </c>
      <c r="AS5" s="376" t="s">
        <v>110</v>
      </c>
      <c r="AT5" s="376" t="s">
        <v>34</v>
      </c>
      <c r="AU5" s="444" t="s">
        <v>111</v>
      </c>
      <c r="AV5" s="311" t="s">
        <v>112</v>
      </c>
      <c r="AW5" s="444" t="s">
        <v>113</v>
      </c>
      <c r="AX5" s="451" t="s">
        <v>114</v>
      </c>
      <c r="AY5" s="259"/>
      <c r="AZ5" s="380" t="s">
        <v>17</v>
      </c>
      <c r="BA5" s="376" t="s">
        <v>36</v>
      </c>
      <c r="BB5" s="376" t="s">
        <v>31</v>
      </c>
      <c r="BC5" s="449" t="s">
        <v>37</v>
      </c>
      <c r="BD5" s="344" t="s">
        <v>80</v>
      </c>
      <c r="BE5" s="376" t="s">
        <v>81</v>
      </c>
      <c r="BF5" s="342"/>
      <c r="BG5" s="428"/>
      <c r="BH5" s="255"/>
      <c r="BI5" s="256"/>
    </row>
    <row r="6" spans="1:61" ht="59.25" customHeight="1" thickBot="1">
      <c r="A6" s="352"/>
      <c r="B6" s="354"/>
      <c r="C6" s="356"/>
      <c r="D6" s="358"/>
      <c r="E6" s="423"/>
      <c r="F6" s="424"/>
      <c r="G6" s="423"/>
      <c r="H6" s="424"/>
      <c r="I6" s="423"/>
      <c r="J6" s="424"/>
      <c r="K6" s="423"/>
      <c r="L6" s="424"/>
      <c r="M6" s="423"/>
      <c r="N6" s="424"/>
      <c r="O6" s="426"/>
      <c r="P6" s="426"/>
      <c r="Q6" s="423"/>
      <c r="R6" s="424"/>
      <c r="S6" s="454"/>
      <c r="T6" s="424"/>
      <c r="U6" s="431"/>
      <c r="V6" s="453"/>
      <c r="W6" s="448"/>
      <c r="X6" s="448"/>
      <c r="Y6" s="448"/>
      <c r="Z6" s="448"/>
      <c r="AA6" s="448"/>
      <c r="AB6" s="448"/>
      <c r="AC6" s="448"/>
      <c r="AD6" s="456"/>
      <c r="AE6" s="456"/>
      <c r="AF6" s="446"/>
      <c r="AG6" s="433"/>
      <c r="AH6" s="435"/>
      <c r="AI6" s="437"/>
      <c r="AJ6" s="443"/>
      <c r="AK6" s="340"/>
      <c r="AL6" s="322"/>
      <c r="AM6" s="322"/>
      <c r="AN6" s="314"/>
      <c r="AO6" s="322"/>
      <c r="AP6" s="314"/>
      <c r="AQ6" s="314"/>
      <c r="AR6" s="314"/>
      <c r="AS6" s="314"/>
      <c r="AT6" s="314"/>
      <c r="AU6" s="336"/>
      <c r="AV6" s="312"/>
      <c r="AW6" s="336"/>
      <c r="AX6" s="452"/>
      <c r="AY6" s="133" t="s">
        <v>115</v>
      </c>
      <c r="AZ6" s="381"/>
      <c r="BA6" s="314"/>
      <c r="BB6" s="314"/>
      <c r="BC6" s="450"/>
      <c r="BD6" s="346"/>
      <c r="BE6" s="314"/>
      <c r="BF6" s="343"/>
      <c r="BG6" s="429"/>
      <c r="BH6" s="255"/>
      <c r="BI6" s="256"/>
    </row>
    <row r="7" spans="1:61" ht="19.5" customHeight="1" thickBot="1">
      <c r="A7" s="260">
        <v>1</v>
      </c>
      <c r="B7" s="38">
        <v>2</v>
      </c>
      <c r="C7" s="38">
        <v>3</v>
      </c>
      <c r="D7" s="260">
        <v>4</v>
      </c>
      <c r="E7" s="38">
        <v>5</v>
      </c>
      <c r="F7" s="38">
        <v>6</v>
      </c>
      <c r="G7" s="260">
        <v>7</v>
      </c>
      <c r="H7" s="38">
        <v>8</v>
      </c>
      <c r="I7" s="38">
        <v>9</v>
      </c>
      <c r="J7" s="260">
        <v>10</v>
      </c>
      <c r="K7" s="38">
        <v>11</v>
      </c>
      <c r="L7" s="38">
        <v>12</v>
      </c>
      <c r="M7" s="260">
        <v>13</v>
      </c>
      <c r="N7" s="38">
        <v>14</v>
      </c>
      <c r="O7" s="38">
        <v>15</v>
      </c>
      <c r="P7" s="260">
        <v>16</v>
      </c>
      <c r="Q7" s="38">
        <v>17</v>
      </c>
      <c r="R7" s="38">
        <v>18</v>
      </c>
      <c r="S7" s="260">
        <v>19</v>
      </c>
      <c r="T7" s="38">
        <v>20</v>
      </c>
      <c r="U7" s="38">
        <v>21</v>
      </c>
      <c r="V7" s="260">
        <v>22</v>
      </c>
      <c r="W7" s="38">
        <v>23</v>
      </c>
      <c r="X7" s="260">
        <v>24</v>
      </c>
      <c r="Y7" s="38">
        <v>25</v>
      </c>
      <c r="Z7" s="260">
        <v>26</v>
      </c>
      <c r="AA7" s="38">
        <v>27</v>
      </c>
      <c r="AB7" s="260">
        <v>28</v>
      </c>
      <c r="AC7" s="38">
        <v>29</v>
      </c>
      <c r="AD7" s="260">
        <v>30</v>
      </c>
      <c r="AE7" s="260">
        <v>31</v>
      </c>
      <c r="AF7" s="38">
        <v>32</v>
      </c>
      <c r="AG7" s="260">
        <v>33</v>
      </c>
      <c r="AH7" s="38">
        <v>34</v>
      </c>
      <c r="AI7" s="260">
        <v>35</v>
      </c>
      <c r="AJ7" s="38">
        <v>36</v>
      </c>
      <c r="AK7" s="260">
        <v>37</v>
      </c>
      <c r="AL7" s="38">
        <v>38</v>
      </c>
      <c r="AM7" s="260">
        <v>39</v>
      </c>
      <c r="AN7" s="260">
        <v>40</v>
      </c>
      <c r="AO7" s="38">
        <v>41</v>
      </c>
      <c r="AP7" s="260">
        <v>42</v>
      </c>
      <c r="AQ7" s="38">
        <v>43</v>
      </c>
      <c r="AR7" s="260">
        <v>44</v>
      </c>
      <c r="AS7" s="38">
        <v>45</v>
      </c>
      <c r="AT7" s="260">
        <v>46</v>
      </c>
      <c r="AU7" s="38">
        <v>47</v>
      </c>
      <c r="AV7" s="260">
        <v>48</v>
      </c>
      <c r="AW7" s="260">
        <v>49</v>
      </c>
      <c r="AX7" s="260"/>
      <c r="AY7" s="260"/>
      <c r="AZ7" s="38">
        <v>50</v>
      </c>
      <c r="BA7" s="260">
        <v>51</v>
      </c>
      <c r="BB7" s="38">
        <v>52</v>
      </c>
      <c r="BC7" s="260">
        <v>53</v>
      </c>
      <c r="BD7" s="38">
        <v>54</v>
      </c>
      <c r="BE7" s="260"/>
      <c r="BF7" s="260">
        <v>55</v>
      </c>
      <c r="BG7" s="38">
        <v>56</v>
      </c>
      <c r="BH7" s="256"/>
      <c r="BI7" s="256"/>
    </row>
    <row r="8" spans="1:61" ht="15" customHeight="1" hidden="1">
      <c r="A8" s="5" t="s">
        <v>42</v>
      </c>
      <c r="B8" s="261"/>
      <c r="C8" s="151"/>
      <c r="D8" s="262"/>
      <c r="E8" s="151"/>
      <c r="F8" s="262"/>
      <c r="G8" s="151"/>
      <c r="H8" s="262"/>
      <c r="I8" s="151"/>
      <c r="J8" s="262"/>
      <c r="K8" s="262"/>
      <c r="L8" s="262"/>
      <c r="M8" s="262"/>
      <c r="N8" s="262"/>
      <c r="O8" s="263"/>
      <c r="P8" s="263"/>
      <c r="Q8" s="263"/>
      <c r="R8" s="263"/>
      <c r="S8" s="264"/>
      <c r="T8" s="264"/>
      <c r="U8" s="264"/>
      <c r="V8" s="264"/>
      <c r="W8" s="264"/>
      <c r="X8" s="264"/>
      <c r="Y8" s="264"/>
      <c r="Z8" s="265"/>
      <c r="AA8" s="265"/>
      <c r="AB8" s="266"/>
      <c r="AC8" s="266"/>
      <c r="AD8" s="99"/>
      <c r="AE8" s="99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267"/>
      <c r="AS8" s="267"/>
      <c r="AT8" s="25"/>
      <c r="AU8" s="25"/>
      <c r="AV8" s="25"/>
      <c r="AW8" s="17"/>
      <c r="AX8" s="17"/>
      <c r="AY8" s="17"/>
      <c r="AZ8" s="17"/>
      <c r="BA8" s="17"/>
      <c r="BB8" s="17"/>
      <c r="BC8" s="54"/>
      <c r="BD8" s="16"/>
      <c r="BE8" s="16"/>
      <c r="BF8" s="16"/>
      <c r="BG8" s="77"/>
      <c r="BH8" s="54"/>
      <c r="BI8" s="1"/>
    </row>
    <row r="9" spans="1:60" s="24" customFormat="1" ht="13.5" thickBot="1">
      <c r="A9" s="27" t="s">
        <v>52</v>
      </c>
      <c r="B9" s="28"/>
      <c r="C9" s="28">
        <f>Лист1!C44</f>
        <v>147869.15500000003</v>
      </c>
      <c r="D9" s="28">
        <f>Лист1!D44</f>
        <v>13729.795074350013</v>
      </c>
      <c r="E9" s="28">
        <f>Лист1!E44</f>
        <v>13632.92</v>
      </c>
      <c r="F9" s="28">
        <f>Лист1!F44</f>
        <v>1855.02</v>
      </c>
      <c r="G9" s="28">
        <v>0</v>
      </c>
      <c r="H9" s="28">
        <v>0</v>
      </c>
      <c r="I9" s="28">
        <f>Лист1!G44</f>
        <v>18439.4</v>
      </c>
      <c r="J9" s="28">
        <f>Лист1!H44</f>
        <v>2510.9699999999993</v>
      </c>
      <c r="K9" s="268">
        <f>Лист1!K44</f>
        <v>30709.100000000006</v>
      </c>
      <c r="L9" s="268">
        <f>Лист1!L44</f>
        <v>4180.55</v>
      </c>
      <c r="M9" s="28">
        <f>Лист1!I44</f>
        <v>44342.03</v>
      </c>
      <c r="N9" s="28">
        <f>Лист1!J44</f>
        <v>6035.32</v>
      </c>
      <c r="O9" s="28">
        <f>Лист1!M44</f>
        <v>10906.42</v>
      </c>
      <c r="P9" s="28">
        <f>Лист1!N44</f>
        <v>1483.9300000000003</v>
      </c>
      <c r="Q9" s="28">
        <f>'[1]Лист1'!O39</f>
        <v>0</v>
      </c>
      <c r="R9" s="28">
        <f>'[1]Лист1'!P39</f>
        <v>0</v>
      </c>
      <c r="S9" s="28">
        <f>'[1]Лист1'!Q39</f>
        <v>0</v>
      </c>
      <c r="T9" s="28">
        <f>'[1]Лист1'!R39</f>
        <v>0</v>
      </c>
      <c r="U9" s="28">
        <f>Лист1!S44</f>
        <v>118029.87</v>
      </c>
      <c r="V9" s="28">
        <f>Лист1!T44</f>
        <v>16065.79</v>
      </c>
      <c r="W9" s="28">
        <f>Лист1!U44</f>
        <v>13231.46</v>
      </c>
      <c r="X9" s="28">
        <v>0</v>
      </c>
      <c r="Y9" s="28">
        <f>Лист1!V44</f>
        <v>17894.17</v>
      </c>
      <c r="Z9" s="28">
        <f>Лист1!X44</f>
        <v>29802.47</v>
      </c>
      <c r="AA9" s="28">
        <f>Лист1!W44</f>
        <v>43034.03</v>
      </c>
      <c r="AB9" s="28">
        <f>Лист1!Y44</f>
        <v>10585.26</v>
      </c>
      <c r="AC9" s="28">
        <f>'[1]Лист1'!Z39</f>
        <v>0</v>
      </c>
      <c r="AD9" s="24">
        <v>0</v>
      </c>
      <c r="AE9" s="24">
        <v>0</v>
      </c>
      <c r="AF9" s="28">
        <f>Лист1!AB44</f>
        <v>114547.39</v>
      </c>
      <c r="AG9" s="268">
        <f>Лист1!AC44</f>
        <v>144342.97507435002</v>
      </c>
      <c r="AH9" s="268">
        <f>Лист1!AD44</f>
        <v>0</v>
      </c>
      <c r="AI9" s="268">
        <f>Лист1!AE44</f>
        <v>0</v>
      </c>
      <c r="AJ9" s="268">
        <f>Лист1!AF44</f>
        <v>0</v>
      </c>
      <c r="AK9" s="268">
        <f>Лист1!AG44</f>
        <v>10104.923999999999</v>
      </c>
      <c r="AL9" s="268">
        <f>Лист1!AH44</f>
        <v>3385.9735047999993</v>
      </c>
      <c r="AM9" s="28">
        <f>Лист1!AI44+Лист1!AJ44</f>
        <v>16774.560928004998</v>
      </c>
      <c r="AN9" s="28">
        <f>0</f>
        <v>0</v>
      </c>
      <c r="AO9" s="28">
        <f>Лист1!AK44+Лист1!AL44</f>
        <v>16731.164876888997</v>
      </c>
      <c r="AP9" s="28">
        <f>Лист1!AM44+Лист1!AN44</f>
        <v>37429.39048893461</v>
      </c>
      <c r="AQ9" s="28">
        <f>0</f>
        <v>0</v>
      </c>
      <c r="AR9" s="28">
        <f>0</f>
        <v>0</v>
      </c>
      <c r="AS9" s="28">
        <v>0</v>
      </c>
      <c r="AT9" s="28">
        <f>Лист1!AS44+Лист1!AU44</f>
        <v>1384.26</v>
      </c>
      <c r="AU9" s="28">
        <f>0</f>
        <v>0</v>
      </c>
      <c r="AV9" s="28">
        <f>Лист1!AT44</f>
        <v>10047.8</v>
      </c>
      <c r="AW9" s="28">
        <f>0</f>
        <v>0</v>
      </c>
      <c r="AX9" s="28">
        <f>Лист1!AX44</f>
        <v>3592.5119999999997</v>
      </c>
      <c r="AY9" s="28"/>
      <c r="AZ9" s="28">
        <f>Лист1!AY44</f>
        <v>0</v>
      </c>
      <c r="BA9" s="28">
        <f>Лист1!AZ44</f>
        <v>0</v>
      </c>
      <c r="BB9" s="28">
        <f>Лист1!BA44</f>
        <v>0</v>
      </c>
      <c r="BC9" s="28">
        <f>Лист1!BB44</f>
        <v>99450.5857986286</v>
      </c>
      <c r="BD9" s="28">
        <v>0</v>
      </c>
      <c r="BE9" s="269">
        <f>BC9</f>
        <v>99450.5857986286</v>
      </c>
      <c r="BF9" s="270">
        <f>AG9-BE9</f>
        <v>44892.38927572142</v>
      </c>
      <c r="BG9" s="271">
        <f>AF9-U9</f>
        <v>-3482.479999999996</v>
      </c>
      <c r="BH9" s="53"/>
    </row>
    <row r="10" spans="1:60" ht="15" customHeight="1" thickBot="1">
      <c r="A10" s="5" t="s">
        <v>116</v>
      </c>
      <c r="B10" s="261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3"/>
      <c r="P10" s="273"/>
      <c r="Q10" s="273"/>
      <c r="R10" s="273"/>
      <c r="S10" s="272"/>
      <c r="T10" s="272"/>
      <c r="U10" s="272"/>
      <c r="V10" s="272"/>
      <c r="W10" s="272"/>
      <c r="X10" s="272"/>
      <c r="Y10" s="272"/>
      <c r="Z10" s="273"/>
      <c r="AA10" s="273"/>
      <c r="AB10" s="274"/>
      <c r="AC10" s="274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7"/>
      <c r="AX10" s="17"/>
      <c r="AY10" s="17"/>
      <c r="AZ10" s="17"/>
      <c r="BA10" s="17"/>
      <c r="BB10" s="16"/>
      <c r="BC10" s="16"/>
      <c r="BD10" s="16"/>
      <c r="BE10" s="275"/>
      <c r="BF10" s="270">
        <f>AG10-BE10</f>
        <v>0</v>
      </c>
      <c r="BG10" s="271">
        <f>AF10-U10</f>
        <v>0</v>
      </c>
      <c r="BH10" s="310"/>
    </row>
    <row r="11" spans="1:65" ht="13.5" thickBot="1">
      <c r="A11" s="14" t="s">
        <v>43</v>
      </c>
      <c r="B11" s="226">
        <v>633.7</v>
      </c>
      <c r="C11" s="227">
        <f>B11*8.55</f>
        <v>5418.135000000001</v>
      </c>
      <c r="D11" s="299">
        <v>163.68220000000002</v>
      </c>
      <c r="E11" s="232">
        <v>0</v>
      </c>
      <c r="F11" s="232">
        <v>0</v>
      </c>
      <c r="G11" s="229">
        <v>3403.71</v>
      </c>
      <c r="H11" s="229">
        <v>0</v>
      </c>
      <c r="I11" s="229">
        <v>0</v>
      </c>
      <c r="J11" s="229">
        <v>0</v>
      </c>
      <c r="K11" s="229">
        <v>0</v>
      </c>
      <c r="L11" s="229">
        <v>0</v>
      </c>
      <c r="M11" s="229">
        <v>1653.22</v>
      </c>
      <c r="N11" s="229">
        <v>0</v>
      </c>
      <c r="O11" s="230">
        <v>573.69</v>
      </c>
      <c r="P11" s="483">
        <v>0</v>
      </c>
      <c r="Q11" s="484">
        <v>0</v>
      </c>
      <c r="R11" s="485">
        <v>0</v>
      </c>
      <c r="S11" s="486">
        <v>0</v>
      </c>
      <c r="T11" s="487">
        <v>0</v>
      </c>
      <c r="U11" s="488">
        <f aca="true" t="shared" si="0" ref="U11:V16">E11+G11+I11+K11+M11+O11+Q11+S11</f>
        <v>5630.620000000001</v>
      </c>
      <c r="V11" s="489">
        <f t="shared" si="0"/>
        <v>0</v>
      </c>
      <c r="W11" s="229">
        <v>382.38</v>
      </c>
      <c r="X11" s="229"/>
      <c r="Y11" s="229">
        <v>517.76</v>
      </c>
      <c r="Z11" s="229">
        <v>861.95</v>
      </c>
      <c r="AA11" s="229">
        <v>1244.33</v>
      </c>
      <c r="AB11" s="229">
        <v>305.9</v>
      </c>
      <c r="AC11" s="229">
        <v>0</v>
      </c>
      <c r="AD11" s="232">
        <v>0</v>
      </c>
      <c r="AE11" s="490">
        <v>0</v>
      </c>
      <c r="AF11" s="490">
        <f>SUM(W11:AE11)</f>
        <v>3312.32</v>
      </c>
      <c r="AG11" s="300">
        <f>AF11+V11+D11</f>
        <v>3476.0022000000004</v>
      </c>
      <c r="AH11" s="301">
        <f aca="true" t="shared" si="1" ref="AH11:AI16">AC11</f>
        <v>0</v>
      </c>
      <c r="AI11" s="301">
        <f t="shared" si="1"/>
        <v>0</v>
      </c>
      <c r="AJ11" s="235"/>
      <c r="AK11" s="236">
        <f aca="true" t="shared" si="2" ref="AK11:AK16">0.67*B11</f>
        <v>424.57900000000006</v>
      </c>
      <c r="AL11" s="236">
        <f aca="true" t="shared" si="3" ref="AL11:AL16">B11*0.2</f>
        <v>126.74000000000001</v>
      </c>
      <c r="AM11" s="236">
        <f aca="true" t="shared" si="4" ref="AM11:AM16">B11*1</f>
        <v>633.7</v>
      </c>
      <c r="AN11" s="236">
        <f aca="true" t="shared" si="5" ref="AN11:AN16">B11*0.21</f>
        <v>133.077</v>
      </c>
      <c r="AO11" s="236">
        <f aca="true" t="shared" si="6" ref="AO11:AO16">2.02*B11</f>
        <v>1280.074</v>
      </c>
      <c r="AP11" s="236">
        <f aca="true" t="shared" si="7" ref="AP11:AP16">B11*1.03</f>
        <v>652.711</v>
      </c>
      <c r="AQ11" s="236">
        <f aca="true" t="shared" si="8" ref="AQ11:AQ16">B11*0.75</f>
        <v>475.27500000000003</v>
      </c>
      <c r="AR11" s="236">
        <f>B11*0.75</f>
        <v>475.27500000000003</v>
      </c>
      <c r="AS11" s="236">
        <f>B11*1.15</f>
        <v>728.755</v>
      </c>
      <c r="AT11" s="236"/>
      <c r="AU11" s="238"/>
      <c r="AV11" s="237"/>
      <c r="AW11" s="238"/>
      <c r="AX11" s="238">
        <f>58</f>
        <v>58</v>
      </c>
      <c r="AY11" s="238"/>
      <c r="AZ11" s="241"/>
      <c r="BA11" s="242"/>
      <c r="BB11" s="242">
        <f>BA11*0.18</f>
        <v>0</v>
      </c>
      <c r="BC11" s="242">
        <f>SUM(AK11:BB11)</f>
        <v>4988.186000000001</v>
      </c>
      <c r="BD11" s="243"/>
      <c r="BE11" s="77">
        <f>BC11</f>
        <v>4988.186000000001</v>
      </c>
      <c r="BF11" s="270">
        <f>AG11-BE11</f>
        <v>-1512.1838000000002</v>
      </c>
      <c r="BG11" s="271">
        <f>AF11-U11</f>
        <v>-2318.3000000000006</v>
      </c>
      <c r="BH11" s="63"/>
      <c r="BI11" s="63"/>
      <c r="BJ11" s="276"/>
      <c r="BK11" s="1"/>
      <c r="BM11" s="277"/>
    </row>
    <row r="12" spans="1:61" ht="13.5" thickBot="1">
      <c r="A12" s="14" t="s">
        <v>44</v>
      </c>
      <c r="B12" s="226">
        <v>633.7</v>
      </c>
      <c r="C12" s="227">
        <f>B12*8.55</f>
        <v>5418.135000000001</v>
      </c>
      <c r="D12" s="299">
        <v>163.68220000000002</v>
      </c>
      <c r="E12" s="232">
        <v>0</v>
      </c>
      <c r="F12" s="232">
        <v>0</v>
      </c>
      <c r="G12" s="229">
        <v>3398.55</v>
      </c>
      <c r="H12" s="229">
        <v>0</v>
      </c>
      <c r="I12" s="229">
        <v>0</v>
      </c>
      <c r="J12" s="229">
        <v>0</v>
      </c>
      <c r="K12" s="229">
        <v>0</v>
      </c>
      <c r="L12" s="229">
        <v>0</v>
      </c>
      <c r="M12" s="229">
        <v>1650.69</v>
      </c>
      <c r="N12" s="229">
        <v>0</v>
      </c>
      <c r="O12" s="230">
        <v>572.78</v>
      </c>
      <c r="P12" s="231">
        <v>0</v>
      </c>
      <c r="Q12" s="232">
        <v>0</v>
      </c>
      <c r="R12" s="232">
        <v>0</v>
      </c>
      <c r="S12" s="232">
        <v>0</v>
      </c>
      <c r="T12" s="229">
        <v>0</v>
      </c>
      <c r="U12" s="491">
        <f t="shared" si="0"/>
        <v>5622.0199999999995</v>
      </c>
      <c r="V12" s="489">
        <f t="shared" si="0"/>
        <v>0</v>
      </c>
      <c r="W12" s="229">
        <v>49.31</v>
      </c>
      <c r="X12" s="232">
        <v>2518.68</v>
      </c>
      <c r="Y12" s="229">
        <v>66.59</v>
      </c>
      <c r="Z12" s="229">
        <v>110.98</v>
      </c>
      <c r="AA12" s="229">
        <v>1382.62</v>
      </c>
      <c r="AB12" s="229">
        <v>463.66</v>
      </c>
      <c r="AC12" s="229">
        <v>0</v>
      </c>
      <c r="AD12" s="232">
        <v>0</v>
      </c>
      <c r="AE12" s="232">
        <v>0</v>
      </c>
      <c r="AF12" s="490">
        <f>SUM(W12:AE12)</f>
        <v>4591.84</v>
      </c>
      <c r="AG12" s="300">
        <f>AF12+V12+D12</f>
        <v>4755.5222</v>
      </c>
      <c r="AH12" s="301">
        <f t="shared" si="1"/>
        <v>0</v>
      </c>
      <c r="AI12" s="301">
        <f t="shared" si="1"/>
        <v>0</v>
      </c>
      <c r="AJ12" s="235"/>
      <c r="AK12" s="236">
        <f t="shared" si="2"/>
        <v>424.57900000000006</v>
      </c>
      <c r="AL12" s="236">
        <f t="shared" si="3"/>
        <v>126.74000000000001</v>
      </c>
      <c r="AM12" s="236">
        <f t="shared" si="4"/>
        <v>633.7</v>
      </c>
      <c r="AN12" s="236">
        <f t="shared" si="5"/>
        <v>133.077</v>
      </c>
      <c r="AO12" s="236">
        <f t="shared" si="6"/>
        <v>1280.074</v>
      </c>
      <c r="AP12" s="236">
        <f t="shared" si="7"/>
        <v>652.711</v>
      </c>
      <c r="AQ12" s="236">
        <f t="shared" si="8"/>
        <v>475.27500000000003</v>
      </c>
      <c r="AR12" s="236">
        <f>B12*0.75</f>
        <v>475.27500000000003</v>
      </c>
      <c r="AS12" s="236">
        <f>B12*1.15</f>
        <v>728.755</v>
      </c>
      <c r="AT12" s="236"/>
      <c r="AU12" s="238"/>
      <c r="AV12" s="237"/>
      <c r="AW12" s="238"/>
      <c r="AX12" s="238">
        <f>22.56</f>
        <v>22.56</v>
      </c>
      <c r="AY12" s="238"/>
      <c r="AZ12" s="241"/>
      <c r="BA12" s="242"/>
      <c r="BB12" s="242">
        <f>BA12*0.18</f>
        <v>0</v>
      </c>
      <c r="BC12" s="242">
        <f>SUM(AK12:BB12)</f>
        <v>4952.746000000001</v>
      </c>
      <c r="BD12" s="243"/>
      <c r="BE12" s="77">
        <f aca="true" t="shared" si="9" ref="BE12:BE22">BC12</f>
        <v>4952.746000000001</v>
      </c>
      <c r="BF12" s="270">
        <f>AG12-BE12</f>
        <v>-197.22380000000067</v>
      </c>
      <c r="BG12" s="271">
        <f aca="true" t="shared" si="10" ref="BG12:BG22">AF12-U12</f>
        <v>-1030.1799999999994</v>
      </c>
      <c r="BH12" s="308"/>
      <c r="BI12" s="276"/>
    </row>
    <row r="13" spans="1:62" ht="13.5" thickBot="1">
      <c r="A13" s="14" t="s">
        <v>45</v>
      </c>
      <c r="B13" s="226">
        <v>633.7</v>
      </c>
      <c r="C13" s="227">
        <f>B13*8.55</f>
        <v>5418.135000000001</v>
      </c>
      <c r="D13" s="299">
        <v>163.68220000000002</v>
      </c>
      <c r="E13" s="232">
        <v>0</v>
      </c>
      <c r="F13" s="232">
        <v>0</v>
      </c>
      <c r="G13" s="229">
        <v>3398.55</v>
      </c>
      <c r="H13" s="229">
        <v>0</v>
      </c>
      <c r="I13" s="229">
        <v>0</v>
      </c>
      <c r="J13" s="229">
        <v>0</v>
      </c>
      <c r="K13" s="229">
        <v>0</v>
      </c>
      <c r="L13" s="229">
        <v>0</v>
      </c>
      <c r="M13" s="229">
        <v>1650.69</v>
      </c>
      <c r="N13" s="229">
        <v>0</v>
      </c>
      <c r="O13" s="230">
        <v>572.78</v>
      </c>
      <c r="P13" s="483">
        <v>0</v>
      </c>
      <c r="Q13" s="492">
        <v>0</v>
      </c>
      <c r="R13" s="492">
        <v>0</v>
      </c>
      <c r="S13" s="492">
        <v>0</v>
      </c>
      <c r="T13" s="229">
        <v>0</v>
      </c>
      <c r="U13" s="229">
        <f t="shared" si="0"/>
        <v>5622.0199999999995</v>
      </c>
      <c r="V13" s="233">
        <f t="shared" si="0"/>
        <v>0</v>
      </c>
      <c r="W13" s="245">
        <v>0.09</v>
      </c>
      <c r="X13" s="232">
        <v>3138.2</v>
      </c>
      <c r="Y13" s="229">
        <v>0.11</v>
      </c>
      <c r="Z13" s="229">
        <v>0.19</v>
      </c>
      <c r="AA13" s="229">
        <v>1524.25</v>
      </c>
      <c r="AB13" s="229">
        <v>528.83</v>
      </c>
      <c r="AC13" s="229">
        <v>0</v>
      </c>
      <c r="AD13" s="232">
        <v>0</v>
      </c>
      <c r="AE13" s="229">
        <v>0</v>
      </c>
      <c r="AF13" s="493">
        <f>SUM(W13:AE13)</f>
        <v>5191.67</v>
      </c>
      <c r="AG13" s="300">
        <f>AF13+V13+D13</f>
        <v>5355.3522</v>
      </c>
      <c r="AH13" s="301">
        <f t="shared" si="1"/>
        <v>0</v>
      </c>
      <c r="AI13" s="301">
        <f t="shared" si="1"/>
        <v>0</v>
      </c>
      <c r="AJ13" s="235"/>
      <c r="AK13" s="236">
        <f t="shared" si="2"/>
        <v>424.57900000000006</v>
      </c>
      <c r="AL13" s="236">
        <f t="shared" si="3"/>
        <v>126.74000000000001</v>
      </c>
      <c r="AM13" s="236">
        <f t="shared" si="4"/>
        <v>633.7</v>
      </c>
      <c r="AN13" s="236">
        <f t="shared" si="5"/>
        <v>133.077</v>
      </c>
      <c r="AO13" s="236">
        <f t="shared" si="6"/>
        <v>1280.074</v>
      </c>
      <c r="AP13" s="236">
        <f t="shared" si="7"/>
        <v>652.711</v>
      </c>
      <c r="AQ13" s="236">
        <f t="shared" si="8"/>
        <v>475.27500000000003</v>
      </c>
      <c r="AR13" s="236">
        <f>B13*0.75</f>
        <v>475.27500000000003</v>
      </c>
      <c r="AS13" s="236">
        <f>B13*1.15</f>
        <v>728.755</v>
      </c>
      <c r="AT13" s="236"/>
      <c r="AU13" s="238"/>
      <c r="AV13" s="494"/>
      <c r="AW13" s="238"/>
      <c r="AX13" s="238"/>
      <c r="AY13" s="238"/>
      <c r="AZ13" s="241"/>
      <c r="BA13" s="242"/>
      <c r="BB13" s="242">
        <f>BA13*0.18</f>
        <v>0</v>
      </c>
      <c r="BC13" s="242">
        <f>SUM(AK13:BB13)</f>
        <v>4930.186000000001</v>
      </c>
      <c r="BD13" s="243"/>
      <c r="BE13" s="77">
        <f t="shared" si="9"/>
        <v>4930.186000000001</v>
      </c>
      <c r="BF13" s="270">
        <f>AG13-BE13</f>
        <v>425.16619999999966</v>
      </c>
      <c r="BG13" s="271">
        <f t="shared" si="10"/>
        <v>-430.34999999999945</v>
      </c>
      <c r="BH13" s="308"/>
      <c r="BI13" s="276"/>
      <c r="BJ13" s="1"/>
    </row>
    <row r="14" spans="1:66" ht="13.5" thickBot="1">
      <c r="A14" s="14" t="s">
        <v>46</v>
      </c>
      <c r="B14" s="226">
        <v>633.7</v>
      </c>
      <c r="C14" s="227">
        <f>B14*8.55</f>
        <v>5418.135000000001</v>
      </c>
      <c r="D14" s="495">
        <v>163.68220000000002</v>
      </c>
      <c r="E14" s="486">
        <v>0</v>
      </c>
      <c r="F14" s="232">
        <v>0</v>
      </c>
      <c r="G14" s="245">
        <v>3398.55</v>
      </c>
      <c r="H14" s="229">
        <v>0</v>
      </c>
      <c r="I14" s="229">
        <v>0</v>
      </c>
      <c r="J14" s="229">
        <v>0</v>
      </c>
      <c r="K14" s="229">
        <v>0</v>
      </c>
      <c r="L14" s="229">
        <v>0</v>
      </c>
      <c r="M14" s="229">
        <v>1650.69</v>
      </c>
      <c r="N14" s="229">
        <v>0</v>
      </c>
      <c r="O14" s="230">
        <v>572.78</v>
      </c>
      <c r="P14" s="483">
        <v>0</v>
      </c>
      <c r="Q14" s="496">
        <v>0</v>
      </c>
      <c r="R14" s="483">
        <v>0</v>
      </c>
      <c r="S14" s="497">
        <v>0</v>
      </c>
      <c r="T14" s="487">
        <v>0</v>
      </c>
      <c r="U14" s="491">
        <f t="shared" si="0"/>
        <v>5622.0199999999995</v>
      </c>
      <c r="V14" s="233">
        <f t="shared" si="0"/>
        <v>0</v>
      </c>
      <c r="W14" s="229">
        <v>0</v>
      </c>
      <c r="X14" s="232">
        <v>2529.3</v>
      </c>
      <c r="Y14" s="229">
        <v>0</v>
      </c>
      <c r="Z14" s="229">
        <v>0</v>
      </c>
      <c r="AA14" s="229">
        <v>1228.47</v>
      </c>
      <c r="AB14" s="232">
        <v>426.23</v>
      </c>
      <c r="AC14" s="229">
        <v>0</v>
      </c>
      <c r="AD14" s="232">
        <v>0</v>
      </c>
      <c r="AE14" s="232">
        <v>0</v>
      </c>
      <c r="AF14" s="490">
        <f>SUM(W14:AD14)</f>
        <v>4184</v>
      </c>
      <c r="AG14" s="498">
        <f>AF14+V14+D14</f>
        <v>4347.6822</v>
      </c>
      <c r="AH14" s="499">
        <f t="shared" si="1"/>
        <v>0</v>
      </c>
      <c r="AI14" s="499">
        <f t="shared" si="1"/>
        <v>0</v>
      </c>
      <c r="AJ14" s="500"/>
      <c r="AK14" s="236">
        <f t="shared" si="2"/>
        <v>424.57900000000006</v>
      </c>
      <c r="AL14" s="236">
        <f t="shared" si="3"/>
        <v>126.74000000000001</v>
      </c>
      <c r="AM14" s="236">
        <f t="shared" si="4"/>
        <v>633.7</v>
      </c>
      <c r="AN14" s="236">
        <f t="shared" si="5"/>
        <v>133.077</v>
      </c>
      <c r="AO14" s="236">
        <f t="shared" si="6"/>
        <v>1280.074</v>
      </c>
      <c r="AP14" s="236">
        <f t="shared" si="7"/>
        <v>652.711</v>
      </c>
      <c r="AQ14" s="236">
        <f t="shared" si="8"/>
        <v>475.27500000000003</v>
      </c>
      <c r="AR14" s="236">
        <f>B14*0.75</f>
        <v>475.27500000000003</v>
      </c>
      <c r="AS14" s="236"/>
      <c r="AT14" s="501"/>
      <c r="AU14" s="502"/>
      <c r="AV14" s="502">
        <v>151</v>
      </c>
      <c r="AW14" s="502"/>
      <c r="AX14" s="502">
        <f>55</f>
        <v>55</v>
      </c>
      <c r="AY14" s="502"/>
      <c r="AZ14" s="241"/>
      <c r="BA14" s="501"/>
      <c r="BB14" s="501"/>
      <c r="BC14" s="242">
        <f>SUM(AK14:BB14)</f>
        <v>4407.4310000000005</v>
      </c>
      <c r="BD14" s="503"/>
      <c r="BE14" s="77">
        <f t="shared" si="9"/>
        <v>4407.4310000000005</v>
      </c>
      <c r="BF14" s="270">
        <f>AG14-BE14</f>
        <v>-59.7488000000003</v>
      </c>
      <c r="BG14" s="271">
        <f t="shared" si="10"/>
        <v>-1438.0199999999995</v>
      </c>
      <c r="BH14" s="308"/>
      <c r="BI14" s="63"/>
      <c r="BJ14" s="63"/>
      <c r="BK14" s="276"/>
      <c r="BL14" s="63"/>
      <c r="BM14" s="309"/>
      <c r="BN14" s="1"/>
    </row>
    <row r="15" spans="1:62" ht="13.5" thickBot="1">
      <c r="A15" s="14" t="s">
        <v>47</v>
      </c>
      <c r="B15" s="302">
        <v>633.7</v>
      </c>
      <c r="C15" s="227">
        <f>B15*8.55</f>
        <v>5418.135000000001</v>
      </c>
      <c r="D15" s="495">
        <v>163.68220000000002</v>
      </c>
      <c r="E15" s="526">
        <v>0</v>
      </c>
      <c r="F15" s="232">
        <v>0</v>
      </c>
      <c r="G15" s="229">
        <v>3398.55</v>
      </c>
      <c r="H15" s="229">
        <v>0</v>
      </c>
      <c r="I15" s="229">
        <v>0</v>
      </c>
      <c r="J15" s="229">
        <v>0</v>
      </c>
      <c r="K15" s="229">
        <v>0</v>
      </c>
      <c r="L15" s="229">
        <v>0</v>
      </c>
      <c r="M15" s="229">
        <v>1650.69</v>
      </c>
      <c r="N15" s="229">
        <v>0</v>
      </c>
      <c r="O15" s="230">
        <v>572.78</v>
      </c>
      <c r="P15" s="483">
        <v>0</v>
      </c>
      <c r="Q15" s="492">
        <v>0</v>
      </c>
      <c r="R15" s="527">
        <v>0</v>
      </c>
      <c r="S15" s="492">
        <v>0</v>
      </c>
      <c r="T15" s="232">
        <v>0</v>
      </c>
      <c r="U15" s="486">
        <f t="shared" si="0"/>
        <v>5622.0199999999995</v>
      </c>
      <c r="V15" s="528">
        <f>F15+H15+J15+L15+N15++R15+T15</f>
        <v>0</v>
      </c>
      <c r="W15" s="229">
        <v>0</v>
      </c>
      <c r="X15" s="232">
        <v>3128.39</v>
      </c>
      <c r="Y15" s="229">
        <v>0</v>
      </c>
      <c r="Z15" s="229">
        <v>0</v>
      </c>
      <c r="AA15" s="229">
        <v>1519.37</v>
      </c>
      <c r="AB15" s="229">
        <v>527.14</v>
      </c>
      <c r="AC15" s="229">
        <v>0</v>
      </c>
      <c r="AD15" s="232">
        <v>0</v>
      </c>
      <c r="AE15" s="490">
        <v>0</v>
      </c>
      <c r="AF15" s="529">
        <f>SUM(W15:AE15)</f>
        <v>5174.900000000001</v>
      </c>
      <c r="AG15" s="498">
        <f>D15+V15+AF15</f>
        <v>5338.582200000001</v>
      </c>
      <c r="AH15" s="499">
        <f t="shared" si="1"/>
        <v>0</v>
      </c>
      <c r="AI15" s="499">
        <f t="shared" si="1"/>
        <v>0</v>
      </c>
      <c r="AJ15" s="530"/>
      <c r="AK15" s="236">
        <f t="shared" si="2"/>
        <v>424.57900000000006</v>
      </c>
      <c r="AL15" s="236">
        <f t="shared" si="3"/>
        <v>126.74000000000001</v>
      </c>
      <c r="AM15" s="236">
        <f t="shared" si="4"/>
        <v>633.7</v>
      </c>
      <c r="AN15" s="236">
        <f t="shared" si="5"/>
        <v>133.077</v>
      </c>
      <c r="AO15" s="236">
        <f t="shared" si="6"/>
        <v>1280.074</v>
      </c>
      <c r="AP15" s="236">
        <f t="shared" si="7"/>
        <v>652.711</v>
      </c>
      <c r="AQ15" s="236">
        <f t="shared" si="8"/>
        <v>475.27500000000003</v>
      </c>
      <c r="AR15" s="236">
        <f>B15*0.75</f>
        <v>475.27500000000003</v>
      </c>
      <c r="AS15" s="236"/>
      <c r="AT15" s="501"/>
      <c r="AU15" s="502"/>
      <c r="AV15" s="502"/>
      <c r="AW15" s="502"/>
      <c r="AX15" s="502"/>
      <c r="AY15" s="502"/>
      <c r="AZ15" s="241"/>
      <c r="BA15" s="501"/>
      <c r="BB15" s="501"/>
      <c r="BC15" s="492">
        <f>SUM(AK15:BB15)</f>
        <v>4201.4310000000005</v>
      </c>
      <c r="BD15" s="503"/>
      <c r="BE15" s="77">
        <f t="shared" si="9"/>
        <v>4201.4310000000005</v>
      </c>
      <c r="BF15" s="270">
        <f>AG15-BE15</f>
        <v>1137.1512000000002</v>
      </c>
      <c r="BG15" s="271">
        <f>AF15-U15</f>
        <v>-447.119999999999</v>
      </c>
      <c r="BH15" s="308"/>
      <c r="BI15" s="309"/>
      <c r="BJ15" s="1"/>
    </row>
    <row r="16" spans="1:62" ht="13.5" thickBot="1">
      <c r="A16" s="14" t="s">
        <v>48</v>
      </c>
      <c r="B16" s="226">
        <v>633.7</v>
      </c>
      <c r="C16" s="227">
        <f>B16*8.55</f>
        <v>5418.135000000001</v>
      </c>
      <c r="D16" s="495">
        <v>163.68220000000002</v>
      </c>
      <c r="E16" s="303">
        <v>0</v>
      </c>
      <c r="F16" s="303"/>
      <c r="G16" s="303">
        <v>3400.44</v>
      </c>
      <c r="H16" s="303"/>
      <c r="I16" s="504">
        <v>0</v>
      </c>
      <c r="J16" s="504"/>
      <c r="K16" s="504">
        <v>0</v>
      </c>
      <c r="L16" s="504"/>
      <c r="M16" s="504">
        <v>1651.61</v>
      </c>
      <c r="N16" s="504"/>
      <c r="O16" s="504">
        <v>573.11</v>
      </c>
      <c r="P16" s="504"/>
      <c r="Q16" s="504">
        <v>0</v>
      </c>
      <c r="R16" s="505"/>
      <c r="S16" s="505">
        <v>0</v>
      </c>
      <c r="T16" s="504"/>
      <c r="U16" s="506">
        <f t="shared" si="0"/>
        <v>5625.16</v>
      </c>
      <c r="V16" s="507">
        <f t="shared" si="0"/>
        <v>0</v>
      </c>
      <c r="W16" s="305">
        <v>0</v>
      </c>
      <c r="X16" s="303">
        <v>2785.24</v>
      </c>
      <c r="Y16" s="303">
        <v>0</v>
      </c>
      <c r="Z16" s="303">
        <v>0</v>
      </c>
      <c r="AA16" s="303">
        <v>1352.61</v>
      </c>
      <c r="AB16" s="303">
        <v>469.18</v>
      </c>
      <c r="AC16" s="303">
        <v>0</v>
      </c>
      <c r="AD16" s="303">
        <v>0</v>
      </c>
      <c r="AE16" s="304">
        <v>0</v>
      </c>
      <c r="AF16" s="307">
        <f>SUM(W16:AE16)</f>
        <v>4607.03</v>
      </c>
      <c r="AG16" s="498">
        <f>D16+V16+AF16</f>
        <v>4770.7122</v>
      </c>
      <c r="AH16" s="499">
        <f t="shared" si="1"/>
        <v>0</v>
      </c>
      <c r="AI16" s="499">
        <f t="shared" si="1"/>
        <v>0</v>
      </c>
      <c r="AJ16" s="500"/>
      <c r="AK16" s="236">
        <f t="shared" si="2"/>
        <v>424.57900000000006</v>
      </c>
      <c r="AL16" s="236">
        <f t="shared" si="3"/>
        <v>126.74000000000001</v>
      </c>
      <c r="AM16" s="236">
        <f t="shared" si="4"/>
        <v>633.7</v>
      </c>
      <c r="AN16" s="236">
        <f t="shared" si="5"/>
        <v>133.077</v>
      </c>
      <c r="AO16" s="236">
        <f t="shared" si="6"/>
        <v>1280.074</v>
      </c>
      <c r="AP16" s="236">
        <f t="shared" si="7"/>
        <v>652.711</v>
      </c>
      <c r="AQ16" s="236">
        <f t="shared" si="8"/>
        <v>475.27500000000003</v>
      </c>
      <c r="AR16" s="236">
        <f>B16*0.75</f>
        <v>475.27500000000003</v>
      </c>
      <c r="AS16" s="236"/>
      <c r="AT16" s="501"/>
      <c r="AU16" s="502"/>
      <c r="AV16" s="502"/>
      <c r="AW16" s="502"/>
      <c r="AX16" s="502"/>
      <c r="AY16" s="502"/>
      <c r="AZ16" s="236"/>
      <c r="BA16" s="501"/>
      <c r="BB16" s="501"/>
      <c r="BC16" s="242">
        <f>SUM(AK16:BB16)</f>
        <v>4201.4310000000005</v>
      </c>
      <c r="BD16" s="503"/>
      <c r="BE16" s="77">
        <f t="shared" si="9"/>
        <v>4201.4310000000005</v>
      </c>
      <c r="BF16" s="270">
        <f>AG16-BE16</f>
        <v>569.2811999999994</v>
      </c>
      <c r="BG16" s="271">
        <f t="shared" si="10"/>
        <v>-1018.1300000000001</v>
      </c>
      <c r="BH16" s="308"/>
      <c r="BI16" s="309"/>
      <c r="BJ16" s="1"/>
    </row>
    <row r="17" spans="1:62" ht="13.5" thickBot="1">
      <c r="A17" s="14" t="s">
        <v>49</v>
      </c>
      <c r="B17" s="226">
        <v>633.7</v>
      </c>
      <c r="C17" s="227">
        <f>B17*8.55</f>
        <v>5418.135000000001</v>
      </c>
      <c r="D17" s="495">
        <v>163.68220000000002</v>
      </c>
      <c r="E17" s="508"/>
      <c r="F17" s="508"/>
      <c r="G17" s="508">
        <v>3403.68</v>
      </c>
      <c r="H17" s="508"/>
      <c r="I17" s="508"/>
      <c r="J17" s="508"/>
      <c r="K17" s="508"/>
      <c r="L17" s="508"/>
      <c r="M17" s="508">
        <v>1653.21</v>
      </c>
      <c r="N17" s="508"/>
      <c r="O17" s="508">
        <v>573.68</v>
      </c>
      <c r="P17" s="508"/>
      <c r="Q17" s="508"/>
      <c r="R17" s="508"/>
      <c r="S17" s="509"/>
      <c r="T17" s="305"/>
      <c r="U17" s="306">
        <f aca="true" t="shared" si="11" ref="U17:V22">E17+G17+I17+K17+M17+O17+Q17+S17</f>
        <v>5630.57</v>
      </c>
      <c r="V17" s="510">
        <f t="shared" si="11"/>
        <v>0</v>
      </c>
      <c r="W17" s="511">
        <v>6.45</v>
      </c>
      <c r="X17" s="508">
        <v>3557.44</v>
      </c>
      <c r="Y17" s="508">
        <v>8.73</v>
      </c>
      <c r="Z17" s="508">
        <v>14.53</v>
      </c>
      <c r="AA17" s="508">
        <v>1748.86</v>
      </c>
      <c r="AB17" s="508">
        <v>604.73</v>
      </c>
      <c r="AC17" s="303"/>
      <c r="AD17" s="508"/>
      <c r="AE17" s="509"/>
      <c r="AF17" s="307">
        <f aca="true" t="shared" si="12" ref="AF17:AF22">SUM(W17:AE17)</f>
        <v>5940.74</v>
      </c>
      <c r="AG17" s="512">
        <f aca="true" t="shared" si="13" ref="AG17:AG22">D17+V17+AF17</f>
        <v>6104.4222</v>
      </c>
      <c r="AH17" s="499">
        <f aca="true" t="shared" si="14" ref="AH17:AI22">AC17</f>
        <v>0</v>
      </c>
      <c r="AI17" s="499">
        <f t="shared" si="14"/>
        <v>0</v>
      </c>
      <c r="AJ17" s="500"/>
      <c r="AK17" s="236">
        <f aca="true" t="shared" si="15" ref="AK17:AK22">0.67*B17</f>
        <v>424.57900000000006</v>
      </c>
      <c r="AL17" s="236">
        <f aca="true" t="shared" si="16" ref="AL17:AL22">B17*0.2</f>
        <v>126.74000000000001</v>
      </c>
      <c r="AM17" s="236">
        <f aca="true" t="shared" si="17" ref="AM17:AM22">B17*1</f>
        <v>633.7</v>
      </c>
      <c r="AN17" s="236">
        <f aca="true" t="shared" si="18" ref="AN17:AN22">B17*0.21</f>
        <v>133.077</v>
      </c>
      <c r="AO17" s="236">
        <f aca="true" t="shared" si="19" ref="AO17:AO22">2.02*B17</f>
        <v>1280.074</v>
      </c>
      <c r="AP17" s="236">
        <f aca="true" t="shared" si="20" ref="AP17:AP22">B17*1.03</f>
        <v>652.711</v>
      </c>
      <c r="AQ17" s="236">
        <f aca="true" t="shared" si="21" ref="AQ17:AQ22">B17*0.75</f>
        <v>475.27500000000003</v>
      </c>
      <c r="AR17" s="236">
        <f>B17*0.75</f>
        <v>475.27500000000003</v>
      </c>
      <c r="AS17" s="236"/>
      <c r="AT17" s="501"/>
      <c r="AU17" s="502"/>
      <c r="AV17" s="502"/>
      <c r="AW17" s="502"/>
      <c r="AX17" s="502">
        <f>111.43+9.43</f>
        <v>120.86000000000001</v>
      </c>
      <c r="AY17" s="502"/>
      <c r="AZ17" s="241"/>
      <c r="BA17" s="501">
        <v>3172.39</v>
      </c>
      <c r="BB17" s="501"/>
      <c r="BC17" s="242">
        <f>SUM(AK17:BB17)</f>
        <v>7494.6810000000005</v>
      </c>
      <c r="BD17" s="503"/>
      <c r="BE17" s="77">
        <f t="shared" si="9"/>
        <v>7494.6810000000005</v>
      </c>
      <c r="BF17" s="270">
        <f>AG17-BE17</f>
        <v>-1390.2588000000005</v>
      </c>
      <c r="BG17" s="271">
        <f t="shared" si="10"/>
        <v>310.1700000000001</v>
      </c>
      <c r="BH17" s="63"/>
      <c r="BI17" s="309"/>
      <c r="BJ17" s="1"/>
    </row>
    <row r="18" spans="1:62" ht="13.5" thickBot="1">
      <c r="A18" s="14" t="s">
        <v>50</v>
      </c>
      <c r="B18" s="226">
        <v>633.7</v>
      </c>
      <c r="C18" s="227">
        <f>B18*8.55</f>
        <v>5418.135000000001</v>
      </c>
      <c r="D18" s="495">
        <v>163.68220000000002</v>
      </c>
      <c r="E18" s="508"/>
      <c r="F18" s="508"/>
      <c r="G18" s="508">
        <v>3406.67</v>
      </c>
      <c r="H18" s="508"/>
      <c r="I18" s="508"/>
      <c r="J18" s="508"/>
      <c r="K18" s="508"/>
      <c r="L18" s="508"/>
      <c r="M18" s="508">
        <v>1654.69</v>
      </c>
      <c r="N18" s="508"/>
      <c r="O18" s="508">
        <v>574.21</v>
      </c>
      <c r="P18" s="508"/>
      <c r="Q18" s="508"/>
      <c r="R18" s="508"/>
      <c r="S18" s="509"/>
      <c r="T18" s="304"/>
      <c r="U18" s="513">
        <f t="shared" si="11"/>
        <v>5635.570000000001</v>
      </c>
      <c r="V18" s="514">
        <f t="shared" si="11"/>
        <v>0</v>
      </c>
      <c r="W18" s="508">
        <v>0</v>
      </c>
      <c r="X18" s="508">
        <v>2841.67</v>
      </c>
      <c r="Y18" s="508">
        <v>0</v>
      </c>
      <c r="Z18" s="508">
        <v>0</v>
      </c>
      <c r="AA18" s="508">
        <v>1380.16</v>
      </c>
      <c r="AB18" s="508">
        <v>478.88</v>
      </c>
      <c r="AC18" s="508"/>
      <c r="AD18" s="508"/>
      <c r="AE18" s="509"/>
      <c r="AF18" s="307">
        <f t="shared" si="12"/>
        <v>4700.71</v>
      </c>
      <c r="AG18" s="512">
        <f t="shared" si="13"/>
        <v>4864.3922</v>
      </c>
      <c r="AH18" s="499">
        <f t="shared" si="14"/>
        <v>0</v>
      </c>
      <c r="AI18" s="499">
        <f t="shared" si="14"/>
        <v>0</v>
      </c>
      <c r="AJ18" s="500"/>
      <c r="AK18" s="236">
        <f t="shared" si="15"/>
        <v>424.57900000000006</v>
      </c>
      <c r="AL18" s="236">
        <f t="shared" si="16"/>
        <v>126.74000000000001</v>
      </c>
      <c r="AM18" s="236">
        <f t="shared" si="17"/>
        <v>633.7</v>
      </c>
      <c r="AN18" s="236">
        <f t="shared" si="18"/>
        <v>133.077</v>
      </c>
      <c r="AO18" s="236">
        <f t="shared" si="19"/>
        <v>1280.074</v>
      </c>
      <c r="AP18" s="236">
        <f t="shared" si="20"/>
        <v>652.711</v>
      </c>
      <c r="AQ18" s="236">
        <f t="shared" si="21"/>
        <v>475.27500000000003</v>
      </c>
      <c r="AR18" s="236">
        <f>B18*0.75</f>
        <v>475.27500000000003</v>
      </c>
      <c r="AS18" s="236"/>
      <c r="AT18" s="501"/>
      <c r="AU18" s="502"/>
      <c r="AV18" s="502"/>
      <c r="AW18" s="502">
        <f>421</f>
        <v>421</v>
      </c>
      <c r="AX18" s="502"/>
      <c r="AY18" s="502"/>
      <c r="AZ18" s="241"/>
      <c r="BA18" s="501"/>
      <c r="BB18" s="501"/>
      <c r="BC18" s="242">
        <f>SUM(AK18:BB18)</f>
        <v>4622.4310000000005</v>
      </c>
      <c r="BD18" s="503"/>
      <c r="BE18" s="77">
        <f t="shared" si="9"/>
        <v>4622.4310000000005</v>
      </c>
      <c r="BF18" s="270">
        <f>AG18-BE18</f>
        <v>241.96119999999974</v>
      </c>
      <c r="BG18" s="271">
        <f t="shared" si="10"/>
        <v>-934.8600000000006</v>
      </c>
      <c r="BH18" s="63"/>
      <c r="BI18" s="309"/>
      <c r="BJ18" s="1"/>
    </row>
    <row r="19" spans="1:62" ht="13.5" thickBot="1">
      <c r="A19" s="14" t="s">
        <v>51</v>
      </c>
      <c r="B19" s="226">
        <v>633.7</v>
      </c>
      <c r="C19" s="227">
        <f>B19*8.55</f>
        <v>5418.135000000001</v>
      </c>
      <c r="D19" s="495">
        <v>163.68220000000002</v>
      </c>
      <c r="E19" s="508"/>
      <c r="F19" s="508"/>
      <c r="G19" s="508">
        <v>3384.87</v>
      </c>
      <c r="H19" s="508"/>
      <c r="I19" s="508"/>
      <c r="J19" s="508"/>
      <c r="K19" s="508"/>
      <c r="L19" s="508"/>
      <c r="M19" s="508">
        <v>1643.97</v>
      </c>
      <c r="N19" s="508"/>
      <c r="O19" s="508">
        <v>570.39</v>
      </c>
      <c r="P19" s="508"/>
      <c r="Q19" s="508"/>
      <c r="R19" s="508"/>
      <c r="S19" s="509"/>
      <c r="T19" s="515"/>
      <c r="U19" s="515">
        <f t="shared" si="11"/>
        <v>5599.2300000000005</v>
      </c>
      <c r="V19" s="516">
        <f t="shared" si="11"/>
        <v>0</v>
      </c>
      <c r="W19" s="508">
        <v>10.82</v>
      </c>
      <c r="X19" s="508">
        <v>3691.16</v>
      </c>
      <c r="Y19" s="508">
        <v>14.65</v>
      </c>
      <c r="Z19" s="508">
        <v>24.4</v>
      </c>
      <c r="AA19" s="508">
        <v>1827.85</v>
      </c>
      <c r="AB19" s="508">
        <v>630.51</v>
      </c>
      <c r="AC19" s="508"/>
      <c r="AD19" s="508"/>
      <c r="AE19" s="509"/>
      <c r="AF19" s="307">
        <f t="shared" si="12"/>
        <v>6199.39</v>
      </c>
      <c r="AG19" s="512">
        <f t="shared" si="13"/>
        <v>6363.0722000000005</v>
      </c>
      <c r="AH19" s="499">
        <f t="shared" si="14"/>
        <v>0</v>
      </c>
      <c r="AI19" s="499">
        <f t="shared" si="14"/>
        <v>0</v>
      </c>
      <c r="AJ19" s="500"/>
      <c r="AK19" s="236">
        <f t="shared" si="15"/>
        <v>424.57900000000006</v>
      </c>
      <c r="AL19" s="236">
        <f t="shared" si="16"/>
        <v>126.74000000000001</v>
      </c>
      <c r="AM19" s="236">
        <f t="shared" si="17"/>
        <v>633.7</v>
      </c>
      <c r="AN19" s="236">
        <f t="shared" si="18"/>
        <v>133.077</v>
      </c>
      <c r="AO19" s="236">
        <f t="shared" si="19"/>
        <v>1280.074</v>
      </c>
      <c r="AP19" s="236">
        <f t="shared" si="20"/>
        <v>652.711</v>
      </c>
      <c r="AQ19" s="236">
        <f t="shared" si="21"/>
        <v>475.27500000000003</v>
      </c>
      <c r="AR19" s="236">
        <f>B19*0.75</f>
        <v>475.27500000000003</v>
      </c>
      <c r="AS19" s="236"/>
      <c r="AT19" s="501"/>
      <c r="AU19" s="502"/>
      <c r="AV19" s="502"/>
      <c r="AW19" s="502"/>
      <c r="AX19" s="502">
        <v>213.34</v>
      </c>
      <c r="AY19" s="502"/>
      <c r="AZ19" s="241"/>
      <c r="BA19" s="501"/>
      <c r="BB19" s="501"/>
      <c r="BC19" s="242">
        <f>SUM(AK19:BB19)</f>
        <v>4414.771000000001</v>
      </c>
      <c r="BD19" s="503"/>
      <c r="BE19" s="77">
        <f t="shared" si="9"/>
        <v>4414.771000000001</v>
      </c>
      <c r="BF19" s="270">
        <f>AG19-BE19</f>
        <v>1948.3011999999999</v>
      </c>
      <c r="BG19" s="271">
        <f t="shared" si="10"/>
        <v>600.1599999999999</v>
      </c>
      <c r="BH19" s="63"/>
      <c r="BI19" s="309"/>
      <c r="BJ19" s="1"/>
    </row>
    <row r="20" spans="1:62" ht="13.5" thickBot="1">
      <c r="A20" s="14" t="s">
        <v>39</v>
      </c>
      <c r="B20" s="226">
        <v>633.7</v>
      </c>
      <c r="C20" s="227">
        <f>B20*8.55</f>
        <v>5418.135000000001</v>
      </c>
      <c r="D20" s="517">
        <v>163.68220000000002</v>
      </c>
      <c r="E20" s="303"/>
      <c r="F20" s="303"/>
      <c r="G20" s="303">
        <v>3384.87</v>
      </c>
      <c r="H20" s="303"/>
      <c r="I20" s="303"/>
      <c r="J20" s="303"/>
      <c r="K20" s="303"/>
      <c r="L20" s="303"/>
      <c r="M20" s="303">
        <v>1643.97</v>
      </c>
      <c r="N20" s="303"/>
      <c r="O20" s="303">
        <v>570.39</v>
      </c>
      <c r="P20" s="303"/>
      <c r="Q20" s="303"/>
      <c r="R20" s="303"/>
      <c r="S20" s="304"/>
      <c r="T20" s="518"/>
      <c r="U20" s="519">
        <f t="shared" si="11"/>
        <v>5599.2300000000005</v>
      </c>
      <c r="V20" s="520">
        <f t="shared" si="11"/>
        <v>0</v>
      </c>
      <c r="W20" s="303">
        <v>0</v>
      </c>
      <c r="X20" s="303">
        <v>2123.5</v>
      </c>
      <c r="Y20" s="303">
        <v>0</v>
      </c>
      <c r="Z20" s="303">
        <v>0</v>
      </c>
      <c r="AA20" s="303">
        <v>1031.27</v>
      </c>
      <c r="AB20" s="303">
        <v>357.75</v>
      </c>
      <c r="AC20" s="303"/>
      <c r="AD20" s="303"/>
      <c r="AE20" s="304"/>
      <c r="AF20" s="307">
        <f t="shared" si="12"/>
        <v>3512.52</v>
      </c>
      <c r="AG20" s="512">
        <f t="shared" si="13"/>
        <v>3676.2022</v>
      </c>
      <c r="AH20" s="499">
        <f t="shared" si="14"/>
        <v>0</v>
      </c>
      <c r="AI20" s="499">
        <f t="shared" si="14"/>
        <v>0</v>
      </c>
      <c r="AJ20" s="500"/>
      <c r="AK20" s="236">
        <f t="shared" si="15"/>
        <v>424.57900000000006</v>
      </c>
      <c r="AL20" s="236">
        <f t="shared" si="16"/>
        <v>126.74000000000001</v>
      </c>
      <c r="AM20" s="236">
        <f t="shared" si="17"/>
        <v>633.7</v>
      </c>
      <c r="AN20" s="236">
        <f t="shared" si="18"/>
        <v>133.077</v>
      </c>
      <c r="AO20" s="236">
        <f t="shared" si="19"/>
        <v>1280.074</v>
      </c>
      <c r="AP20" s="236">
        <f t="shared" si="20"/>
        <v>652.711</v>
      </c>
      <c r="AQ20" s="236">
        <f t="shared" si="21"/>
        <v>475.27500000000003</v>
      </c>
      <c r="AR20" s="236">
        <f>B20*0.75</f>
        <v>475.27500000000003</v>
      </c>
      <c r="AS20" s="521">
        <f>B20*1.15</f>
        <v>728.755</v>
      </c>
      <c r="AT20" s="501"/>
      <c r="AU20" s="502"/>
      <c r="AV20" s="502"/>
      <c r="AW20" s="502"/>
      <c r="AX20" s="502"/>
      <c r="AY20" s="502"/>
      <c r="AZ20" s="241"/>
      <c r="BA20" s="501"/>
      <c r="BB20" s="501"/>
      <c r="BC20" s="242">
        <f>SUM(AK20:BB20)</f>
        <v>4930.186000000001</v>
      </c>
      <c r="BD20" s="503"/>
      <c r="BE20" s="77">
        <f t="shared" si="9"/>
        <v>4930.186000000001</v>
      </c>
      <c r="BF20" s="270">
        <f>AG20-BE20</f>
        <v>-1253.9838000000004</v>
      </c>
      <c r="BG20" s="271">
        <f t="shared" si="10"/>
        <v>-2086.7100000000005</v>
      </c>
      <c r="BH20" s="63"/>
      <c r="BI20" s="309"/>
      <c r="BJ20" s="1"/>
    </row>
    <row r="21" spans="1:62" ht="13.5" thickBot="1">
      <c r="A21" s="14" t="s">
        <v>40</v>
      </c>
      <c r="B21" s="226">
        <v>633.7</v>
      </c>
      <c r="C21" s="227">
        <f>B21*8.55</f>
        <v>5418.135000000001</v>
      </c>
      <c r="D21" s="522">
        <v>163.68220000000002</v>
      </c>
      <c r="E21" s="303"/>
      <c r="F21" s="303"/>
      <c r="G21" s="303">
        <v>3384.87</v>
      </c>
      <c r="H21" s="303"/>
      <c r="I21" s="303"/>
      <c r="J21" s="303"/>
      <c r="K21" s="303"/>
      <c r="L21" s="303"/>
      <c r="M21" s="303">
        <v>1643.97</v>
      </c>
      <c r="N21" s="303"/>
      <c r="O21" s="303">
        <v>570.39</v>
      </c>
      <c r="P21" s="303"/>
      <c r="Q21" s="303"/>
      <c r="R21" s="303"/>
      <c r="S21" s="304"/>
      <c r="T21" s="518"/>
      <c r="U21" s="519">
        <f t="shared" si="11"/>
        <v>5599.2300000000005</v>
      </c>
      <c r="V21" s="520">
        <f t="shared" si="11"/>
        <v>0</v>
      </c>
      <c r="W21" s="303">
        <v>0</v>
      </c>
      <c r="X21" s="303">
        <v>3391.7</v>
      </c>
      <c r="Y21" s="303">
        <v>0</v>
      </c>
      <c r="Z21" s="303">
        <v>0</v>
      </c>
      <c r="AA21" s="303">
        <v>1647.08</v>
      </c>
      <c r="AB21" s="303">
        <v>571.33</v>
      </c>
      <c r="AC21" s="303"/>
      <c r="AD21" s="303"/>
      <c r="AE21" s="304"/>
      <c r="AF21" s="307">
        <f t="shared" si="12"/>
        <v>5610.11</v>
      </c>
      <c r="AG21" s="512">
        <f t="shared" si="13"/>
        <v>5773.7922</v>
      </c>
      <c r="AH21" s="499">
        <f t="shared" si="14"/>
        <v>0</v>
      </c>
      <c r="AI21" s="499">
        <f t="shared" si="14"/>
        <v>0</v>
      </c>
      <c r="AJ21" s="500"/>
      <c r="AK21" s="236">
        <f t="shared" si="15"/>
        <v>424.57900000000006</v>
      </c>
      <c r="AL21" s="236">
        <f t="shared" si="16"/>
        <v>126.74000000000001</v>
      </c>
      <c r="AM21" s="236">
        <f t="shared" si="17"/>
        <v>633.7</v>
      </c>
      <c r="AN21" s="236">
        <f t="shared" si="18"/>
        <v>133.077</v>
      </c>
      <c r="AO21" s="236">
        <f t="shared" si="19"/>
        <v>1280.074</v>
      </c>
      <c r="AP21" s="236">
        <f t="shared" si="20"/>
        <v>652.711</v>
      </c>
      <c r="AQ21" s="236">
        <f t="shared" si="21"/>
        <v>475.27500000000003</v>
      </c>
      <c r="AR21" s="236">
        <f>B21*0.75</f>
        <v>475.27500000000003</v>
      </c>
      <c r="AS21" s="521">
        <f>B21*1.15</f>
        <v>728.755</v>
      </c>
      <c r="AT21" s="501"/>
      <c r="AU21" s="502"/>
      <c r="AV21" s="502"/>
      <c r="AW21" s="502"/>
      <c r="AX21" s="502"/>
      <c r="AY21" s="502"/>
      <c r="AZ21" s="241"/>
      <c r="BA21" s="501"/>
      <c r="BB21" s="501"/>
      <c r="BC21" s="242">
        <f>SUM(AK21:BB21)</f>
        <v>4930.186000000001</v>
      </c>
      <c r="BD21" s="503"/>
      <c r="BE21" s="77">
        <f t="shared" si="9"/>
        <v>4930.186000000001</v>
      </c>
      <c r="BF21" s="270">
        <f>AG21-BE21</f>
        <v>843.6061999999993</v>
      </c>
      <c r="BG21" s="271">
        <f t="shared" si="10"/>
        <v>10.8799999999992</v>
      </c>
      <c r="BH21" s="63"/>
      <c r="BI21" s="309"/>
      <c r="BJ21" s="1"/>
    </row>
    <row r="22" spans="1:62" ht="13.5" thickBot="1">
      <c r="A22" s="14" t="s">
        <v>41</v>
      </c>
      <c r="B22" s="226">
        <v>633.7</v>
      </c>
      <c r="C22" s="227">
        <f>B22*8.55</f>
        <v>5418.135000000001</v>
      </c>
      <c r="D22" s="522">
        <v>163.68220000000002</v>
      </c>
      <c r="E22" s="523"/>
      <c r="F22" s="523"/>
      <c r="G22" s="523">
        <v>3384.87</v>
      </c>
      <c r="H22" s="523"/>
      <c r="I22" s="523"/>
      <c r="J22" s="523"/>
      <c r="K22" s="523"/>
      <c r="L22" s="523"/>
      <c r="M22" s="523">
        <v>1643.97</v>
      </c>
      <c r="N22" s="523"/>
      <c r="O22" s="523">
        <v>570.39</v>
      </c>
      <c r="P22" s="523"/>
      <c r="Q22" s="523"/>
      <c r="R22" s="523"/>
      <c r="S22" s="524"/>
      <c r="T22" s="525"/>
      <c r="U22" s="519">
        <f t="shared" si="11"/>
        <v>5599.2300000000005</v>
      </c>
      <c r="V22" s="520">
        <f t="shared" si="11"/>
        <v>0</v>
      </c>
      <c r="W22" s="303">
        <v>0</v>
      </c>
      <c r="X22" s="303">
        <v>3535.5</v>
      </c>
      <c r="Y22" s="303">
        <v>0</v>
      </c>
      <c r="Z22" s="303">
        <v>0</v>
      </c>
      <c r="AA22" s="303">
        <v>1717.01</v>
      </c>
      <c r="AB22" s="303">
        <v>595.68</v>
      </c>
      <c r="AC22" s="303"/>
      <c r="AD22" s="303"/>
      <c r="AE22" s="304"/>
      <c r="AF22" s="307">
        <f t="shared" si="12"/>
        <v>5848.1900000000005</v>
      </c>
      <c r="AG22" s="512">
        <f t="shared" si="13"/>
        <v>6011.872200000001</v>
      </c>
      <c r="AH22" s="499">
        <f t="shared" si="14"/>
        <v>0</v>
      </c>
      <c r="AI22" s="499">
        <f t="shared" si="14"/>
        <v>0</v>
      </c>
      <c r="AJ22" s="500"/>
      <c r="AK22" s="236">
        <f t="shared" si="15"/>
        <v>424.57900000000006</v>
      </c>
      <c r="AL22" s="236">
        <f t="shared" si="16"/>
        <v>126.74000000000001</v>
      </c>
      <c r="AM22" s="236">
        <f t="shared" si="17"/>
        <v>633.7</v>
      </c>
      <c r="AN22" s="236">
        <f t="shared" si="18"/>
        <v>133.077</v>
      </c>
      <c r="AO22" s="236">
        <f t="shared" si="19"/>
        <v>1280.074</v>
      </c>
      <c r="AP22" s="236">
        <f t="shared" si="20"/>
        <v>652.711</v>
      </c>
      <c r="AQ22" s="236">
        <f t="shared" si="21"/>
        <v>475.27500000000003</v>
      </c>
      <c r="AR22" s="236">
        <f>B22*0.75</f>
        <v>475.27500000000003</v>
      </c>
      <c r="AS22" s="521">
        <f>B22*1.15</f>
        <v>728.755</v>
      </c>
      <c r="AT22" s="501"/>
      <c r="AU22" s="502"/>
      <c r="AV22" s="502">
        <v>54</v>
      </c>
      <c r="AW22" s="502"/>
      <c r="AX22" s="502"/>
      <c r="AY22" s="502"/>
      <c r="AZ22" s="241"/>
      <c r="BA22" s="501"/>
      <c r="BB22" s="501"/>
      <c r="BC22" s="242">
        <f>SUM(AK22:BB22)</f>
        <v>4984.186000000001</v>
      </c>
      <c r="BD22" s="503"/>
      <c r="BE22" s="77">
        <f t="shared" si="9"/>
        <v>4984.186000000001</v>
      </c>
      <c r="BF22" s="270">
        <f>AG22-BE22</f>
        <v>1027.6862</v>
      </c>
      <c r="BG22" s="271">
        <f t="shared" si="10"/>
        <v>248.96000000000004</v>
      </c>
      <c r="BH22" s="63"/>
      <c r="BI22" s="309"/>
      <c r="BJ22" s="1"/>
    </row>
    <row r="23" spans="1:60" s="24" customFormat="1" ht="12.75">
      <c r="A23" s="19" t="s">
        <v>3</v>
      </c>
      <c r="B23" s="278">
        <f aca="true" t="shared" si="22" ref="B23:BE23">SUM(B11:B22)</f>
        <v>7604.399999999999</v>
      </c>
      <c r="C23" s="278">
        <f t="shared" si="22"/>
        <v>65017.62000000002</v>
      </c>
      <c r="D23" s="278">
        <f t="shared" si="22"/>
        <v>1964.1863999999998</v>
      </c>
      <c r="E23" s="278">
        <f t="shared" si="22"/>
        <v>0</v>
      </c>
      <c r="F23" s="278">
        <f t="shared" si="22"/>
        <v>0</v>
      </c>
      <c r="G23" s="278">
        <f t="shared" si="22"/>
        <v>40748.18</v>
      </c>
      <c r="H23" s="278">
        <f t="shared" si="22"/>
        <v>0</v>
      </c>
      <c r="I23" s="278">
        <f t="shared" si="22"/>
        <v>0</v>
      </c>
      <c r="J23" s="278">
        <f t="shared" si="22"/>
        <v>0</v>
      </c>
      <c r="K23" s="278">
        <f t="shared" si="22"/>
        <v>0</v>
      </c>
      <c r="L23" s="278">
        <f t="shared" si="22"/>
        <v>0</v>
      </c>
      <c r="M23" s="278">
        <f t="shared" si="22"/>
        <v>19791.370000000006</v>
      </c>
      <c r="N23" s="278">
        <f t="shared" si="22"/>
        <v>0</v>
      </c>
      <c r="O23" s="278">
        <f t="shared" si="22"/>
        <v>6867.370000000001</v>
      </c>
      <c r="P23" s="278">
        <f t="shared" si="22"/>
        <v>0</v>
      </c>
      <c r="Q23" s="278">
        <f t="shared" si="22"/>
        <v>0</v>
      </c>
      <c r="R23" s="278">
        <f t="shared" si="22"/>
        <v>0</v>
      </c>
      <c r="S23" s="278">
        <f t="shared" si="22"/>
        <v>0</v>
      </c>
      <c r="T23" s="278">
        <f t="shared" si="22"/>
        <v>0</v>
      </c>
      <c r="U23" s="278">
        <f t="shared" si="22"/>
        <v>67406.92000000001</v>
      </c>
      <c r="V23" s="278">
        <f t="shared" si="22"/>
        <v>0</v>
      </c>
      <c r="W23" s="278">
        <f t="shared" si="22"/>
        <v>449.04999999999995</v>
      </c>
      <c r="X23" s="278">
        <f t="shared" si="22"/>
        <v>33240.78</v>
      </c>
      <c r="Y23" s="278">
        <f t="shared" si="22"/>
        <v>607.84</v>
      </c>
      <c r="Z23" s="278">
        <f t="shared" si="22"/>
        <v>1012.0500000000001</v>
      </c>
      <c r="AA23" s="278">
        <f t="shared" si="22"/>
        <v>17603.88</v>
      </c>
      <c r="AB23" s="278">
        <f t="shared" si="22"/>
        <v>5959.82</v>
      </c>
      <c r="AC23" s="278">
        <f t="shared" si="22"/>
        <v>0</v>
      </c>
      <c r="AD23" s="278">
        <f t="shared" si="22"/>
        <v>0</v>
      </c>
      <c r="AE23" s="278">
        <f t="shared" si="22"/>
        <v>0</v>
      </c>
      <c r="AF23" s="278">
        <f t="shared" si="22"/>
        <v>58873.42</v>
      </c>
      <c r="AG23" s="278">
        <f t="shared" si="22"/>
        <v>60837.606400000004</v>
      </c>
      <c r="AH23" s="278">
        <f t="shared" si="22"/>
        <v>0</v>
      </c>
      <c r="AI23" s="278">
        <f t="shared" si="22"/>
        <v>0</v>
      </c>
      <c r="AJ23" s="278">
        <f t="shared" si="22"/>
        <v>0</v>
      </c>
      <c r="AK23" s="278">
        <f t="shared" si="22"/>
        <v>5094.948</v>
      </c>
      <c r="AL23" s="278">
        <f t="shared" si="22"/>
        <v>1520.88</v>
      </c>
      <c r="AM23" s="278">
        <f t="shared" si="22"/>
        <v>7604.399999999999</v>
      </c>
      <c r="AN23" s="278">
        <f t="shared" si="22"/>
        <v>1596.924</v>
      </c>
      <c r="AO23" s="278">
        <f t="shared" si="22"/>
        <v>15360.888000000004</v>
      </c>
      <c r="AP23" s="278">
        <f t="shared" si="22"/>
        <v>7832.532000000002</v>
      </c>
      <c r="AQ23" s="278">
        <f t="shared" si="22"/>
        <v>5703.299999999999</v>
      </c>
      <c r="AR23" s="278">
        <f t="shared" si="22"/>
        <v>5703.299999999999</v>
      </c>
      <c r="AS23" s="278">
        <f t="shared" si="22"/>
        <v>4372.53</v>
      </c>
      <c r="AT23" s="278">
        <f t="shared" si="22"/>
        <v>0</v>
      </c>
      <c r="AU23" s="278">
        <f t="shared" si="22"/>
        <v>0</v>
      </c>
      <c r="AV23" s="278">
        <f t="shared" si="22"/>
        <v>205</v>
      </c>
      <c r="AW23" s="278">
        <f t="shared" si="22"/>
        <v>421</v>
      </c>
      <c r="AX23" s="278">
        <f t="shared" si="22"/>
        <v>469.76</v>
      </c>
      <c r="AY23" s="278"/>
      <c r="AZ23" s="278">
        <f t="shared" si="22"/>
        <v>0</v>
      </c>
      <c r="BA23" s="278">
        <f t="shared" si="22"/>
        <v>3172.39</v>
      </c>
      <c r="BB23" s="278">
        <f t="shared" si="22"/>
        <v>0</v>
      </c>
      <c r="BC23" s="278">
        <f t="shared" si="22"/>
        <v>59057.852000000006</v>
      </c>
      <c r="BD23" s="278">
        <f t="shared" si="22"/>
        <v>0</v>
      </c>
      <c r="BE23" s="278">
        <f t="shared" si="22"/>
        <v>59057.852000000006</v>
      </c>
      <c r="BF23" s="278">
        <f>SUM(BF11:BF22)</f>
        <v>1779.7543999999962</v>
      </c>
      <c r="BG23" s="278">
        <f>SUM(BG11:BG22)</f>
        <v>-8533.5</v>
      </c>
      <c r="BH23" s="53"/>
    </row>
    <row r="24" spans="1:60" ht="13.5" thickBot="1">
      <c r="A24" s="14"/>
      <c r="B24" s="279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6"/>
      <c r="R24" s="16"/>
      <c r="S24" s="280"/>
      <c r="T24" s="280"/>
      <c r="U24" s="280"/>
      <c r="V24" s="280"/>
      <c r="W24" s="280"/>
      <c r="X24" s="280"/>
      <c r="Y24" s="280"/>
      <c r="Z24" s="280"/>
      <c r="AA24" s="280"/>
      <c r="AB24" s="281"/>
      <c r="AC24" s="281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3"/>
      <c r="AO24" s="283"/>
      <c r="AP24" s="283"/>
      <c r="AQ24" s="283"/>
      <c r="AR24" s="283"/>
      <c r="AS24" s="283"/>
      <c r="AT24" s="282"/>
      <c r="AU24" s="282"/>
      <c r="AV24" s="282"/>
      <c r="AW24" s="26"/>
      <c r="AX24" s="26"/>
      <c r="AY24" s="26"/>
      <c r="AZ24" s="283"/>
      <c r="BA24" s="283"/>
      <c r="BB24" s="282"/>
      <c r="BC24" s="282"/>
      <c r="BD24" s="282"/>
      <c r="BE24" s="284"/>
      <c r="BF24" s="285"/>
      <c r="BG24" s="286"/>
      <c r="BH24" s="1"/>
    </row>
    <row r="25" spans="1:60" s="24" customFormat="1" ht="13.5" thickBot="1">
      <c r="A25" s="27" t="s">
        <v>52</v>
      </c>
      <c r="B25" s="28"/>
      <c r="C25" s="62">
        <f aca="true" t="shared" si="23" ref="C25:AH25">C9+C23</f>
        <v>212886.77500000005</v>
      </c>
      <c r="D25" s="62">
        <f t="shared" si="23"/>
        <v>15693.981474350014</v>
      </c>
      <c r="E25" s="62">
        <f t="shared" si="23"/>
        <v>13632.92</v>
      </c>
      <c r="F25" s="62">
        <f t="shared" si="23"/>
        <v>1855.02</v>
      </c>
      <c r="G25" s="62">
        <f t="shared" si="23"/>
        <v>40748.18</v>
      </c>
      <c r="H25" s="62">
        <f t="shared" si="23"/>
        <v>0</v>
      </c>
      <c r="I25" s="62">
        <f t="shared" si="23"/>
        <v>18439.4</v>
      </c>
      <c r="J25" s="62">
        <f t="shared" si="23"/>
        <v>2510.9699999999993</v>
      </c>
      <c r="K25" s="62">
        <f t="shared" si="23"/>
        <v>30709.100000000006</v>
      </c>
      <c r="L25" s="62">
        <f t="shared" si="23"/>
        <v>4180.55</v>
      </c>
      <c r="M25" s="62">
        <f t="shared" si="23"/>
        <v>64133.40000000001</v>
      </c>
      <c r="N25" s="62">
        <f t="shared" si="23"/>
        <v>6035.32</v>
      </c>
      <c r="O25" s="62">
        <f t="shared" si="23"/>
        <v>17773.79</v>
      </c>
      <c r="P25" s="62">
        <f t="shared" si="23"/>
        <v>1483.9300000000003</v>
      </c>
      <c r="Q25" s="62">
        <f t="shared" si="23"/>
        <v>0</v>
      </c>
      <c r="R25" s="62">
        <f t="shared" si="23"/>
        <v>0</v>
      </c>
      <c r="S25" s="62">
        <f t="shared" si="23"/>
        <v>0</v>
      </c>
      <c r="T25" s="62">
        <f t="shared" si="23"/>
        <v>0</v>
      </c>
      <c r="U25" s="62">
        <f t="shared" si="23"/>
        <v>185436.79</v>
      </c>
      <c r="V25" s="62">
        <f t="shared" si="23"/>
        <v>16065.79</v>
      </c>
      <c r="W25" s="62">
        <f t="shared" si="23"/>
        <v>13680.509999999998</v>
      </c>
      <c r="X25" s="62">
        <f t="shared" si="23"/>
        <v>33240.78</v>
      </c>
      <c r="Y25" s="62">
        <f t="shared" si="23"/>
        <v>18502.01</v>
      </c>
      <c r="Z25" s="62">
        <f t="shared" si="23"/>
        <v>30814.52</v>
      </c>
      <c r="AA25" s="62">
        <f t="shared" si="23"/>
        <v>60637.91</v>
      </c>
      <c r="AB25" s="62">
        <f t="shared" si="23"/>
        <v>16545.08</v>
      </c>
      <c r="AC25" s="62">
        <f t="shared" si="23"/>
        <v>0</v>
      </c>
      <c r="AD25" s="62">
        <f t="shared" si="23"/>
        <v>0</v>
      </c>
      <c r="AE25" s="62">
        <f t="shared" si="23"/>
        <v>0</v>
      </c>
      <c r="AF25" s="62">
        <f t="shared" si="23"/>
        <v>173420.81</v>
      </c>
      <c r="AG25" s="62">
        <f t="shared" si="23"/>
        <v>205180.58147435</v>
      </c>
      <c r="AH25" s="62">
        <f t="shared" si="23"/>
        <v>0</v>
      </c>
      <c r="AI25" s="62">
        <f aca="true" t="shared" si="24" ref="AI25:AX25">AI9+AI23</f>
        <v>0</v>
      </c>
      <c r="AJ25" s="62">
        <f t="shared" si="24"/>
        <v>0</v>
      </c>
      <c r="AK25" s="62">
        <f t="shared" si="24"/>
        <v>15199.872</v>
      </c>
      <c r="AL25" s="62">
        <f t="shared" si="24"/>
        <v>4906.853504799999</v>
      </c>
      <c r="AM25" s="62">
        <f t="shared" si="24"/>
        <v>24378.960928004995</v>
      </c>
      <c r="AN25" s="62">
        <f t="shared" si="24"/>
        <v>1596.924</v>
      </c>
      <c r="AO25" s="62">
        <f t="shared" si="24"/>
        <v>32092.052876889</v>
      </c>
      <c r="AP25" s="62">
        <f t="shared" si="24"/>
        <v>45261.92248893461</v>
      </c>
      <c r="AQ25" s="62">
        <f t="shared" si="24"/>
        <v>5703.299999999999</v>
      </c>
      <c r="AR25" s="62">
        <f t="shared" si="24"/>
        <v>5703.299999999999</v>
      </c>
      <c r="AS25" s="62">
        <f t="shared" si="24"/>
        <v>4372.53</v>
      </c>
      <c r="AT25" s="62">
        <f t="shared" si="24"/>
        <v>1384.26</v>
      </c>
      <c r="AU25" s="62">
        <f t="shared" si="24"/>
        <v>0</v>
      </c>
      <c r="AV25" s="62">
        <f t="shared" si="24"/>
        <v>10252.8</v>
      </c>
      <c r="AW25" s="62">
        <f t="shared" si="24"/>
        <v>421</v>
      </c>
      <c r="AX25" s="62">
        <f t="shared" si="24"/>
        <v>4062.272</v>
      </c>
      <c r="AY25" s="62"/>
      <c r="AZ25" s="62">
        <f>AZ9+AZ23</f>
        <v>0</v>
      </c>
      <c r="BA25" s="62">
        <f>BA9+BA23</f>
        <v>3172.39</v>
      </c>
      <c r="BB25" s="62">
        <f>BB9+BB23</f>
        <v>0</v>
      </c>
      <c r="BC25" s="62">
        <f>BC9+BC23</f>
        <v>158508.4377986286</v>
      </c>
      <c r="BD25" s="62">
        <f>BD9+BD23</f>
        <v>0</v>
      </c>
      <c r="BE25" s="62">
        <f>BE9+BE23</f>
        <v>158508.4377986286</v>
      </c>
      <c r="BF25" s="62">
        <f>BF9+BF23</f>
        <v>46672.14367572142</v>
      </c>
      <c r="BG25" s="113">
        <f>BG9+BG23</f>
        <v>-12015.979999999996</v>
      </c>
      <c r="BH25" s="53"/>
    </row>
    <row r="27" ht="12.75">
      <c r="BI27" s="1"/>
    </row>
  </sheetData>
  <sheetProtection/>
  <mergeCells count="56">
    <mergeCell ref="W5:W6"/>
    <mergeCell ref="AK3:BE4"/>
    <mergeCell ref="S3:T4"/>
    <mergeCell ref="U3:V4"/>
    <mergeCell ref="S5:T6"/>
    <mergeCell ref="AB5:AB6"/>
    <mergeCell ref="AC5:AC6"/>
    <mergeCell ref="AD5:AD6"/>
    <mergeCell ref="AE5:AE6"/>
    <mergeCell ref="AR5:AR6"/>
    <mergeCell ref="BB5:BB6"/>
    <mergeCell ref="AV5:AV6"/>
    <mergeCell ref="BA5:BA6"/>
    <mergeCell ref="AW5:AW6"/>
    <mergeCell ref="AX5:AX6"/>
    <mergeCell ref="AZ5:AZ6"/>
    <mergeCell ref="AL5:AL6"/>
    <mergeCell ref="W3:AI4"/>
    <mergeCell ref="AJ3:AJ6"/>
    <mergeCell ref="AU5:AU6"/>
    <mergeCell ref="AF5:AF6"/>
    <mergeCell ref="AM5:AM6"/>
    <mergeCell ref="AN5:AN6"/>
    <mergeCell ref="AA5:AA6"/>
    <mergeCell ref="Z5:Z6"/>
    <mergeCell ref="X5:X6"/>
    <mergeCell ref="U5:U6"/>
    <mergeCell ref="AG5:AG6"/>
    <mergeCell ref="AH5:AH6"/>
    <mergeCell ref="AI5:AI6"/>
    <mergeCell ref="AK5:AK6"/>
    <mergeCell ref="I5:J6"/>
    <mergeCell ref="K5:L6"/>
    <mergeCell ref="M5:N6"/>
    <mergeCell ref="Y5:Y6"/>
    <mergeCell ref="V5:V6"/>
    <mergeCell ref="BG3:BG6"/>
    <mergeCell ref="BD5:BD6"/>
    <mergeCell ref="BE5:BE6"/>
    <mergeCell ref="BF3:BF6"/>
    <mergeCell ref="AO5:AO6"/>
    <mergeCell ref="AS5:AS6"/>
    <mergeCell ref="BC5:BC6"/>
    <mergeCell ref="AP5:AP6"/>
    <mergeCell ref="AQ5:AQ6"/>
    <mergeCell ref="AT5:AT6"/>
    <mergeCell ref="A1:L1"/>
    <mergeCell ref="A3:A6"/>
    <mergeCell ref="B3:B6"/>
    <mergeCell ref="C3:C6"/>
    <mergeCell ref="D3:D6"/>
    <mergeCell ref="E3:R4"/>
    <mergeCell ref="E5:F6"/>
    <mergeCell ref="G5:H6"/>
    <mergeCell ref="O5:P6"/>
    <mergeCell ref="Q5:R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A5" sqref="A5:O5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hidden="1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459" t="s">
        <v>53</v>
      </c>
      <c r="C1" s="459"/>
      <c r="D1" s="459"/>
      <c r="E1" s="459"/>
      <c r="F1" s="459"/>
      <c r="G1" s="459"/>
      <c r="H1" s="459"/>
    </row>
    <row r="2" spans="2:8" ht="21" customHeight="1">
      <c r="B2" s="459" t="s">
        <v>54</v>
      </c>
      <c r="C2" s="459"/>
      <c r="D2" s="459"/>
      <c r="E2" s="459"/>
      <c r="F2" s="459"/>
      <c r="G2" s="459"/>
      <c r="H2" s="459"/>
    </row>
    <row r="5" spans="1:15" ht="12.75">
      <c r="A5" s="397" t="s">
        <v>121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</row>
    <row r="6" spans="1:15" ht="12.75">
      <c r="A6" s="461" t="s">
        <v>123</v>
      </c>
      <c r="B6" s="461"/>
      <c r="C6" s="461"/>
      <c r="D6" s="461"/>
      <c r="E6" s="461"/>
      <c r="F6" s="461"/>
      <c r="G6" s="461"/>
      <c r="H6" s="95"/>
      <c r="I6" s="95"/>
      <c r="J6" s="95"/>
      <c r="K6" s="95"/>
      <c r="L6" s="95"/>
      <c r="M6" s="95"/>
      <c r="N6" s="95"/>
      <c r="O6" s="95"/>
    </row>
    <row r="7" spans="1:15" ht="12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6" ht="13.5" thickBot="1">
      <c r="A8" s="460" t="s">
        <v>55</v>
      </c>
      <c r="B8" s="460"/>
      <c r="C8" s="460"/>
      <c r="D8" s="460"/>
      <c r="E8" s="460">
        <v>8.55</v>
      </c>
      <c r="F8" s="460"/>
    </row>
    <row r="9" spans="1:16" ht="12.75" customHeight="1">
      <c r="A9" s="398" t="s">
        <v>56</v>
      </c>
      <c r="B9" s="401" t="s">
        <v>0</v>
      </c>
      <c r="C9" s="473" t="s">
        <v>57</v>
      </c>
      <c r="D9" s="476" t="s">
        <v>2</v>
      </c>
      <c r="E9" s="467" t="s">
        <v>58</v>
      </c>
      <c r="F9" s="366"/>
      <c r="G9" s="391" t="s">
        <v>117</v>
      </c>
      <c r="H9" s="392"/>
      <c r="I9" s="479" t="s">
        <v>8</v>
      </c>
      <c r="J9" s="412"/>
      <c r="K9" s="412"/>
      <c r="L9" s="412"/>
      <c r="M9" s="412"/>
      <c r="N9" s="480"/>
      <c r="O9" s="417" t="s">
        <v>59</v>
      </c>
      <c r="P9" s="417" t="s">
        <v>10</v>
      </c>
    </row>
    <row r="10" spans="1:16" ht="12.75">
      <c r="A10" s="399"/>
      <c r="B10" s="402"/>
      <c r="C10" s="474"/>
      <c r="D10" s="477"/>
      <c r="E10" s="468"/>
      <c r="F10" s="469"/>
      <c r="G10" s="393"/>
      <c r="H10" s="394"/>
      <c r="I10" s="481"/>
      <c r="J10" s="415"/>
      <c r="K10" s="415"/>
      <c r="L10" s="415"/>
      <c r="M10" s="415"/>
      <c r="N10" s="482"/>
      <c r="O10" s="418"/>
      <c r="P10" s="418"/>
    </row>
    <row r="11" spans="1:16" ht="26.25" customHeight="1">
      <c r="A11" s="399"/>
      <c r="B11" s="402"/>
      <c r="C11" s="474"/>
      <c r="D11" s="477"/>
      <c r="E11" s="462" t="s">
        <v>60</v>
      </c>
      <c r="F11" s="368"/>
      <c r="G11" s="121" t="s">
        <v>61</v>
      </c>
      <c r="H11" s="463" t="s">
        <v>5</v>
      </c>
      <c r="I11" s="465" t="s">
        <v>62</v>
      </c>
      <c r="J11" s="389" t="s">
        <v>118</v>
      </c>
      <c r="K11" s="389" t="s">
        <v>63</v>
      </c>
      <c r="L11" s="389" t="s">
        <v>35</v>
      </c>
      <c r="M11" s="389" t="s">
        <v>64</v>
      </c>
      <c r="N11" s="463" t="s">
        <v>37</v>
      </c>
      <c r="O11" s="418"/>
      <c r="P11" s="418"/>
    </row>
    <row r="12" spans="1:16" ht="66.75" customHeight="1" thickBot="1">
      <c r="A12" s="400"/>
      <c r="B12" s="403"/>
      <c r="C12" s="475"/>
      <c r="D12" s="478"/>
      <c r="E12" s="287" t="s">
        <v>65</v>
      </c>
      <c r="F12" s="288" t="s">
        <v>19</v>
      </c>
      <c r="G12" s="94" t="s">
        <v>119</v>
      </c>
      <c r="H12" s="464"/>
      <c r="I12" s="466"/>
      <c r="J12" s="390"/>
      <c r="K12" s="390"/>
      <c r="L12" s="390"/>
      <c r="M12" s="390"/>
      <c r="N12" s="464"/>
      <c r="O12" s="419"/>
      <c r="P12" s="419"/>
    </row>
    <row r="13" spans="1:16" ht="13.5" thickBot="1">
      <c r="A13" s="33">
        <v>1</v>
      </c>
      <c r="B13" s="34">
        <v>2</v>
      </c>
      <c r="C13" s="33">
        <v>3</v>
      </c>
      <c r="D13" s="34">
        <v>4</v>
      </c>
      <c r="E13" s="33">
        <v>5</v>
      </c>
      <c r="F13" s="34">
        <v>6</v>
      </c>
      <c r="G13" s="33">
        <v>7</v>
      </c>
      <c r="H13" s="34">
        <v>8</v>
      </c>
      <c r="I13" s="33">
        <v>9</v>
      </c>
      <c r="J13" s="34">
        <v>10</v>
      </c>
      <c r="K13" s="33">
        <v>11</v>
      </c>
      <c r="L13" s="34">
        <v>12</v>
      </c>
      <c r="M13" s="34">
        <v>13</v>
      </c>
      <c r="N13" s="33">
        <v>13</v>
      </c>
      <c r="O13" s="34">
        <v>14</v>
      </c>
      <c r="P13" s="34">
        <v>15</v>
      </c>
    </row>
    <row r="14" spans="1:18" ht="12.75" hidden="1">
      <c r="A14" s="8" t="s">
        <v>42</v>
      </c>
      <c r="B14" s="222"/>
      <c r="C14" s="289"/>
      <c r="D14" s="290"/>
      <c r="E14" s="54"/>
      <c r="F14" s="55"/>
      <c r="G14" s="57"/>
      <c r="H14" s="55"/>
      <c r="I14" s="57"/>
      <c r="J14" s="16"/>
      <c r="K14" s="16"/>
      <c r="L14" s="17"/>
      <c r="M14" s="291"/>
      <c r="N14" s="18"/>
      <c r="O14" s="43"/>
      <c r="P14" s="43"/>
      <c r="Q14" s="1"/>
      <c r="R14" s="1"/>
    </row>
    <row r="15" spans="1:18" ht="12.75" hidden="1">
      <c r="A15" s="14" t="s">
        <v>43</v>
      </c>
      <c r="B15" s="292">
        <f>'[1]Лист1'!B9</f>
        <v>347</v>
      </c>
      <c r="C15" s="293">
        <f aca="true" t="shared" si="0" ref="C15:C26">B15*8.65</f>
        <v>3001.55</v>
      </c>
      <c r="D15" s="294">
        <f>'[1]Лист1'!D9</f>
        <v>375.19375</v>
      </c>
      <c r="E15" s="16">
        <f>'[1]Лист1'!S9</f>
        <v>1402.63</v>
      </c>
      <c r="F15" s="18">
        <f>'[1]Лист1'!T9</f>
        <v>770.85</v>
      </c>
      <c r="G15" s="42">
        <f>'[1]Лист1'!AB9</f>
        <v>1205.52</v>
      </c>
      <c r="H15" s="18">
        <f>'[1]Лист1'!AC9</f>
        <v>2351.5637500000003</v>
      </c>
      <c r="I15" s="42">
        <f>'[1]Лист1'!AG9</f>
        <v>187.38</v>
      </c>
      <c r="J15" s="16">
        <f>'[1]Лист1'!AI9+'[1]Лист1'!AJ9</f>
        <v>301.727947</v>
      </c>
      <c r="K15" s="16">
        <f>'[1]Лист1'!AH9+'[1]Лист1'!AK9+'[1]Лист1'!AL9+'[1]Лист1'!AM9+'[1]Лист1'!AN9+'[1]Лист1'!AO9+'[1]Лист1'!AP9+'[1]Лист1'!AQ9+'[1]Лист1'!AR9</f>
        <v>1036.33545944</v>
      </c>
      <c r="L15" s="17">
        <f>'[1]Лист1'!AS9+'[1]Лист1'!AT9+'[1]Лист1'!AU9+'[1]Лист1'!AZ9+'[1]Лист1'!BA9</f>
        <v>0</v>
      </c>
      <c r="M15" s="17">
        <f>'[1]Лист1'!AX9</f>
        <v>100.70592</v>
      </c>
      <c r="N15" s="18">
        <f>'[1]Лист1'!BB9</f>
        <v>1525.4434064399998</v>
      </c>
      <c r="O15" s="43">
        <f>'[1]Лист1'!BD9</f>
        <v>826.1203435600005</v>
      </c>
      <c r="P15" s="43">
        <f>'[1]Лист1'!BE9</f>
        <v>-197.11000000000013</v>
      </c>
      <c r="Q15" s="1"/>
      <c r="R15" s="1"/>
    </row>
    <row r="16" spans="1:18" ht="12.75" hidden="1">
      <c r="A16" s="14" t="s">
        <v>44</v>
      </c>
      <c r="B16" s="292">
        <f>'[1]Лист1'!B10</f>
        <v>347</v>
      </c>
      <c r="C16" s="293">
        <f t="shared" si="0"/>
        <v>3001.55</v>
      </c>
      <c r="D16" s="294">
        <f>'[1]Лист1'!D10</f>
        <v>375.19375</v>
      </c>
      <c r="E16" s="16">
        <f>'[1]Лист1'!S10</f>
        <v>1402.63</v>
      </c>
      <c r="F16" s="18">
        <f>'[1]Лист1'!T10</f>
        <v>770.85</v>
      </c>
      <c r="G16" s="42">
        <f>'[1]Лист1'!AB10</f>
        <v>1141.3000000000002</v>
      </c>
      <c r="H16" s="18">
        <f>'[1]Лист1'!AC10</f>
        <v>2287.34375</v>
      </c>
      <c r="I16" s="42">
        <f>'[1]Лист1'!AG10</f>
        <v>187.38</v>
      </c>
      <c r="J16" s="16">
        <f>'[1]Лист1'!AI10+'[1]Лист1'!AJ10</f>
        <v>301.403506</v>
      </c>
      <c r="K16" s="16">
        <f>'[1]Лист1'!AH10+'[1]Лист1'!AK10+'[1]Лист1'!AL10+'[1]Лист1'!AM10+'[1]Лист1'!AN10+'[1]Лист1'!AO10+'[1]Лист1'!AP10+'[1]Лист1'!AQ10+'[1]Лист1'!AR10</f>
        <v>1037.8314805399998</v>
      </c>
      <c r="L16" s="17">
        <f>'[1]Лист1'!AS10+'[1]Лист1'!AT10+'[1]Лист1'!AU10+'[1]Лист1'!AZ10+'[1]Лист1'!BA10</f>
        <v>1569.4</v>
      </c>
      <c r="M16" s="17">
        <f>'[1]Лист1'!AX10</f>
        <v>80.68368</v>
      </c>
      <c r="N16" s="18">
        <f>'[1]Лист1'!BB10</f>
        <v>3096.0149865399994</v>
      </c>
      <c r="O16" s="43">
        <f>'[1]Лист1'!BD10</f>
        <v>-808.6712365399994</v>
      </c>
      <c r="P16" s="43">
        <f>'[1]Лист1'!BE10</f>
        <v>-261.3299999999999</v>
      </c>
      <c r="Q16" s="1"/>
      <c r="R16" s="1"/>
    </row>
    <row r="17" spans="1:18" ht="12.75" hidden="1">
      <c r="A17" s="14" t="s">
        <v>45</v>
      </c>
      <c r="B17" s="292">
        <f>'[1]Лист1'!B11</f>
        <v>347</v>
      </c>
      <c r="C17" s="293">
        <f t="shared" si="0"/>
        <v>3001.55</v>
      </c>
      <c r="D17" s="294">
        <f>'[1]Лист1'!D11</f>
        <v>375.19375</v>
      </c>
      <c r="E17" s="16">
        <f>'[1]Лист1'!S11</f>
        <v>1402.63</v>
      </c>
      <c r="F17" s="18">
        <f>'[1]Лист1'!T11</f>
        <v>770.85</v>
      </c>
      <c r="G17" s="42">
        <f>'[1]Лист1'!AB11</f>
        <v>1864.7600000000002</v>
      </c>
      <c r="H17" s="18">
        <f>'[1]Лист1'!AC11</f>
        <v>3010.80375</v>
      </c>
      <c r="I17" s="42">
        <f>'[1]Лист1'!AG11</f>
        <v>187.38</v>
      </c>
      <c r="J17" s="16">
        <f>'[1]Лист1'!AI11+'[1]Лист1'!AJ11</f>
        <v>301.9373675</v>
      </c>
      <c r="K17" s="16">
        <f>'[1]Лист1'!AH11+'[1]Лист1'!AK11+'[1]Лист1'!AL11+'[1]Лист1'!AM11+'[1]Лист1'!AN11+'[1]Лист1'!AO11+'[1]Лист1'!AP11+'[1]Лист1'!AQ11+'[1]Лист1'!AR11</f>
        <v>1003.1883752000001</v>
      </c>
      <c r="L17" s="17">
        <f>'[1]Лист1'!AS11+'[1]Лист1'!AT11+'[1]Лист1'!AU11+'[1]Лист1'!AZ11+'[1]Лист1'!BA11</f>
        <v>0</v>
      </c>
      <c r="M17" s="17">
        <f>'[1]Лист1'!AX11</f>
        <v>75.92592</v>
      </c>
      <c r="N17" s="18">
        <f>'[1]Лист1'!BB11</f>
        <v>1492.5057427</v>
      </c>
      <c r="O17" s="43">
        <f>'[1]Лист1'!BD11</f>
        <v>1518.2980073</v>
      </c>
      <c r="P17" s="43">
        <f>'[1]Лист1'!BE11</f>
        <v>462.1300000000001</v>
      </c>
      <c r="Q17" s="1"/>
      <c r="R17" s="1"/>
    </row>
    <row r="18" spans="1:18" ht="12.75" hidden="1">
      <c r="A18" s="14" t="s">
        <v>46</v>
      </c>
      <c r="B18" s="292">
        <f>'[1]Лист1'!B12</f>
        <v>347</v>
      </c>
      <c r="C18" s="293">
        <f t="shared" si="0"/>
        <v>3001.55</v>
      </c>
      <c r="D18" s="294">
        <f>'[1]Лист1'!D12</f>
        <v>375.19375</v>
      </c>
      <c r="E18" s="16">
        <f>'[1]Лист1'!S12</f>
        <v>1401.9099999999999</v>
      </c>
      <c r="F18" s="18">
        <f>'[1]Лист1'!T12</f>
        <v>770.85</v>
      </c>
      <c r="G18" s="42">
        <f>'[1]Лист1'!AB12</f>
        <v>1402.6</v>
      </c>
      <c r="H18" s="18">
        <f>'[1]Лист1'!AC12</f>
        <v>2548.64375</v>
      </c>
      <c r="I18" s="42">
        <f>'[1]Лист1'!AG12</f>
        <v>187.38</v>
      </c>
      <c r="J18" s="16">
        <f>'[1]Лист1'!AI12+'[1]Лист1'!AJ12</f>
        <v>310.800613</v>
      </c>
      <c r="K18" s="16">
        <f>'[1]Лист1'!AH12+'[1]Лист1'!AK12+'[1]Лист1'!AL12+'[1]Лист1'!AM12+'[1]Лист1'!AN12+'[1]Лист1'!AO12+'[1]Лист1'!AP12+'[1]Лист1'!AQ12+'[1]Лист1'!AR12</f>
        <v>1017.49191592</v>
      </c>
      <c r="L18" s="17">
        <f>'[1]Лист1'!AS12+'[1]Лист1'!AT12+'[1]Лист1'!AU12+'[1]Лист1'!AY12+'[1]Лист1'!AZ12</f>
        <v>0</v>
      </c>
      <c r="M18" s="17">
        <f>'[1]Лист1'!AX12</f>
        <v>60.85968</v>
      </c>
      <c r="N18" s="18">
        <f>'[1]Лист1'!BB12</f>
        <v>1833.8477289200002</v>
      </c>
      <c r="O18" s="43">
        <f>'[1]Лист1'!BD12</f>
        <v>714.79602108</v>
      </c>
      <c r="P18" s="43">
        <f>'[1]Лист1'!BE12</f>
        <v>0.6900000000000546</v>
      </c>
      <c r="Q18" s="1"/>
      <c r="R18" s="1"/>
    </row>
    <row r="19" spans="1:18" ht="12.75" hidden="1">
      <c r="A19" s="14" t="s">
        <v>47</v>
      </c>
      <c r="B19" s="292">
        <f>'[1]Лист1'!B13</f>
        <v>347</v>
      </c>
      <c r="C19" s="293">
        <f t="shared" si="0"/>
        <v>3001.55</v>
      </c>
      <c r="D19" s="294">
        <f>'[1]Лист1'!D13</f>
        <v>577.8599999999997</v>
      </c>
      <c r="E19" s="16">
        <f>'[1]Лист1'!S13</f>
        <v>1563.57</v>
      </c>
      <c r="F19" s="18">
        <f>'[1]Лист1'!T13</f>
        <v>860.12</v>
      </c>
      <c r="G19" s="42">
        <f>'[1]Лист1'!AB13</f>
        <v>1101.03</v>
      </c>
      <c r="H19" s="18">
        <f>'[1]Лист1'!AC13</f>
        <v>2539.0099999999993</v>
      </c>
      <c r="I19" s="42">
        <f>'[1]Лист1'!AG13</f>
        <v>208.2</v>
      </c>
      <c r="J19" s="16">
        <f>'[1]Лист1'!AI13+'[1]Лист1'!AJ13</f>
        <v>348.041</v>
      </c>
      <c r="K19" s="16">
        <f>'[1]Лист1'!AH13+'[1]Лист1'!AK13+'[1]Лист1'!AL13+'[1]Лист1'!AM13+'[1]Лист1'!AN13+'[1]Лист1'!AO13+'[1]Лист1'!AP13+'[1]Лист1'!AQ13+'[1]Лист1'!AR13</f>
        <v>1192.0144</v>
      </c>
      <c r="L19" s="17">
        <f>'[1]Лист1'!AS13+'[1]Лист1'!AT13+'[1]Лист1'!AU13+'[1]Лист1'!AZ13+'[1]Лист1'!BA13</f>
        <v>0</v>
      </c>
      <c r="M19" s="17">
        <f>'[1]Лист1'!AX13</f>
        <v>52.137119999999996</v>
      </c>
      <c r="N19" s="18">
        <f>'[1]Лист1'!BB13</f>
        <v>1800.3925199999999</v>
      </c>
      <c r="O19" s="43">
        <f>'[1]Лист1'!BD13</f>
        <v>738.6174799999994</v>
      </c>
      <c r="P19" s="43">
        <f>'[1]Лист1'!BE13</f>
        <v>-462.53999999999996</v>
      </c>
      <c r="Q19" s="1"/>
      <c r="R19" s="1"/>
    </row>
    <row r="20" spans="1:18" ht="12.75" hidden="1">
      <c r="A20" s="14" t="s">
        <v>48</v>
      </c>
      <c r="B20" s="292">
        <f>'[1]Лист1'!B14</f>
        <v>347</v>
      </c>
      <c r="C20" s="293">
        <f t="shared" si="0"/>
        <v>3001.55</v>
      </c>
      <c r="D20" s="294">
        <f>'[1]Лист1'!D14</f>
        <v>577.73</v>
      </c>
      <c r="E20" s="16">
        <f>'[1]Лист1'!S14</f>
        <v>1563.7</v>
      </c>
      <c r="F20" s="18">
        <f>'[1]Лист1'!T14</f>
        <v>860.12</v>
      </c>
      <c r="G20" s="42">
        <f>'[1]Лист1'!AB14</f>
        <v>1864.8400000000001</v>
      </c>
      <c r="H20" s="18">
        <f>'[1]Лист1'!AC14</f>
        <v>3302.69</v>
      </c>
      <c r="I20" s="42">
        <f>'[1]Лист1'!AG14</f>
        <v>208.2</v>
      </c>
      <c r="J20" s="16">
        <f>'[1]Лист1'!AI14+'[1]Лист1'!AJ14</f>
        <v>348.041</v>
      </c>
      <c r="K20" s="16">
        <f>'[1]Лист1'!AH14+'[1]Лист1'!AK14+'[1]Лист1'!AL14+'[1]Лист1'!AM14+'[1]Лист1'!AN14+'[1]Лист1'!AO14+'[1]Лист1'!AP14+'[1]Лист1'!AQ14+'[1]Лист1'!AR14</f>
        <v>1192.04563</v>
      </c>
      <c r="L20" s="17">
        <f>'[1]Лист1'!AS14+'[1]Лист1'!AT14+'[1]Лист1'!AU14+'[1]Лист1'!AZ14+'[1]Лист1'!BA14</f>
        <v>0</v>
      </c>
      <c r="M20" s="17">
        <f>'[1]Лист1'!AX14</f>
        <v>46.189919999999994</v>
      </c>
      <c r="N20" s="18">
        <f>'[1]Лист1'!BB14</f>
        <v>1794.47655</v>
      </c>
      <c r="O20" s="43">
        <f>'[1]Лист1'!BD14</f>
        <v>1508.21345</v>
      </c>
      <c r="P20" s="43">
        <f>'[1]Лист1'!BE14</f>
        <v>301.1400000000001</v>
      </c>
      <c r="Q20" s="1"/>
      <c r="R20" s="1"/>
    </row>
    <row r="21" spans="1:18" ht="12.75" hidden="1">
      <c r="A21" s="14" t="s">
        <v>49</v>
      </c>
      <c r="B21" s="292">
        <f>'[1]Лист1'!B15</f>
        <v>347</v>
      </c>
      <c r="C21" s="293">
        <f t="shared" si="0"/>
        <v>3001.55</v>
      </c>
      <c r="D21" s="294">
        <f>'[1]Лист1'!D15</f>
        <v>595.9700000000003</v>
      </c>
      <c r="E21" s="16">
        <f>'[1]Лист1'!S15</f>
        <v>1553.6399999999999</v>
      </c>
      <c r="F21" s="18">
        <f>'[1]Лист1'!T15</f>
        <v>851.9399999999999</v>
      </c>
      <c r="G21" s="42">
        <f>'[1]Лист1'!AB15</f>
        <v>1230.87</v>
      </c>
      <c r="H21" s="18">
        <f>'[1]Лист1'!AC15</f>
        <v>2678.78</v>
      </c>
      <c r="I21" s="42">
        <f>'[1]Лист1'!AG15</f>
        <v>208.2</v>
      </c>
      <c r="J21" s="16">
        <f>'[1]Лист1'!AI15+'[1]Лист1'!AJ15</f>
        <v>343.0988178</v>
      </c>
      <c r="K21" s="16">
        <f>'[1]Лист1'!AH15+'[1]Лист1'!AK15+'[1]Лист1'!AL15+'[1]Лист1'!AM15+'[1]Лист1'!AN15+'[1]Лист1'!AO15+'[1]Лист1'!AP15+'[1]Лист1'!AQ15+'[1]Лист1'!AR15</f>
        <v>1180.18489934</v>
      </c>
      <c r="L21" s="17">
        <f>'[1]Лист1'!AS15+'[1]Лист1'!AT15+'[1]Лист1'!AU15+'[1]Лист1'!AZ15+'[1]Лист1'!BA15</f>
        <v>0</v>
      </c>
      <c r="M21" s="17">
        <f>'[1]Лист1'!AX15</f>
        <v>49.16352</v>
      </c>
      <c r="N21" s="18">
        <f>'[1]Лист1'!BB15</f>
        <v>1780.64723714</v>
      </c>
      <c r="O21" s="43">
        <f>'[1]Лист1'!BD15</f>
        <v>898.1327628600002</v>
      </c>
      <c r="P21" s="43">
        <f>'[1]Лист1'!BE15</f>
        <v>-322.77</v>
      </c>
      <c r="Q21" s="1"/>
      <c r="R21" s="1"/>
    </row>
    <row r="22" spans="1:18" ht="12.75" hidden="1">
      <c r="A22" s="14" t="s">
        <v>50</v>
      </c>
      <c r="B22" s="292">
        <f>'[1]Лист1'!B16</f>
        <v>347</v>
      </c>
      <c r="C22" s="293">
        <f t="shared" si="0"/>
        <v>3001.55</v>
      </c>
      <c r="D22" s="294">
        <f>'[1]Лист1'!D16</f>
        <v>577.73</v>
      </c>
      <c r="E22" s="16">
        <f>'[1]Лист1'!S16</f>
        <v>1563.7</v>
      </c>
      <c r="F22" s="18">
        <f>'[1]Лист1'!T16</f>
        <v>860.12</v>
      </c>
      <c r="G22" s="42">
        <f>'[1]Лист1'!AB16</f>
        <v>1843.1499999999999</v>
      </c>
      <c r="H22" s="18">
        <f>'[1]Лист1'!AC16</f>
        <v>3281</v>
      </c>
      <c r="I22" s="42">
        <f>'[1]Лист1'!AG16</f>
        <v>208.2</v>
      </c>
      <c r="J22" s="16">
        <f>'[1]Лист1'!AI16+'[1]Лист1'!AJ16</f>
        <v>342.9073952499999</v>
      </c>
      <c r="K22" s="16">
        <f>'[1]Лист1'!AH16+'[1]Лист1'!AK16+'[1]Лист1'!AL16+'[1]Лист1'!AM16+'[1]Лист1'!AN16+'[1]Лист1'!AO16+'[1]Лист1'!AP16+'[1]Лист1'!AQ16+'[1]Лист1'!AR16</f>
        <v>1179.93693314</v>
      </c>
      <c r="L22" s="17">
        <f>'[1]Лист1'!AS16+'[1]Лист1'!AT16+'[1]Лист1'!AU16+'[1]Лист1'!AZ16+'[1]Лист1'!BA16</f>
        <v>0</v>
      </c>
      <c r="M22" s="17">
        <f>'[1]Лист1'!AX16</f>
        <v>58.08431999999999</v>
      </c>
      <c r="N22" s="18">
        <f>'[1]Лист1'!BB16</f>
        <v>1789.1286483900003</v>
      </c>
      <c r="O22" s="43">
        <f>'[1]Лист1'!BD16</f>
        <v>1491.8713516099997</v>
      </c>
      <c r="P22" s="43">
        <f>'[1]Лист1'!BE16</f>
        <v>279.4499999999998</v>
      </c>
      <c r="Q22" s="1"/>
      <c r="R22" s="1"/>
    </row>
    <row r="23" spans="1:18" ht="12.75" hidden="1">
      <c r="A23" s="14" t="s">
        <v>51</v>
      </c>
      <c r="B23" s="292">
        <f>'[1]Лист1'!B17</f>
        <v>347</v>
      </c>
      <c r="C23" s="293">
        <f t="shared" si="0"/>
        <v>3001.55</v>
      </c>
      <c r="D23" s="294">
        <f>'[1]Лист1'!D17</f>
        <v>577.73</v>
      </c>
      <c r="E23" s="16">
        <f>'[1]Лист1'!S17</f>
        <v>1563.7</v>
      </c>
      <c r="F23" s="18">
        <f>'[1]Лист1'!T17</f>
        <v>860.12</v>
      </c>
      <c r="G23" s="42">
        <f>'[1]Лист1'!AB17</f>
        <v>1231.0300000000002</v>
      </c>
      <c r="H23" s="18">
        <f>'[1]Лист1'!AC17</f>
        <v>2668.88</v>
      </c>
      <c r="I23" s="42">
        <f>'[1]Лист1'!AG17</f>
        <v>208.2</v>
      </c>
      <c r="J23" s="16">
        <f>'[1]Лист1'!AI17+'[1]Лист1'!AJ17</f>
        <v>342.84822827999994</v>
      </c>
      <c r="K23" s="16">
        <f>'[1]Лист1'!AH17+'[1]Лист1'!AK17+'[1]Лист1'!AL17+'[1]Лист1'!AM17+'[1]Лист1'!AN17+'[1]Лист1'!AO17+'[1]Лист1'!AP17+'[1]Лист1'!AQ17+'[1]Лист1'!AR17</f>
        <v>1179.8602711239998</v>
      </c>
      <c r="L23" s="17">
        <f>'[1]Лист1'!AS17+'[1]Лист1'!AT17+'[1]Лист1'!AU17+'[1]Лист1'!AZ17+'[1]Лист1'!BA17</f>
        <v>0</v>
      </c>
      <c r="M23" s="17">
        <f>'[1]Лист1'!AX17</f>
        <v>69.18576</v>
      </c>
      <c r="N23" s="18">
        <f>'[1]Лист1'!BB17</f>
        <v>1800.0942594039993</v>
      </c>
      <c r="O23" s="43">
        <f>'[1]Лист1'!BD17</f>
        <v>868.7857405960008</v>
      </c>
      <c r="P23" s="43">
        <f>'[1]Лист1'!BE17</f>
        <v>-332.66999999999985</v>
      </c>
      <c r="Q23" s="1"/>
      <c r="R23" s="1"/>
    </row>
    <row r="24" spans="1:18" ht="12.75" hidden="1">
      <c r="A24" s="14" t="s">
        <v>39</v>
      </c>
      <c r="B24" s="292">
        <f>'[1]Лист1'!B18</f>
        <v>347</v>
      </c>
      <c r="C24" s="293">
        <f t="shared" si="0"/>
        <v>3001.55</v>
      </c>
      <c r="D24" s="294">
        <f>'[1]Лист1'!D18</f>
        <v>577.73</v>
      </c>
      <c r="E24" s="16">
        <f>'[1]Лист1'!S18</f>
        <v>1563.7</v>
      </c>
      <c r="F24" s="18">
        <f>'[1]Лист1'!T18</f>
        <v>860.12</v>
      </c>
      <c r="G24" s="42">
        <f>'[1]Лист1'!AB18</f>
        <v>1939.5499999999997</v>
      </c>
      <c r="H24" s="18">
        <f>'[1]Лист1'!AC18</f>
        <v>3377.3999999999996</v>
      </c>
      <c r="I24" s="42">
        <f>'[1]Лист1'!AG18</f>
        <v>208.2</v>
      </c>
      <c r="J24" s="16">
        <f>'[1]Лист1'!AI18+'[1]Лист1'!AJ18</f>
        <v>346.81262</v>
      </c>
      <c r="K24" s="16">
        <f>'[1]Лист1'!AH18+'[1]Лист1'!AK18+'[1]Лист1'!AL18+'[1]Лист1'!AM18+'[1]Лист1'!AN18+'[1]Лист1'!AO18+'[1]Лист1'!AP18+'[1]Лист1'!AQ18+'[1]Лист1'!AR18</f>
        <v>1190.0018</v>
      </c>
      <c r="L24" s="17">
        <f>'[1]Лист1'!AS18+'[1]Лист1'!AT18+'[1]Лист1'!AU18+'[1]Лист1'!AZ18+'[1]Лист1'!BA18</f>
        <v>0</v>
      </c>
      <c r="M24" s="17">
        <f>'[1]Лист1'!AX18</f>
        <v>84.252</v>
      </c>
      <c r="N24" s="18">
        <f>'[1]Лист1'!BB18</f>
        <v>1829.2664200000002</v>
      </c>
      <c r="O24" s="43">
        <f>'[1]Лист1'!BD18</f>
        <v>1548.1335799999995</v>
      </c>
      <c r="P24" s="43">
        <f>'[1]Лист1'!BE18</f>
        <v>375.8499999999997</v>
      </c>
      <c r="Q24" s="1"/>
      <c r="R24" s="1"/>
    </row>
    <row r="25" spans="1:18" ht="12.75" hidden="1">
      <c r="A25" s="14" t="s">
        <v>40</v>
      </c>
      <c r="B25" s="292">
        <f>'[1]Лист1'!B19</f>
        <v>347</v>
      </c>
      <c r="C25" s="293">
        <f t="shared" si="0"/>
        <v>3001.55</v>
      </c>
      <c r="D25" s="294">
        <f>'[1]Лист1'!D19</f>
        <v>577.73</v>
      </c>
      <c r="E25" s="16">
        <f>'[1]Лист1'!S19</f>
        <v>1563.7</v>
      </c>
      <c r="F25" s="18">
        <f>'[1]Лист1'!T19</f>
        <v>860.12</v>
      </c>
      <c r="G25" s="42">
        <f>'[1]Лист1'!AB19</f>
        <v>1230.9</v>
      </c>
      <c r="H25" s="18">
        <f>'[1]Лист1'!AC19</f>
        <v>2668.75</v>
      </c>
      <c r="I25" s="42">
        <f>'[1]Лист1'!AG19</f>
        <v>208.2</v>
      </c>
      <c r="J25" s="16">
        <f>'[1]Лист1'!AI19+'[1]Лист1'!AJ19</f>
        <v>348.041</v>
      </c>
      <c r="K25" s="16">
        <f>'[1]Лист1'!AH19+'[1]Лист1'!AK19+'[1]Лист1'!AL19+'[1]Лист1'!AM19+'[1]Лист1'!AN19+'[1]Лист1'!AO19+'[1]Лист1'!AP19+'[1]Лист1'!AQ19+'[1]Лист1'!AR19</f>
        <v>1191.3204</v>
      </c>
      <c r="L25" s="17">
        <f>'[1]Лист1'!AS19+'[1]Лист1'!AT19+'[1]Лист1'!AU19+'[1]Лист1'!AZ19+'[1]Лист1'!BA19</f>
        <v>0</v>
      </c>
      <c r="M25" s="17">
        <f>'[1]Лист1'!AX19</f>
        <v>93.17280000000001</v>
      </c>
      <c r="N25" s="18">
        <f>'[1]Лист1'!BB19</f>
        <v>1840.7342</v>
      </c>
      <c r="O25" s="43">
        <f>'[1]Лист1'!BD19</f>
        <v>828.0157999999999</v>
      </c>
      <c r="P25" s="43">
        <f>'[1]Лист1'!BE19</f>
        <v>-332.79999999999995</v>
      </c>
      <c r="Q25" s="1"/>
      <c r="R25" s="1"/>
    </row>
    <row r="26" spans="1:18" ht="13.5" hidden="1" thickBot="1">
      <c r="A26" s="44" t="s">
        <v>41</v>
      </c>
      <c r="B26" s="292">
        <f>'[1]Лист1'!B20</f>
        <v>347</v>
      </c>
      <c r="C26" s="295">
        <f t="shared" si="0"/>
        <v>3001.55</v>
      </c>
      <c r="D26" s="294">
        <f>'[1]Лист1'!D20</f>
        <v>577.73</v>
      </c>
      <c r="E26" s="16">
        <f>'[1]Лист1'!S20</f>
        <v>1563.7</v>
      </c>
      <c r="F26" s="18">
        <f>'[1]Лист1'!T20</f>
        <v>860.12</v>
      </c>
      <c r="G26" s="42">
        <f>'[1]Лист1'!AB20</f>
        <v>1904.9299999999998</v>
      </c>
      <c r="H26" s="18">
        <f>'[1]Лист1'!AC20</f>
        <v>3342.7799999999997</v>
      </c>
      <c r="I26" s="42">
        <f>'[1]Лист1'!AG20</f>
        <v>208.2</v>
      </c>
      <c r="J26" s="16">
        <f>'[1]Лист1'!AI20+'[1]Лист1'!AJ20</f>
        <v>348.041</v>
      </c>
      <c r="K26" s="16">
        <f>'[1]Лист1'!AH20+'[1]Лист1'!AK20+'[1]Лист1'!AL20+'[1]Лист1'!AM20+'[1]Лист1'!AN20+'[1]Лист1'!AO20+'[1]Лист1'!AP20+'[1]Лист1'!AQ20+'[1]Лист1'!AR20</f>
        <v>1191.3204</v>
      </c>
      <c r="L26" s="17">
        <f>'[1]Лист1'!AS20+'[1]Лист1'!AT20+'[1]Лист1'!AU20+'[1]Лист1'!AZ20+'[1]Лист1'!BA20</f>
        <v>0</v>
      </c>
      <c r="M26" s="17">
        <f>'[1]Лист1'!AX20</f>
        <v>101.89536</v>
      </c>
      <c r="N26" s="18">
        <f>'[1]Лист1'!BB20</f>
        <v>1849.45676</v>
      </c>
      <c r="O26" s="43">
        <f>'[1]Лист1'!BD20</f>
        <v>1493.3232399999997</v>
      </c>
      <c r="P26" s="43">
        <f>'[1]Лист1'!BE20</f>
        <v>341.2299999999998</v>
      </c>
      <c r="Q26" s="1"/>
      <c r="R26" s="1"/>
    </row>
    <row r="27" spans="1:18" s="24" customFormat="1" ht="13.5" hidden="1" thickBot="1">
      <c r="A27" s="45" t="s">
        <v>3</v>
      </c>
      <c r="B27" s="46"/>
      <c r="C27" s="47">
        <f aca="true" t="shared" si="1" ref="C27:P27">SUM(C15:C26)</f>
        <v>36018.6</v>
      </c>
      <c r="D27" s="48">
        <f t="shared" si="1"/>
        <v>6140.984999999999</v>
      </c>
      <c r="E27" s="47">
        <f t="shared" si="1"/>
        <v>18109.210000000003</v>
      </c>
      <c r="F27" s="49">
        <f t="shared" si="1"/>
        <v>9956.180000000002</v>
      </c>
      <c r="G27" s="48">
        <f t="shared" si="1"/>
        <v>17960.479999999996</v>
      </c>
      <c r="H27" s="49">
        <f t="shared" si="1"/>
        <v>34057.645</v>
      </c>
      <c r="I27" s="48">
        <f t="shared" si="1"/>
        <v>2415.12</v>
      </c>
      <c r="J27" s="47">
        <f t="shared" si="1"/>
        <v>3983.7004948300005</v>
      </c>
      <c r="K27" s="47">
        <f t="shared" si="1"/>
        <v>13591.531964704</v>
      </c>
      <c r="L27" s="47">
        <f t="shared" si="1"/>
        <v>1569.4</v>
      </c>
      <c r="M27" s="47">
        <f t="shared" si="1"/>
        <v>872.256</v>
      </c>
      <c r="N27" s="49">
        <f t="shared" si="1"/>
        <v>22432.008459533998</v>
      </c>
      <c r="O27" s="51">
        <f t="shared" si="1"/>
        <v>11625.636540466</v>
      </c>
      <c r="P27" s="51">
        <f t="shared" si="1"/>
        <v>-148.73000000000025</v>
      </c>
      <c r="Q27" s="53"/>
      <c r="R27" s="53"/>
    </row>
    <row r="28" spans="1:18" ht="13.5" thickBot="1">
      <c r="A28" s="457" t="s">
        <v>94</v>
      </c>
      <c r="B28" s="458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296"/>
      <c r="Q28" s="1"/>
      <c r="R28" s="1"/>
    </row>
    <row r="29" spans="1:18" s="24" customFormat="1" ht="13.5" thickBot="1">
      <c r="A29" s="58" t="s">
        <v>52</v>
      </c>
      <c r="B29" s="59"/>
      <c r="C29" s="60">
        <f>'2011 полн.'!C9</f>
        <v>147869.15500000003</v>
      </c>
      <c r="D29" s="60">
        <f>'2011 полн.'!D9</f>
        <v>13729.795074350013</v>
      </c>
      <c r="E29" s="60">
        <f>'2011 полн.'!U9</f>
        <v>118029.87</v>
      </c>
      <c r="F29" s="60">
        <f>'2011 полн.'!V9</f>
        <v>16065.79</v>
      </c>
      <c r="G29" s="60">
        <f>'2011 полн.'!AF9</f>
        <v>114547.39</v>
      </c>
      <c r="H29" s="60">
        <f>'2011 полн.'!AG9</f>
        <v>144342.97507435002</v>
      </c>
      <c r="I29" s="60">
        <f>'2011 полн.'!AK9</f>
        <v>10104.923999999999</v>
      </c>
      <c r="J29" s="60">
        <f>'2011 полн.'!AL9</f>
        <v>3385.9735047999993</v>
      </c>
      <c r="K29" s="60">
        <f>'2011 полн.'!AM9+'2011 полн.'!AN9+'2011 полн.'!AO9+'2011 полн.'!AP9+'2011 полн.'!AQ9+'2011 полн.'!AR9+'2011 полн.'!AS9+'2011 полн.'!AW9+6764.9</f>
        <v>77700.01629382861</v>
      </c>
      <c r="L29" s="60">
        <f>'2011 полн.'!AT9+'2011 полн.'!AU9+'2011 полн.'!AV9</f>
        <v>11432.06</v>
      </c>
      <c r="M29" s="60">
        <v>0</v>
      </c>
      <c r="N29" s="60">
        <f>SUM(I29:L29)</f>
        <v>102622.9737986286</v>
      </c>
      <c r="O29" s="60">
        <f>H29-N29</f>
        <v>41720.00127572141</v>
      </c>
      <c r="P29" s="60">
        <f>'2011 полн.'!BG9</f>
        <v>-3482.479999999996</v>
      </c>
      <c r="Q29" s="63"/>
      <c r="R29" s="53"/>
    </row>
    <row r="30" spans="1:18" ht="13.5" thickBot="1">
      <c r="A30" s="533" t="s">
        <v>116</v>
      </c>
      <c r="B30" s="534"/>
      <c r="C30" s="531"/>
      <c r="D30" s="535"/>
      <c r="E30" s="536"/>
      <c r="F30" s="532"/>
      <c r="G30" s="537"/>
      <c r="H30" s="532"/>
      <c r="I30" s="537"/>
      <c r="J30" s="538"/>
      <c r="K30" s="538"/>
      <c r="L30" s="539"/>
      <c r="M30" s="540"/>
      <c r="N30" s="275"/>
      <c r="O30" s="541"/>
      <c r="P30" s="541"/>
      <c r="Q30" s="1"/>
      <c r="R30" s="1"/>
    </row>
    <row r="31" spans="1:18" ht="12.75">
      <c r="A31" s="542" t="s">
        <v>43</v>
      </c>
      <c r="B31" s="543">
        <f>'2011 полн.'!B11</f>
        <v>633.7</v>
      </c>
      <c r="C31" s="544">
        <f>'2011 полн.'!C11</f>
        <v>5418.135000000001</v>
      </c>
      <c r="D31" s="545">
        <f>'2011 полн.'!D11</f>
        <v>163.68220000000002</v>
      </c>
      <c r="E31" s="546">
        <f>'2011 полн.'!U11</f>
        <v>5630.620000000001</v>
      </c>
      <c r="F31" s="547">
        <f>'2011 полн.'!V11</f>
        <v>0</v>
      </c>
      <c r="G31" s="548">
        <f>'2011 полн.'!AF11</f>
        <v>3312.32</v>
      </c>
      <c r="H31" s="547">
        <f>'2011 полн.'!AG11</f>
        <v>3476.0022000000004</v>
      </c>
      <c r="I31" s="548">
        <f>'2011 полн.'!AK11</f>
        <v>424.57900000000006</v>
      </c>
      <c r="J31" s="546">
        <f>'2011 полн.'!AL11</f>
        <v>126.74000000000001</v>
      </c>
      <c r="K31" s="546">
        <f>'2011 полн.'!AM11+'2011 полн.'!AN11+'2011 полн.'!AO11+'2011 полн.'!AP11+'2011 полн.'!AQ11+'2011 полн.'!AR11+'2011 полн.'!AS11+'2011 полн.'!AX11+'2011 полн.'!AT11</f>
        <v>4436.867</v>
      </c>
      <c r="L31" s="549">
        <f>'2011 полн.'!AU11+'2011 полн.'!AV11+'2011 полн.'!AW11</f>
        <v>0</v>
      </c>
      <c r="M31" s="549">
        <f>'2011 полн.'!BA11</f>
        <v>0</v>
      </c>
      <c r="N31" s="547">
        <f>SUM(I31:L31)</f>
        <v>4988.186000000001</v>
      </c>
      <c r="O31" s="550">
        <f>H31-N31</f>
        <v>-1512.1838000000002</v>
      </c>
      <c r="P31" s="550">
        <f>'2011 полн.'!BG11</f>
        <v>-2318.3000000000006</v>
      </c>
      <c r="Q31" s="1"/>
      <c r="R31" s="1"/>
    </row>
    <row r="32" spans="1:18" ht="12.75">
      <c r="A32" s="14" t="s">
        <v>44</v>
      </c>
      <c r="B32" s="292">
        <f>'2011 полн.'!B12</f>
        <v>633.7</v>
      </c>
      <c r="C32" s="293">
        <f>'2011 полн.'!C12</f>
        <v>5418.135000000001</v>
      </c>
      <c r="D32" s="294">
        <f>'2011 полн.'!D12</f>
        <v>163.68220000000002</v>
      </c>
      <c r="E32" s="16">
        <f>'2011 полн.'!U12</f>
        <v>5622.0199999999995</v>
      </c>
      <c r="F32" s="18">
        <f>'2011 полн.'!V12</f>
        <v>0</v>
      </c>
      <c r="G32" s="42">
        <f>'2011 полн.'!AF12</f>
        <v>4591.84</v>
      </c>
      <c r="H32" s="18">
        <f>'2011 полн.'!AG12</f>
        <v>4755.5222</v>
      </c>
      <c r="I32" s="42">
        <f>'2011 полн.'!AK12</f>
        <v>424.57900000000006</v>
      </c>
      <c r="J32" s="16">
        <f>'2011 полн.'!AL12</f>
        <v>126.74000000000001</v>
      </c>
      <c r="K32" s="16">
        <f>'2011 полн.'!AM12+'2011 полн.'!AN12+'2011 полн.'!AO12+'2011 полн.'!AP12+'2011 полн.'!AQ12+'2011 полн.'!AR12+'2011 полн.'!AS12+'2011 полн.'!AX12+'2011 полн.'!AT12</f>
        <v>4401.427000000001</v>
      </c>
      <c r="L32" s="17">
        <f>'2011 полн.'!AU12+'2011 полн.'!AV12+'2011 полн.'!AW12</f>
        <v>0</v>
      </c>
      <c r="M32" s="17">
        <f>'2011 полн.'!BA12</f>
        <v>0</v>
      </c>
      <c r="N32" s="18">
        <f aca="true" t="shared" si="2" ref="N32:N42">SUM(I32:L32)</f>
        <v>4952.746000000001</v>
      </c>
      <c r="O32" s="43">
        <f aca="true" t="shared" si="3" ref="O32:O42">H32-N32</f>
        <v>-197.22380000000067</v>
      </c>
      <c r="P32" s="43">
        <f>'2011 полн.'!BG12</f>
        <v>-1030.1799999999994</v>
      </c>
      <c r="Q32" s="1"/>
      <c r="R32" s="1"/>
    </row>
    <row r="33" spans="1:18" ht="12.75">
      <c r="A33" s="14" t="s">
        <v>45</v>
      </c>
      <c r="B33" s="292">
        <f>'2011 полн.'!B13</f>
        <v>633.7</v>
      </c>
      <c r="C33" s="293">
        <f>'2011 полн.'!C13</f>
        <v>5418.135000000001</v>
      </c>
      <c r="D33" s="294">
        <f>'2011 полн.'!D13</f>
        <v>163.68220000000002</v>
      </c>
      <c r="E33" s="16">
        <f>'2011 полн.'!U13</f>
        <v>5622.0199999999995</v>
      </c>
      <c r="F33" s="18">
        <f>'2011 полн.'!V13</f>
        <v>0</v>
      </c>
      <c r="G33" s="42">
        <f>'2011 полн.'!AF13</f>
        <v>5191.67</v>
      </c>
      <c r="H33" s="18">
        <f>'2011 полн.'!AG13</f>
        <v>5355.3522</v>
      </c>
      <c r="I33" s="42">
        <f>'2011 полн.'!AK13</f>
        <v>424.57900000000006</v>
      </c>
      <c r="J33" s="16">
        <f>'2011 полн.'!AL13</f>
        <v>126.74000000000001</v>
      </c>
      <c r="K33" s="16">
        <f>'2011 полн.'!AM13+'2011 полн.'!AN13+'2011 полн.'!AO13+'2011 полн.'!AP13+'2011 полн.'!AQ13+'2011 полн.'!AR13+'2011 полн.'!AS13+'2011 полн.'!AX13+'2011 полн.'!AT13</f>
        <v>4378.867</v>
      </c>
      <c r="L33" s="17">
        <f>'2011 полн.'!AU13+'2011 полн.'!AV13+'2011 полн.'!AW13</f>
        <v>0</v>
      </c>
      <c r="M33" s="17">
        <f>'2011 полн.'!BA13</f>
        <v>0</v>
      </c>
      <c r="N33" s="18">
        <f t="shared" si="2"/>
        <v>4930.186000000001</v>
      </c>
      <c r="O33" s="43">
        <f t="shared" si="3"/>
        <v>425.16619999999966</v>
      </c>
      <c r="P33" s="43">
        <f>'2011 полн.'!BG13</f>
        <v>-430.34999999999945</v>
      </c>
      <c r="Q33" s="1"/>
      <c r="R33" s="1"/>
    </row>
    <row r="34" spans="1:18" ht="12.75">
      <c r="A34" s="14" t="s">
        <v>46</v>
      </c>
      <c r="B34" s="292">
        <f>'2011 полн.'!B14</f>
        <v>633.7</v>
      </c>
      <c r="C34" s="293">
        <f>'2011 полн.'!C14</f>
        <v>5418.135000000001</v>
      </c>
      <c r="D34" s="294">
        <f>'2011 полн.'!D14</f>
        <v>163.68220000000002</v>
      </c>
      <c r="E34" s="16">
        <f>'2011 полн.'!U14</f>
        <v>5622.0199999999995</v>
      </c>
      <c r="F34" s="18">
        <f>'2011 полн.'!V14</f>
        <v>0</v>
      </c>
      <c r="G34" s="42">
        <f>'2011 полн.'!AF14</f>
        <v>4184</v>
      </c>
      <c r="H34" s="18">
        <f>'2011 полн.'!AG14</f>
        <v>4347.6822</v>
      </c>
      <c r="I34" s="42">
        <f>'2011 полн.'!AK14</f>
        <v>424.57900000000006</v>
      </c>
      <c r="J34" s="16">
        <f>'2011 полн.'!AL14</f>
        <v>126.74000000000001</v>
      </c>
      <c r="K34" s="16">
        <f>'2011 полн.'!AM14+'2011 полн.'!AN14+'2011 полн.'!AO14+'2011 полн.'!AP14+'2011 полн.'!AQ14+'2011 полн.'!AR14+'2011 полн.'!AS14+'2011 полн.'!AX14+'2011 полн.'!AT14</f>
        <v>3705.112</v>
      </c>
      <c r="L34" s="17">
        <f>'2011 полн.'!AU14+'2011 полн.'!AV14+'2011 полн.'!AW14</f>
        <v>151</v>
      </c>
      <c r="M34" s="17">
        <f>'2011 полн.'!BA14</f>
        <v>0</v>
      </c>
      <c r="N34" s="18">
        <f t="shared" si="2"/>
        <v>4407.4310000000005</v>
      </c>
      <c r="O34" s="43">
        <f t="shared" si="3"/>
        <v>-59.7488000000003</v>
      </c>
      <c r="P34" s="43">
        <f>'2011 полн.'!BG14</f>
        <v>-1438.0199999999995</v>
      </c>
      <c r="Q34" s="1"/>
      <c r="R34" s="1"/>
    </row>
    <row r="35" spans="1:18" ht="12.75">
      <c r="A35" s="14" t="s">
        <v>47</v>
      </c>
      <c r="B35" s="292">
        <f>'2011 полн.'!B15</f>
        <v>633.7</v>
      </c>
      <c r="C35" s="293">
        <f>'2011 полн.'!C15</f>
        <v>5418.135000000001</v>
      </c>
      <c r="D35" s="294">
        <f>'2011 полн.'!D15</f>
        <v>163.68220000000002</v>
      </c>
      <c r="E35" s="16">
        <f>'2011 полн.'!U15</f>
        <v>5622.0199999999995</v>
      </c>
      <c r="F35" s="18">
        <f>'2011 полн.'!V15</f>
        <v>0</v>
      </c>
      <c r="G35" s="42">
        <f>'2011 полн.'!AF15</f>
        <v>5174.900000000001</v>
      </c>
      <c r="H35" s="18">
        <f>'2011 полн.'!AG15</f>
        <v>5338.582200000001</v>
      </c>
      <c r="I35" s="42">
        <f>'2011 полн.'!AK15</f>
        <v>424.57900000000006</v>
      </c>
      <c r="J35" s="16">
        <f>'2011 полн.'!AL15</f>
        <v>126.74000000000001</v>
      </c>
      <c r="K35" s="16">
        <f>'2011 полн.'!AM15+'2011 полн.'!AN15+'2011 полн.'!AO15+'2011 полн.'!AP15+'2011 полн.'!AQ15+'2011 полн.'!AR15+'2011 полн.'!AS15+'2011 полн.'!AX15+'2011 полн.'!AT15</f>
        <v>3650.112</v>
      </c>
      <c r="L35" s="17">
        <f>'2011 полн.'!AU15+'2011 полн.'!AV15+'2011 полн.'!AW15</f>
        <v>0</v>
      </c>
      <c r="M35" s="17">
        <f>'2011 полн.'!BA15</f>
        <v>0</v>
      </c>
      <c r="N35" s="18">
        <f t="shared" si="2"/>
        <v>4201.4310000000005</v>
      </c>
      <c r="O35" s="43">
        <f t="shared" si="3"/>
        <v>1137.1512000000002</v>
      </c>
      <c r="P35" s="43">
        <f>'2011 полн.'!BG15</f>
        <v>-447.119999999999</v>
      </c>
      <c r="Q35" s="1"/>
      <c r="R35" s="1"/>
    </row>
    <row r="36" spans="1:18" ht="12.75">
      <c r="A36" s="14" t="s">
        <v>48</v>
      </c>
      <c r="B36" s="292">
        <f>'2011 полн.'!B16</f>
        <v>633.7</v>
      </c>
      <c r="C36" s="293">
        <f>'2011 полн.'!C16</f>
        <v>5418.135000000001</v>
      </c>
      <c r="D36" s="294">
        <f>'2011 полн.'!D16</f>
        <v>163.68220000000002</v>
      </c>
      <c r="E36" s="16">
        <f>'2011 полн.'!U16</f>
        <v>5625.16</v>
      </c>
      <c r="F36" s="18">
        <f>'2011 полн.'!V16</f>
        <v>0</v>
      </c>
      <c r="G36" s="42">
        <f>'2011 полн.'!AF16</f>
        <v>4607.03</v>
      </c>
      <c r="H36" s="18">
        <f>'2011 полн.'!AG16</f>
        <v>4770.7122</v>
      </c>
      <c r="I36" s="42">
        <f>'2011 полн.'!AK16</f>
        <v>424.57900000000006</v>
      </c>
      <c r="J36" s="16">
        <f>'2011 полн.'!AL16</f>
        <v>126.74000000000001</v>
      </c>
      <c r="K36" s="16">
        <f>'2011 полн.'!AM16+'2011 полн.'!AN16+'2011 полн.'!AO16+'2011 полн.'!AP16+'2011 полн.'!AQ16+'2011 полн.'!AR16+'2011 полн.'!AS16+'2011 полн.'!AX16+'2011 полн.'!AT16</f>
        <v>3650.112</v>
      </c>
      <c r="L36" s="17">
        <f>'2011 полн.'!AU16+'2011 полн.'!AV16+'2011 полн.'!AW16</f>
        <v>0</v>
      </c>
      <c r="M36" s="17">
        <f>'2011 полн.'!BA16</f>
        <v>0</v>
      </c>
      <c r="N36" s="18">
        <f t="shared" si="2"/>
        <v>4201.4310000000005</v>
      </c>
      <c r="O36" s="43">
        <f t="shared" si="3"/>
        <v>569.2811999999994</v>
      </c>
      <c r="P36" s="43">
        <f>'2011 полн.'!BG16</f>
        <v>-1018.1300000000001</v>
      </c>
      <c r="Q36" s="1"/>
      <c r="R36" s="1"/>
    </row>
    <row r="37" spans="1:18" ht="12.75">
      <c r="A37" s="14" t="s">
        <v>49</v>
      </c>
      <c r="B37" s="292">
        <f>'2011 полн.'!B17</f>
        <v>633.7</v>
      </c>
      <c r="C37" s="293">
        <f>'2011 полн.'!C17</f>
        <v>5418.135000000001</v>
      </c>
      <c r="D37" s="294">
        <f>'2011 полн.'!D17</f>
        <v>163.68220000000002</v>
      </c>
      <c r="E37" s="16">
        <f>'2011 полн.'!U17</f>
        <v>5630.57</v>
      </c>
      <c r="F37" s="18">
        <f>'2011 полн.'!V17</f>
        <v>0</v>
      </c>
      <c r="G37" s="42">
        <f>'2011 полн.'!AF17</f>
        <v>5940.74</v>
      </c>
      <c r="H37" s="18">
        <f>'2011 полн.'!AG17</f>
        <v>6104.4222</v>
      </c>
      <c r="I37" s="42">
        <f>'2011 полн.'!AK17</f>
        <v>424.57900000000006</v>
      </c>
      <c r="J37" s="16">
        <f>'2011 полн.'!AL17</f>
        <v>126.74000000000001</v>
      </c>
      <c r="K37" s="16">
        <f>'2011 полн.'!AM17+'2011 полн.'!AN17+'2011 полн.'!AO17+'2011 полн.'!AP17+'2011 полн.'!AQ17+'2011 полн.'!AR17+'2011 полн.'!AS17+'2011 полн.'!AX17+'2011 полн.'!AT17</f>
        <v>3770.972</v>
      </c>
      <c r="L37" s="17">
        <f>'2011 полн.'!AU17+'2011 полн.'!AV17+'2011 полн.'!AW17</f>
        <v>0</v>
      </c>
      <c r="M37" s="17">
        <v>0</v>
      </c>
      <c r="N37" s="18">
        <f t="shared" si="2"/>
        <v>4322.291</v>
      </c>
      <c r="O37" s="43">
        <f t="shared" si="3"/>
        <v>1782.1311999999998</v>
      </c>
      <c r="P37" s="43">
        <f>'2011 полн.'!BG17</f>
        <v>310.1700000000001</v>
      </c>
      <c r="Q37" s="1"/>
      <c r="R37" s="1"/>
    </row>
    <row r="38" spans="1:18" ht="12.75">
      <c r="A38" s="14" t="s">
        <v>50</v>
      </c>
      <c r="B38" s="292">
        <f>'2011 полн.'!B18</f>
        <v>633.7</v>
      </c>
      <c r="C38" s="293">
        <f>'2011 полн.'!C18</f>
        <v>5418.135000000001</v>
      </c>
      <c r="D38" s="294">
        <f>'2011 полн.'!D18</f>
        <v>163.68220000000002</v>
      </c>
      <c r="E38" s="16">
        <f>'2011 полн.'!U18</f>
        <v>5635.570000000001</v>
      </c>
      <c r="F38" s="18">
        <f>'2011 полн.'!V18</f>
        <v>0</v>
      </c>
      <c r="G38" s="42">
        <f>'2011 полн.'!AF18</f>
        <v>4700.71</v>
      </c>
      <c r="H38" s="18">
        <f>'2011 полн.'!AG18</f>
        <v>4864.3922</v>
      </c>
      <c r="I38" s="42">
        <f>'2011 полн.'!AK18</f>
        <v>424.57900000000006</v>
      </c>
      <c r="J38" s="16">
        <f>'2011 полн.'!AL18</f>
        <v>126.74000000000001</v>
      </c>
      <c r="K38" s="16">
        <f>'2011 полн.'!AM18+'2011 полн.'!AN18+'2011 полн.'!AO18+'2011 полн.'!AP18+'2011 полн.'!AQ18+'2011 полн.'!AR18+'2011 полн.'!AS18+'2011 полн.'!AX18+'2011 полн.'!AT18</f>
        <v>3650.112</v>
      </c>
      <c r="L38" s="17">
        <f>'2011 полн.'!AU18+'2011 полн.'!AV18+'2011 полн.'!AW18</f>
        <v>421</v>
      </c>
      <c r="M38" s="17">
        <f>'2011 полн.'!BA18</f>
        <v>0</v>
      </c>
      <c r="N38" s="18">
        <f t="shared" si="2"/>
        <v>4622.4310000000005</v>
      </c>
      <c r="O38" s="43">
        <f t="shared" si="3"/>
        <v>241.96119999999974</v>
      </c>
      <c r="P38" s="43">
        <f>'2011 полн.'!BG18</f>
        <v>-934.8600000000006</v>
      </c>
      <c r="Q38" s="1"/>
      <c r="R38" s="1"/>
    </row>
    <row r="39" spans="1:18" ht="12.75">
      <c r="A39" s="14" t="s">
        <v>51</v>
      </c>
      <c r="B39" s="292">
        <f>'2011 полн.'!B19</f>
        <v>633.7</v>
      </c>
      <c r="C39" s="293">
        <f>'2011 полн.'!C19</f>
        <v>5418.135000000001</v>
      </c>
      <c r="D39" s="294">
        <f>'2011 полн.'!D19</f>
        <v>163.68220000000002</v>
      </c>
      <c r="E39" s="16">
        <f>'2011 полн.'!U19</f>
        <v>5599.2300000000005</v>
      </c>
      <c r="F39" s="18">
        <f>'2011 полн.'!V19</f>
        <v>0</v>
      </c>
      <c r="G39" s="42">
        <f>'2011 полн.'!AF19</f>
        <v>6199.39</v>
      </c>
      <c r="H39" s="18">
        <f>'2011 полн.'!AG19</f>
        <v>6363.0722000000005</v>
      </c>
      <c r="I39" s="42">
        <f>'2011 полн.'!AK19</f>
        <v>424.57900000000006</v>
      </c>
      <c r="J39" s="16">
        <f>'2011 полн.'!AL19</f>
        <v>126.74000000000001</v>
      </c>
      <c r="K39" s="16">
        <f>'2011 полн.'!AM19+'2011 полн.'!AN19+'2011 полн.'!AO19+'2011 полн.'!AP19+'2011 полн.'!AQ19+'2011 полн.'!AR19+'2011 полн.'!AS19+'2011 полн.'!AX19+'2011 полн.'!AT19</f>
        <v>3863.452</v>
      </c>
      <c r="L39" s="17">
        <f>'2011 полн.'!AU19+'2011 полн.'!AV19+'2011 полн.'!AW19</f>
        <v>0</v>
      </c>
      <c r="M39" s="17">
        <f>'2011 полн.'!BA19</f>
        <v>0</v>
      </c>
      <c r="N39" s="18">
        <f t="shared" si="2"/>
        <v>4414.771000000001</v>
      </c>
      <c r="O39" s="43">
        <f t="shared" si="3"/>
        <v>1948.3011999999999</v>
      </c>
      <c r="P39" s="43">
        <f>'2011 полн.'!BG19</f>
        <v>600.1599999999999</v>
      </c>
      <c r="Q39" s="1"/>
      <c r="R39" s="1"/>
    </row>
    <row r="40" spans="1:18" ht="12.75">
      <c r="A40" s="14" t="s">
        <v>39</v>
      </c>
      <c r="B40" s="292">
        <f>'2011 полн.'!B20</f>
        <v>633.7</v>
      </c>
      <c r="C40" s="293">
        <f>'2011 полн.'!C20</f>
        <v>5418.135000000001</v>
      </c>
      <c r="D40" s="294">
        <f>'2011 полн.'!D20</f>
        <v>163.68220000000002</v>
      </c>
      <c r="E40" s="16">
        <f>'2011 полн.'!U20</f>
        <v>5599.2300000000005</v>
      </c>
      <c r="F40" s="18">
        <f>'2011 полн.'!V20</f>
        <v>0</v>
      </c>
      <c r="G40" s="42">
        <f>'2011 полн.'!AF20</f>
        <v>3512.52</v>
      </c>
      <c r="H40" s="18">
        <f>'2011 полн.'!AG20</f>
        <v>3676.2022</v>
      </c>
      <c r="I40" s="42">
        <f>'2011 полн.'!AK20</f>
        <v>424.57900000000006</v>
      </c>
      <c r="J40" s="16">
        <f>'2011 полн.'!AL20</f>
        <v>126.74000000000001</v>
      </c>
      <c r="K40" s="16">
        <f>'2011 полн.'!AM20+'2011 полн.'!AN20+'2011 полн.'!AO20+'2011 полн.'!AP20+'2011 полн.'!AQ20+'2011 полн.'!AR20+'2011 полн.'!AS20+'2011 полн.'!AX20+'2011 полн.'!AT20</f>
        <v>4378.867</v>
      </c>
      <c r="L40" s="17">
        <f>'2011 полн.'!AU20+'2011 полн.'!AV20+'2011 полн.'!AW20</f>
        <v>0</v>
      </c>
      <c r="M40" s="17">
        <f>'2011 полн.'!BA20</f>
        <v>0</v>
      </c>
      <c r="N40" s="18">
        <f t="shared" si="2"/>
        <v>4930.186000000001</v>
      </c>
      <c r="O40" s="43">
        <f t="shared" si="3"/>
        <v>-1253.9838000000004</v>
      </c>
      <c r="P40" s="43">
        <f>'2011 полн.'!BG20</f>
        <v>-2086.7100000000005</v>
      </c>
      <c r="Q40" s="1"/>
      <c r="R40" s="1"/>
    </row>
    <row r="41" spans="1:18" ht="12.75">
      <c r="A41" s="14" t="s">
        <v>40</v>
      </c>
      <c r="B41" s="292">
        <f>'2011 полн.'!B21</f>
        <v>633.7</v>
      </c>
      <c r="C41" s="293">
        <f>'2011 полн.'!C21</f>
        <v>5418.135000000001</v>
      </c>
      <c r="D41" s="294">
        <f>'2011 полн.'!D21</f>
        <v>163.68220000000002</v>
      </c>
      <c r="E41" s="16">
        <f>'2011 полн.'!U21</f>
        <v>5599.2300000000005</v>
      </c>
      <c r="F41" s="18">
        <f>'2011 полн.'!V21</f>
        <v>0</v>
      </c>
      <c r="G41" s="42">
        <f>'2011 полн.'!AF21</f>
        <v>5610.11</v>
      </c>
      <c r="H41" s="18">
        <f>'2011 полн.'!AG21</f>
        <v>5773.7922</v>
      </c>
      <c r="I41" s="42">
        <f>'2011 полн.'!AK21</f>
        <v>424.57900000000006</v>
      </c>
      <c r="J41" s="16">
        <f>'2011 полн.'!AL21</f>
        <v>126.74000000000001</v>
      </c>
      <c r="K41" s="16">
        <f>'2011 полн.'!AM21+'2011 полн.'!AN21+'2011 полн.'!AO21+'2011 полн.'!AP21+'2011 полн.'!AQ21+'2011 полн.'!AR21+'2011 полн.'!AS21+'2011 полн.'!AX21+'2011 полн.'!AT21</f>
        <v>4378.867</v>
      </c>
      <c r="L41" s="17">
        <f>'2011 полн.'!AU21+'2011 полн.'!AV21+'2011 полн.'!AW21</f>
        <v>0</v>
      </c>
      <c r="M41" s="17">
        <f>'2011 полн.'!BA21</f>
        <v>0</v>
      </c>
      <c r="N41" s="18">
        <f t="shared" si="2"/>
        <v>4930.186000000001</v>
      </c>
      <c r="O41" s="43">
        <f t="shared" si="3"/>
        <v>843.6061999999993</v>
      </c>
      <c r="P41" s="43">
        <f>'2011 полн.'!BG21</f>
        <v>10.8799999999992</v>
      </c>
      <c r="Q41" s="1"/>
      <c r="R41" s="1"/>
    </row>
    <row r="42" spans="1:18" ht="13.5" thickBot="1">
      <c r="A42" s="169" t="s">
        <v>41</v>
      </c>
      <c r="B42" s="551">
        <f>'2011 полн.'!B22</f>
        <v>633.7</v>
      </c>
      <c r="C42" s="552">
        <f>'2011 полн.'!C22</f>
        <v>5418.135000000001</v>
      </c>
      <c r="D42" s="553">
        <f>'2011 полн.'!D22</f>
        <v>163.68220000000002</v>
      </c>
      <c r="E42" s="97">
        <f>'2011 полн.'!U22</f>
        <v>5599.2300000000005</v>
      </c>
      <c r="F42" s="98">
        <f>'2011 полн.'!V22</f>
        <v>0</v>
      </c>
      <c r="G42" s="554">
        <f>'2011 полн.'!AF22</f>
        <v>5848.1900000000005</v>
      </c>
      <c r="H42" s="98">
        <f>'2011 полн.'!AG22</f>
        <v>6011.872200000001</v>
      </c>
      <c r="I42" s="554">
        <f>'2011 полн.'!AK22</f>
        <v>424.57900000000006</v>
      </c>
      <c r="J42" s="97">
        <f>'2011 полн.'!AL22</f>
        <v>126.74000000000001</v>
      </c>
      <c r="K42" s="97">
        <f>'2011 полн.'!AM22+'2011 полн.'!AN22+'2011 полн.'!AO22+'2011 полн.'!AP22+'2011 полн.'!AQ22+'2011 полн.'!AR22+'2011 полн.'!AS22+'2011 полн.'!AX22+'2011 полн.'!AT22</f>
        <v>4378.867</v>
      </c>
      <c r="L42" s="555">
        <f>'2011 полн.'!AU22+'2011 полн.'!AV22+'2011 полн.'!AW22</f>
        <v>54</v>
      </c>
      <c r="M42" s="555">
        <f>'2011 полн.'!BA22</f>
        <v>0</v>
      </c>
      <c r="N42" s="98">
        <f t="shared" si="2"/>
        <v>4984.186000000001</v>
      </c>
      <c r="O42" s="556">
        <f t="shared" si="3"/>
        <v>1027.6862</v>
      </c>
      <c r="P42" s="556">
        <f>'2011 полн.'!BG22</f>
        <v>248.96000000000004</v>
      </c>
      <c r="Q42" s="1"/>
      <c r="R42" s="1"/>
    </row>
    <row r="43" spans="1:18" s="24" customFormat="1" ht="13.5" thickBot="1">
      <c r="A43" s="45" t="s">
        <v>3</v>
      </c>
      <c r="B43" s="46"/>
      <c r="C43" s="51">
        <f aca="true" t="shared" si="4" ref="C43:O43">SUM(C31:C42)</f>
        <v>65017.62000000002</v>
      </c>
      <c r="D43" s="51">
        <f t="shared" si="4"/>
        <v>1964.1863999999998</v>
      </c>
      <c r="E43" s="51">
        <f t="shared" si="4"/>
        <v>67406.92000000001</v>
      </c>
      <c r="F43" s="51">
        <f t="shared" si="4"/>
        <v>0</v>
      </c>
      <c r="G43" s="51">
        <f t="shared" si="4"/>
        <v>58873.42</v>
      </c>
      <c r="H43" s="51">
        <f t="shared" si="4"/>
        <v>60837.606400000004</v>
      </c>
      <c r="I43" s="51">
        <f t="shared" si="4"/>
        <v>5094.948</v>
      </c>
      <c r="J43" s="51">
        <f t="shared" si="4"/>
        <v>1520.88</v>
      </c>
      <c r="K43" s="51">
        <f t="shared" si="4"/>
        <v>48643.634</v>
      </c>
      <c r="L43" s="51">
        <f t="shared" si="4"/>
        <v>626</v>
      </c>
      <c r="M43" s="51">
        <v>0</v>
      </c>
      <c r="N43" s="51">
        <f t="shared" si="4"/>
        <v>55885.46200000001</v>
      </c>
      <c r="O43" s="51">
        <f t="shared" si="4"/>
        <v>4952.144399999996</v>
      </c>
      <c r="P43" s="51">
        <f>SUM(P31:P42)</f>
        <v>-8533.5</v>
      </c>
      <c r="Q43" s="53"/>
      <c r="R43" s="53"/>
    </row>
    <row r="44" spans="1:18" ht="13.5" thickBot="1">
      <c r="A44" s="457" t="s">
        <v>66</v>
      </c>
      <c r="B44" s="458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296"/>
      <c r="Q44" s="1"/>
      <c r="R44" s="1"/>
    </row>
    <row r="45" spans="1:18" s="24" customFormat="1" ht="13.5" thickBot="1">
      <c r="A45" s="58" t="s">
        <v>52</v>
      </c>
      <c r="B45" s="59"/>
      <c r="C45" s="60">
        <f aca="true" t="shared" si="5" ref="C45:P45">C43+C29</f>
        <v>212886.77500000005</v>
      </c>
      <c r="D45" s="60">
        <f t="shared" si="5"/>
        <v>15693.981474350014</v>
      </c>
      <c r="E45" s="60">
        <f t="shared" si="5"/>
        <v>185436.79</v>
      </c>
      <c r="F45" s="60">
        <f t="shared" si="5"/>
        <v>16065.79</v>
      </c>
      <c r="G45" s="60">
        <f t="shared" si="5"/>
        <v>173420.81</v>
      </c>
      <c r="H45" s="60">
        <f t="shared" si="5"/>
        <v>205180.58147435</v>
      </c>
      <c r="I45" s="60">
        <f t="shared" si="5"/>
        <v>15199.872</v>
      </c>
      <c r="J45" s="60">
        <f t="shared" si="5"/>
        <v>4906.853504799999</v>
      </c>
      <c r="K45" s="60">
        <f t="shared" si="5"/>
        <v>126343.6502938286</v>
      </c>
      <c r="L45" s="60">
        <f t="shared" si="5"/>
        <v>12058.06</v>
      </c>
      <c r="M45" s="60">
        <f t="shared" si="5"/>
        <v>0</v>
      </c>
      <c r="N45" s="60">
        <f t="shared" si="5"/>
        <v>158508.4357986286</v>
      </c>
      <c r="O45" s="60">
        <f t="shared" si="5"/>
        <v>46672.14567572141</v>
      </c>
      <c r="P45" s="60">
        <f t="shared" si="5"/>
        <v>-12015.979999999996</v>
      </c>
      <c r="Q45" s="63"/>
      <c r="R45" s="53"/>
    </row>
    <row r="47" spans="1:18" ht="12.75">
      <c r="A47" s="24" t="s">
        <v>67</v>
      </c>
      <c r="D47" s="254" t="s">
        <v>124</v>
      </c>
      <c r="Q47" s="1"/>
      <c r="R47" s="1"/>
    </row>
    <row r="48" spans="1:18" ht="12.75">
      <c r="A48" s="26" t="s">
        <v>68</v>
      </c>
      <c r="B48" s="26" t="s">
        <v>69</v>
      </c>
      <c r="C48" s="472" t="s">
        <v>70</v>
      </c>
      <c r="D48" s="472"/>
      <c r="Q48" s="1"/>
      <c r="R48" s="1"/>
    </row>
    <row r="49" spans="1:18" ht="12.75">
      <c r="A49" s="298">
        <v>44777.19</v>
      </c>
      <c r="B49" s="297">
        <v>24006.31</v>
      </c>
      <c r="C49" s="470">
        <f>A49-B49</f>
        <v>20770.88</v>
      </c>
      <c r="D49" s="471"/>
      <c r="Q49" s="1"/>
      <c r="R49" s="1"/>
    </row>
    <row r="50" spans="1:18" ht="12.75">
      <c r="A50" s="64"/>
      <c r="Q50" s="1"/>
      <c r="R50" s="1"/>
    </row>
    <row r="51" spans="1:18" ht="12.75">
      <c r="A51" s="2" t="s">
        <v>71</v>
      </c>
      <c r="G51" s="2" t="s">
        <v>72</v>
      </c>
      <c r="Q51" s="1"/>
      <c r="R51" s="1"/>
    </row>
    <row r="52" ht="12.75">
      <c r="A52" s="1"/>
    </row>
    <row r="53" ht="12.75">
      <c r="A53" s="2" t="s">
        <v>120</v>
      </c>
    </row>
    <row r="54" ht="12.75">
      <c r="A54" s="2" t="s">
        <v>73</v>
      </c>
    </row>
  </sheetData>
  <sheetProtection/>
  <mergeCells count="27">
    <mergeCell ref="C49:D49"/>
    <mergeCell ref="N11:N12"/>
    <mergeCell ref="A28:O28"/>
    <mergeCell ref="C48:D48"/>
    <mergeCell ref="O9:O12"/>
    <mergeCell ref="A9:A12"/>
    <mergeCell ref="B9:B12"/>
    <mergeCell ref="C9:C12"/>
    <mergeCell ref="D9:D12"/>
    <mergeCell ref="I9:N10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44:O44"/>
    <mergeCell ref="B1:H1"/>
    <mergeCell ref="B2:H2"/>
    <mergeCell ref="A8:D8"/>
    <mergeCell ref="E8:F8"/>
    <mergeCell ref="A5:O5"/>
    <mergeCell ref="A6:G6"/>
  </mergeCells>
  <printOptions/>
  <pageMargins left="0.25" right="0.17" top="0.25" bottom="0.22" header="0.3" footer="0.3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2011-08-02T07:53:50Z</cp:lastPrinted>
  <dcterms:created xsi:type="dcterms:W3CDTF">2010-04-03T04:08:20Z</dcterms:created>
  <dcterms:modified xsi:type="dcterms:W3CDTF">2012-03-23T11:07:36Z</dcterms:modified>
  <cp:category/>
  <cp:version/>
  <cp:contentType/>
  <cp:contentStatus/>
</cp:coreProperties>
</file>