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3"/>
  </bookViews>
  <sheets>
    <sheet name="Лист1" sheetId="1" r:id="rId1"/>
    <sheet name="Лист2" sheetId="2" r:id="rId2"/>
    <sheet name="2011 полн" sheetId="3" r:id="rId3"/>
    <sheet name="2011 печа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<sst xmlns="http://schemas.openxmlformats.org/spreadsheetml/2006/main" count="304" uniqueCount="131">
  <si>
    <t>Площадь</t>
  </si>
  <si>
    <t>Тариф 100 %</t>
  </si>
  <si>
    <t>Дотация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</si>
  <si>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</si>
  <si>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</si>
  <si>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</si>
  <si>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</si>
  <si>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</si>
  <si>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</si>
  <si>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</si>
  <si>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</si>
  <si>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</si>
  <si>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</si>
  <si>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</si>
  <si>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</si>
  <si>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</si>
  <si>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</si>
  <si>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</si>
  <si>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</si>
  <si>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</si>
  <si>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</si>
  <si>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</si>
  <si>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</si>
  <si>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</si>
  <si>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</si>
  <si>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</si>
  <si>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</si>
  <si>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</si>
  <si>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</si>
  <si>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</si>
  <si>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</si>
  <si>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</si>
  <si>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</si>
  <si>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</si>
  <si>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</si>
  <si>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</si>
  <si>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</si>
  <si>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</si>
  <si>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</si>
  <si>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</si>
  <si>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</si>
  <si>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</si>
  <si>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</si>
  <si>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</si>
  <si>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</si>
  <si>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</si>
  <si>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</si>
  <si>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</si>
  <si>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</si>
  <si>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</si>
  <si>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</si>
  <si>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</si>
  <si>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</si>
  <si>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</si>
  <si>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</si>
  <si>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</si>
  <si>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</si>
  <si>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</si>
  <si>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</si>
  <si>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</si>
  <si>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</si>
  <si>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</si>
  <si>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</si>
  <si>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</si>
  <si>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</si>
  <si>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</si>
  <si>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</si>
  <si>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</si>
  <si>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</si>
  <si>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</si>
  <si>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</si>
  <si>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</si>
  <si>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</si>
  <si>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</si>
  <si>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 xml:space="preserve">Собрано квартплаты </t>
  </si>
  <si>
    <t>содержанию и тек.рем.</t>
  </si>
  <si>
    <t>Лицевой счет по адресу г. Таштагол, ул. Ленина, д. 19</t>
  </si>
  <si>
    <t>Выписка по лицевому счету по адресу г. Таштагол, ул. Ленина, д. 19</t>
  </si>
  <si>
    <t>Адрес</t>
  </si>
  <si>
    <t>Собрано всего по жил.услугам</t>
  </si>
  <si>
    <t>Доходы по нежил.помещениям</t>
  </si>
  <si>
    <t>для счетов-фактур</t>
  </si>
  <si>
    <t>Расходы по нежил. помещениям</t>
  </si>
  <si>
    <t>Расходы по жил. помещениям</t>
  </si>
  <si>
    <t>Доп. работы по содержанию ТУК</t>
  </si>
  <si>
    <t>Тек. ремонт УЖХ</t>
  </si>
  <si>
    <t>Тек. ремонт ТУК</t>
  </si>
  <si>
    <t>Эл.энергия МОП</t>
  </si>
  <si>
    <t>норма часов горения</t>
  </si>
  <si>
    <t>кол-во кВт</t>
  </si>
  <si>
    <t>стоимость итого</t>
  </si>
  <si>
    <t>2010 год</t>
  </si>
  <si>
    <t>*по состоянию на 01.01.2011 г.</t>
  </si>
  <si>
    <t>на 01.01.2011 г.</t>
  </si>
  <si>
    <t>на начало отчетного периода</t>
  </si>
  <si>
    <t>Исп. Ю.С. Дмитриева</t>
  </si>
  <si>
    <t>Лицевой счет по адресу г. Таштагол, ул. 18 партсъезд, д.19</t>
  </si>
  <si>
    <t>№ п/п</t>
  </si>
  <si>
    <t>Начислено населению</t>
  </si>
  <si>
    <t>Содержание жилья</t>
  </si>
  <si>
    <t xml:space="preserve">     Лифты</t>
  </si>
  <si>
    <t>Арендная плата</t>
  </si>
  <si>
    <t>сод.жилья</t>
  </si>
  <si>
    <t>Арендная  плата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</si>
  <si>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</si>
  <si>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</si>
  <si>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</si>
  <si>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</si>
  <si>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</si>
  <si>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</si>
  <si>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</si>
  <si>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тепло-водо снабжения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</si>
  <si>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</si>
  <si>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</si>
  <si>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</si>
  <si>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</si>
  <si>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</si>
  <si>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Электроэнергия</t>
  </si>
  <si>
    <t>2011 год</t>
  </si>
  <si>
    <t>на 01.01.2012 г.</t>
  </si>
  <si>
    <t>Тариф по содержанию и тек.ремонту 100 % (8,55 руб.*площадь)</t>
  </si>
  <si>
    <t>Дотация и целевое финансирование</t>
  </si>
  <si>
    <t>Собрано квартплаты от населения</t>
  </si>
  <si>
    <t>Услуга начисления</t>
  </si>
  <si>
    <t>Собрано по содержанию и тек.рем.</t>
  </si>
  <si>
    <t>Социальный найм</t>
  </si>
  <si>
    <t>*по состоянию на 01.01.2012 г.</t>
  </si>
  <si>
    <t>Исп. В.В. Колмогорова</t>
  </si>
  <si>
    <t>Выписка по лицевому счету по адресу г. Таштагол ул. Ленина, д.19</t>
  </si>
  <si>
    <t>Доходы по нежилым помещениям</t>
  </si>
  <si>
    <t>Расходы по нежилым помещениям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</si>
</sst>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49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horizontal="left"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 wrapText="1"/>
    </xf>
    <xf numFmtId="0" fontId="1" fillId="0" borderId="22" xfId="0" applyFont="1" applyFill="1" applyBorder="1" applyAlignment="1">
      <alignment horizontal="center" textRotation="90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4" fontId="2" fillId="0" borderId="29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2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4" fontId="2" fillId="0" borderId="32" xfId="33" applyNumberFormat="1" applyFont="1" applyFill="1" applyBorder="1" applyAlignment="1">
      <alignment horizontal="right" vertical="center" wrapText="1"/>
      <protection/>
    </xf>
    <xf numFmtId="0" fontId="1" fillId="0" borderId="24" xfId="0" applyFont="1" applyFill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33" xfId="0" applyNumberFormat="1" applyFont="1" applyFill="1" applyBorder="1" applyAlignment="1">
      <alignment horizontal="right" wrapText="1"/>
    </xf>
    <xf numFmtId="4" fontId="1" fillId="0" borderId="34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35" xfId="0" applyNumberFormat="1" applyFont="1" applyFill="1" applyBorder="1" applyAlignment="1">
      <alignment horizontal="right" wrapText="1"/>
    </xf>
    <xf numFmtId="4" fontId="1" fillId="0" borderId="36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4" fontId="1" fillId="0" borderId="25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33" xfId="0" applyNumberFormat="1" applyFont="1" applyFill="1" applyBorder="1" applyAlignment="1">
      <alignment horizontal="right"/>
    </xf>
    <xf numFmtId="4" fontId="1" fillId="0" borderId="36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21" xfId="0" applyNumberFormat="1" applyFont="1" applyFill="1" applyBorder="1" applyAlignment="1">
      <alignment wrapText="1"/>
    </xf>
    <xf numFmtId="4" fontId="2" fillId="0" borderId="31" xfId="33" applyNumberFormat="1" applyFont="1" applyFill="1" applyBorder="1" applyAlignment="1">
      <alignment horizontal="right" vertical="center" wrapText="1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28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wrapText="1"/>
    </xf>
    <xf numFmtId="4" fontId="7" fillId="0" borderId="33" xfId="33" applyNumberFormat="1" applyFont="1" applyFill="1" applyBorder="1" applyAlignment="1">
      <alignment horizontal="right" vertical="center" wrapText="1"/>
      <protection/>
    </xf>
    <xf numFmtId="4" fontId="7" fillId="0" borderId="26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Border="1" applyAlignment="1">
      <alignment horizontal="right"/>
    </xf>
    <xf numFmtId="4" fontId="1" fillId="33" borderId="11" xfId="0" applyNumberFormat="1" applyFont="1" applyFill="1" applyBorder="1" applyAlignment="1">
      <alignment horizontal="right" wrapText="1"/>
    </xf>
    <xf numFmtId="4" fontId="2" fillId="0" borderId="11" xfId="53" applyNumberFormat="1" applyFont="1" applyFill="1" applyBorder="1" applyAlignment="1">
      <alignment horizontal="right"/>
      <protection/>
    </xf>
    <xf numFmtId="4" fontId="7" fillId="0" borderId="35" xfId="33" applyNumberFormat="1" applyFont="1" applyFill="1" applyBorder="1" applyAlignment="1">
      <alignment horizontal="right" vertical="center" wrapText="1"/>
      <protection/>
    </xf>
    <xf numFmtId="4" fontId="7" fillId="0" borderId="34" xfId="33" applyNumberFormat="1" applyFont="1" applyFill="1" applyBorder="1" applyAlignment="1">
      <alignment horizontal="right" vertical="center" wrapText="1"/>
      <protection/>
    </xf>
    <xf numFmtId="0" fontId="0" fillId="0" borderId="11" xfId="0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4" fontId="0" fillId="36" borderId="29" xfId="0" applyNumberFormat="1" applyFont="1" applyFill="1" applyBorder="1" applyAlignment="1">
      <alignment horizontal="right"/>
    </xf>
    <xf numFmtId="4" fontId="0" fillId="36" borderId="11" xfId="0" applyNumberFormat="1" applyFont="1" applyFill="1" applyBorder="1" applyAlignment="1">
      <alignment horizontal="right"/>
    </xf>
    <xf numFmtId="4" fontId="1" fillId="35" borderId="25" xfId="0" applyNumberFormat="1" applyFont="1" applyFill="1" applyBorder="1" applyAlignment="1">
      <alignment wrapText="1"/>
    </xf>
    <xf numFmtId="4" fontId="1" fillId="33" borderId="25" xfId="0" applyNumberFormat="1" applyFont="1" applyFill="1" applyBorder="1" applyAlignment="1">
      <alignment wrapText="1"/>
    </xf>
    <xf numFmtId="4" fontId="1" fillId="0" borderId="26" xfId="0" applyNumberFormat="1" applyFont="1" applyFill="1" applyBorder="1" applyAlignment="1">
      <alignment wrapText="1"/>
    </xf>
    <xf numFmtId="4" fontId="2" fillId="0" borderId="13" xfId="33" applyNumberFormat="1" applyFont="1" applyFill="1" applyBorder="1" applyAlignment="1">
      <alignment vertical="center" wrapText="1"/>
      <protection/>
    </xf>
    <xf numFmtId="0" fontId="0" fillId="33" borderId="13" xfId="0" applyFont="1" applyFill="1" applyBorder="1" applyAlignment="1">
      <alignment horizontal="right" vertical="center" wrapText="1"/>
    </xf>
    <xf numFmtId="0" fontId="0" fillId="33" borderId="27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>
      <alignment/>
    </xf>
    <xf numFmtId="0" fontId="0" fillId="34" borderId="13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/>
    </xf>
    <xf numFmtId="4" fontId="0" fillId="35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6" xfId="0" applyFont="1" applyFill="1" applyBorder="1" applyAlignment="1">
      <alignment/>
    </xf>
    <xf numFmtId="4" fontId="0" fillId="0" borderId="17" xfId="0" applyNumberFormat="1" applyBorder="1" applyAlignment="1">
      <alignment horizontal="right"/>
    </xf>
    <xf numFmtId="4" fontId="0" fillId="36" borderId="4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4" fontId="0" fillId="36" borderId="10" xfId="0" applyNumberFormat="1" applyFont="1" applyFill="1" applyBorder="1" applyAlignment="1">
      <alignment horizontal="right"/>
    </xf>
    <xf numFmtId="4" fontId="0" fillId="0" borderId="42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4" fontId="0" fillId="0" borderId="44" xfId="0" applyNumberFormat="1" applyFont="1" applyFill="1" applyBorder="1" applyAlignment="1">
      <alignment horizontal="right"/>
    </xf>
    <xf numFmtId="4" fontId="1" fillId="35" borderId="11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35" borderId="11" xfId="0" applyNumberFormat="1" applyFont="1" applyFill="1" applyBorder="1" applyAlignment="1">
      <alignment horizontal="right" wrapText="1"/>
    </xf>
    <xf numFmtId="0" fontId="1" fillId="0" borderId="40" xfId="0" applyFont="1" applyFill="1" applyBorder="1" applyAlignment="1">
      <alignment/>
    </xf>
    <xf numFmtId="4" fontId="1" fillId="35" borderId="17" xfId="0" applyNumberFormat="1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4" fontId="2" fillId="0" borderId="20" xfId="33" applyNumberFormat="1" applyFont="1" applyFill="1" applyBorder="1" applyAlignment="1">
      <alignment horizontal="center" vertical="center" wrapText="1"/>
      <protection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0" fillId="37" borderId="15" xfId="0" applyNumberFormat="1" applyFont="1" applyFill="1" applyBorder="1" applyAlignment="1">
      <alignment horizontal="center"/>
    </xf>
    <xf numFmtId="4" fontId="0" fillId="34" borderId="29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38" borderId="29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0" fillId="33" borderId="21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 horizontal="center"/>
    </xf>
    <xf numFmtId="4" fontId="2" fillId="0" borderId="27" xfId="33" applyNumberFormat="1" applyFont="1" applyFill="1" applyBorder="1" applyAlignment="1">
      <alignment horizontal="center" vertical="center" wrapText="1"/>
      <protection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4" fontId="0" fillId="34" borderId="30" xfId="0" applyNumberFormat="1" applyFont="1" applyFill="1" applyBorder="1" applyAlignment="1">
      <alignment/>
    </xf>
    <xf numFmtId="4" fontId="0" fillId="34" borderId="2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38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/>
    </xf>
    <xf numFmtId="4" fontId="11" fillId="0" borderId="29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 horizontal="center"/>
    </xf>
    <xf numFmtId="4" fontId="0" fillId="37" borderId="11" xfId="0" applyNumberFormat="1" applyFont="1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0" fillId="37" borderId="29" xfId="0" applyFont="1" applyFill="1" applyBorder="1" applyAlignment="1">
      <alignment horizontal="center"/>
    </xf>
    <xf numFmtId="4" fontId="0" fillId="37" borderId="29" xfId="0" applyNumberFormat="1" applyFont="1" applyFill="1" applyBorder="1" applyAlignment="1">
      <alignment horizontal="center"/>
    </xf>
    <xf numFmtId="4" fontId="12" fillId="36" borderId="15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textRotation="90" wrapText="1"/>
    </xf>
    <xf numFmtId="0" fontId="1" fillId="0" borderId="4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49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34" borderId="48" xfId="0" applyNumberFormat="1" applyFont="1" applyFill="1" applyBorder="1" applyAlignment="1">
      <alignment horizontal="center" vertical="center" wrapText="1"/>
    </xf>
    <xf numFmtId="4" fontId="1" fillId="34" borderId="38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textRotation="90"/>
    </xf>
    <xf numFmtId="0" fontId="1" fillId="0" borderId="38" xfId="0" applyFont="1" applyFill="1" applyBorder="1" applyAlignment="1">
      <alignment horizontal="center" textRotation="90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38" xfId="0" applyNumberFormat="1" applyFont="1" applyFill="1" applyBorder="1" applyAlignment="1">
      <alignment horizontal="center" vertical="center" wrapText="1"/>
    </xf>
    <xf numFmtId="2" fontId="1" fillId="34" borderId="39" xfId="0" applyNumberFormat="1" applyFont="1" applyFill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34" borderId="51" xfId="0" applyNumberFormat="1" applyFont="1" applyFill="1" applyBorder="1" applyAlignment="1">
      <alignment horizontal="center" vertical="center" wrapText="1"/>
    </xf>
    <xf numFmtId="0" fontId="1" fillId="37" borderId="48" xfId="0" applyFont="1" applyFill="1" applyBorder="1" applyAlignment="1">
      <alignment horizontal="center" textRotation="90"/>
    </xf>
    <xf numFmtId="0" fontId="1" fillId="37" borderId="38" xfId="0" applyFont="1" applyFill="1" applyBorder="1" applyAlignment="1">
      <alignment horizontal="center" textRotation="90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textRotation="90"/>
    </xf>
    <xf numFmtId="0" fontId="1" fillId="0" borderId="40" xfId="0" applyFont="1" applyFill="1" applyBorder="1" applyAlignment="1">
      <alignment horizontal="center" textRotation="90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2" fontId="8" fillId="34" borderId="48" xfId="0" applyNumberFormat="1" applyFont="1" applyFill="1" applyBorder="1" applyAlignment="1">
      <alignment horizontal="center" vertical="center" wrapText="1"/>
    </xf>
    <xf numFmtId="2" fontId="8" fillId="34" borderId="38" xfId="0" applyNumberFormat="1" applyFont="1" applyFill="1" applyBorder="1" applyAlignment="1">
      <alignment horizontal="center" vertical="center" wrapText="1"/>
    </xf>
    <xf numFmtId="2" fontId="8" fillId="34" borderId="39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0" fontId="1" fillId="36" borderId="48" xfId="0" applyFont="1" applyFill="1" applyBorder="1" applyAlignment="1">
      <alignment horizontal="center" vertical="center" wrapText="1"/>
    </xf>
    <xf numFmtId="0" fontId="1" fillId="36" borderId="38" xfId="0" applyFont="1" applyFill="1" applyBorder="1" applyAlignment="1">
      <alignment horizontal="center" vertical="center" wrapText="1"/>
    </xf>
    <xf numFmtId="0" fontId="1" fillId="36" borderId="39" xfId="0" applyFont="1" applyFill="1" applyBorder="1" applyAlignment="1">
      <alignment horizontal="center" vertical="center" wrapText="1"/>
    </xf>
    <xf numFmtId="2" fontId="1" fillId="38" borderId="48" xfId="0" applyNumberFormat="1" applyFont="1" applyFill="1" applyBorder="1" applyAlignment="1">
      <alignment horizontal="center" vertical="center" wrapText="1"/>
    </xf>
    <xf numFmtId="2" fontId="1" fillId="38" borderId="38" xfId="0" applyNumberFormat="1" applyFont="1" applyFill="1" applyBorder="1" applyAlignment="1">
      <alignment horizontal="center" vertical="center" wrapText="1"/>
    </xf>
    <xf numFmtId="2" fontId="1" fillId="38" borderId="39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56" xfId="0" applyNumberFormat="1" applyFont="1" applyFill="1" applyBorder="1" applyAlignment="1">
      <alignment horizontal="center" vertical="center" wrapText="1"/>
    </xf>
    <xf numFmtId="2" fontId="9" fillId="0" borderId="48" xfId="0" applyNumberFormat="1" applyFont="1" applyFill="1" applyBorder="1" applyAlignment="1">
      <alignment horizontal="center" vertical="center" wrapText="1"/>
    </xf>
    <xf numFmtId="2" fontId="9" fillId="0" borderId="39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35" borderId="21" xfId="0" applyNumberFormat="1" applyFont="1" applyFill="1" applyBorder="1" applyAlignment="1">
      <alignment horizontal="center" vertical="center" wrapText="1"/>
    </xf>
    <xf numFmtId="2" fontId="1" fillId="35" borderId="57" xfId="0" applyNumberFormat="1" applyFont="1" applyFill="1" applyBorder="1" applyAlignment="1">
      <alignment horizontal="center" vertical="center" wrapText="1"/>
    </xf>
    <xf numFmtId="2" fontId="1" fillId="35" borderId="48" xfId="0" applyNumberFormat="1" applyFont="1" applyFill="1" applyBorder="1" applyAlignment="1">
      <alignment horizontal="center" vertical="center" wrapText="1"/>
    </xf>
    <xf numFmtId="2" fontId="1" fillId="35" borderId="39" xfId="0" applyNumberFormat="1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2" fontId="1" fillId="33" borderId="5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5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60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4" fontId="1" fillId="0" borderId="32" xfId="0" applyNumberFormat="1" applyFont="1" applyFill="1" applyBorder="1" applyAlignment="1">
      <alignment horizontal="center" vertical="center" textRotation="90" wrapText="1"/>
    </xf>
    <xf numFmtId="4" fontId="1" fillId="0" borderId="58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31" xfId="0" applyNumberFormat="1" applyFont="1" applyFill="1" applyBorder="1" applyAlignment="1">
      <alignment horizontal="center" vertical="center" textRotation="90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/>
    </xf>
    <xf numFmtId="43" fontId="0" fillId="0" borderId="29" xfId="60" applyFont="1" applyFill="1" applyBorder="1" applyAlignment="1">
      <alignment horizontal="center"/>
    </xf>
    <xf numFmtId="43" fontId="0" fillId="0" borderId="20" xfId="6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textRotation="90" wrapText="1"/>
    </xf>
    <xf numFmtId="2" fontId="1" fillId="0" borderId="32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31" xfId="0" applyNumberFormat="1" applyFont="1" applyFill="1" applyBorder="1" applyAlignment="1">
      <alignment horizontal="center" vertical="center" textRotation="90" wrapText="1"/>
    </xf>
    <xf numFmtId="0" fontId="1" fillId="0" borderId="46" xfId="0" applyFont="1" applyFill="1" applyBorder="1" applyAlignment="1">
      <alignment horizontal="center" wrapText="1"/>
    </xf>
    <xf numFmtId="0" fontId="1" fillId="0" borderId="6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2" fontId="8" fillId="0" borderId="48" xfId="0" applyNumberFormat="1" applyFont="1" applyFill="1" applyBorder="1" applyAlignment="1">
      <alignment horizontal="center" vertical="center" wrapText="1"/>
    </xf>
    <xf numFmtId="0" fontId="1" fillId="36" borderId="47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1" fillId="0" borderId="51" xfId="0" applyFont="1" applyFill="1" applyBorder="1" applyAlignment="1">
      <alignment horizontal="center"/>
    </xf>
    <xf numFmtId="2" fontId="8" fillId="0" borderId="38" xfId="0" applyNumberFormat="1" applyFont="1" applyFill="1" applyBorder="1" applyAlignment="1">
      <alignment horizontal="center" vertical="center" wrapText="1"/>
    </xf>
    <xf numFmtId="0" fontId="1" fillId="36" borderId="45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63" xfId="0" applyNumberFormat="1" applyFont="1" applyFill="1" applyBorder="1" applyAlignment="1">
      <alignment horizontal="center" vertical="center" wrapText="1"/>
    </xf>
    <xf numFmtId="2" fontId="1" fillId="34" borderId="67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67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48" xfId="0" applyNumberFormat="1" applyFont="1" applyFill="1" applyBorder="1" applyAlignment="1">
      <alignment horizontal="center" vertical="center" wrapText="1"/>
    </xf>
    <xf numFmtId="2" fontId="1" fillId="33" borderId="48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textRotation="90"/>
    </xf>
    <xf numFmtId="0" fontId="1" fillId="37" borderId="39" xfId="0" applyFont="1" applyFill="1" applyBorder="1" applyAlignment="1">
      <alignment horizontal="center" textRotation="90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69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34" borderId="50" xfId="0" applyNumberFormat="1" applyFont="1" applyFill="1" applyBorder="1" applyAlignment="1">
      <alignment horizontal="center" vertical="center" wrapText="1"/>
    </xf>
    <xf numFmtId="2" fontId="1" fillId="34" borderId="54" xfId="0" applyNumberFormat="1" applyFont="1" applyFill="1" applyBorder="1" applyAlignment="1">
      <alignment horizontal="center" vertical="center" wrapText="1"/>
    </xf>
    <xf numFmtId="2" fontId="1" fillId="34" borderId="55" xfId="0" applyNumberFormat="1" applyFont="1" applyFill="1" applyBorder="1" applyAlignment="1">
      <alignment horizontal="center" vertical="center" wrapText="1"/>
    </xf>
    <xf numFmtId="2" fontId="8" fillId="0" borderId="39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0" fontId="1" fillId="36" borderId="5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71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0" fillId="0" borderId="29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72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37" borderId="14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2" fillId="34" borderId="29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38" borderId="29" xfId="0" applyNumberFormat="1" applyFont="1" applyFill="1" applyBorder="1" applyAlignment="1">
      <alignment/>
    </xf>
    <xf numFmtId="4" fontId="0" fillId="38" borderId="32" xfId="0" applyNumberFormat="1" applyFont="1" applyFill="1" applyBorder="1" applyAlignment="1">
      <alignment/>
    </xf>
    <xf numFmtId="4" fontId="1" fillId="0" borderId="73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45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4" fontId="0" fillId="0" borderId="65" xfId="0" applyNumberFormat="1" applyFont="1" applyFill="1" applyBorder="1" applyAlignment="1">
      <alignment horizontal="center"/>
    </xf>
    <xf numFmtId="4" fontId="0" fillId="38" borderId="0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37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/>
    </xf>
    <xf numFmtId="2" fontId="0" fillId="34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4" fontId="0" fillId="0" borderId="43" xfId="0" applyNumberFormat="1" applyFont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center" wrapText="1"/>
    </xf>
    <xf numFmtId="4" fontId="0" fillId="0" borderId="74" xfId="0" applyNumberFormat="1" applyFont="1" applyFill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0" fillId="37" borderId="30" xfId="0" applyNumberFormat="1" applyFont="1" applyFill="1" applyBorder="1" applyAlignment="1">
      <alignment horizontal="center"/>
    </xf>
    <xf numFmtId="4" fontId="0" fillId="0" borderId="75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43" fontId="0" fillId="38" borderId="11" xfId="0" applyNumberFormat="1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2" fillId="37" borderId="30" xfId="0" applyFont="1" applyFill="1" applyBorder="1" applyAlignment="1">
      <alignment horizontal="center"/>
    </xf>
    <xf numFmtId="0" fontId="2" fillId="0" borderId="20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28" xfId="0" applyFont="1" applyBorder="1" applyAlignment="1">
      <alignment wrapText="1"/>
    </xf>
    <xf numFmtId="4" fontId="0" fillId="0" borderId="13" xfId="0" applyNumberFormat="1" applyFont="1" applyBorder="1" applyAlignment="1">
      <alignment horizontal="center"/>
    </xf>
    <xf numFmtId="0" fontId="31" fillId="0" borderId="11" xfId="0" applyFont="1" applyBorder="1" applyAlignment="1">
      <alignment wrapText="1"/>
    </xf>
    <xf numFmtId="0" fontId="31" fillId="0" borderId="29" xfId="0" applyFont="1" applyBorder="1" applyAlignment="1">
      <alignment wrapText="1"/>
    </xf>
    <xf numFmtId="0" fontId="30" fillId="0" borderId="20" xfId="0" applyFont="1" applyBorder="1" applyAlignment="1">
      <alignment wrapText="1"/>
    </xf>
    <xf numFmtId="0" fontId="2" fillId="0" borderId="65" xfId="0" applyFont="1" applyBorder="1" applyAlignment="1">
      <alignment wrapText="1"/>
    </xf>
    <xf numFmtId="0" fontId="31" fillId="0" borderId="20" xfId="0" applyFont="1" applyBorder="1" applyAlignment="1">
      <alignment wrapText="1"/>
    </xf>
    <xf numFmtId="0" fontId="30" fillId="0" borderId="28" xfId="0" applyFont="1" applyBorder="1" applyAlignment="1">
      <alignment wrapText="1"/>
    </xf>
    <xf numFmtId="2" fontId="11" fillId="34" borderId="13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31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2" fontId="11" fillId="37" borderId="13" xfId="0" applyNumberFormat="1" applyFont="1" applyFill="1" applyBorder="1" applyAlignment="1">
      <alignment horizontal="center"/>
    </xf>
    <xf numFmtId="4" fontId="11" fillId="37" borderId="11" xfId="0" applyNumberFormat="1" applyFont="1" applyFill="1" applyBorder="1" applyAlignment="1">
      <alignment horizontal="center"/>
    </xf>
    <xf numFmtId="43" fontId="11" fillId="38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3" fontId="11" fillId="38" borderId="11" xfId="0" applyNumberFormat="1" applyFont="1" applyFill="1" applyBorder="1" applyAlignment="1">
      <alignment horizontal="center"/>
    </xf>
    <xf numFmtId="43" fontId="0" fillId="38" borderId="11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/>
    </xf>
    <xf numFmtId="2" fontId="11" fillId="37" borderId="0" xfId="0" applyNumberFormat="1" applyFont="1" applyFill="1" applyBorder="1" applyAlignment="1">
      <alignment horizontal="center"/>
    </xf>
    <xf numFmtId="4" fontId="11" fillId="37" borderId="0" xfId="0" applyNumberFormat="1" applyFont="1" applyFill="1" applyBorder="1" applyAlignment="1">
      <alignment horizontal="center"/>
    </xf>
    <xf numFmtId="43" fontId="11" fillId="38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43" fontId="11" fillId="38" borderId="0" xfId="0" applyNumberFormat="1" applyFont="1" applyFill="1" applyBorder="1" applyAlignment="1">
      <alignment horizontal="center"/>
    </xf>
    <xf numFmtId="43" fontId="0" fillId="38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0" fontId="31" fillId="0" borderId="10" xfId="0" applyFont="1" applyBorder="1" applyAlignment="1">
      <alignment wrapText="1"/>
    </xf>
    <xf numFmtId="0" fontId="31" fillId="0" borderId="15" xfId="0" applyFont="1" applyBorder="1" applyAlignment="1">
      <alignment wrapText="1"/>
    </xf>
    <xf numFmtId="4" fontId="0" fillId="34" borderId="75" xfId="0" applyNumberFormat="1" applyFill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7" borderId="15" xfId="0" applyFont="1" applyFill="1" applyBorder="1" applyAlignment="1">
      <alignment wrapText="1"/>
    </xf>
    <xf numFmtId="4" fontId="11" fillId="0" borderId="13" xfId="0" applyNumberFormat="1" applyFont="1" applyFill="1" applyBorder="1" applyAlignment="1">
      <alignment/>
    </xf>
    <xf numFmtId="4" fontId="2" fillId="34" borderId="75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wrapText="1"/>
    </xf>
    <xf numFmtId="4" fontId="2" fillId="0" borderId="29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1" fillId="0" borderId="58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right"/>
    </xf>
    <xf numFmtId="0" fontId="1" fillId="0" borderId="57" xfId="0" applyFont="1" applyFill="1" applyBorder="1" applyAlignment="1">
      <alignment/>
    </xf>
    <xf numFmtId="0" fontId="1" fillId="0" borderId="69" xfId="0" applyFont="1" applyFill="1" applyBorder="1" applyAlignment="1">
      <alignment/>
    </xf>
    <xf numFmtId="0" fontId="1" fillId="0" borderId="76" xfId="0" applyFont="1" applyFill="1" applyBorder="1" applyAlignment="1">
      <alignment/>
    </xf>
    <xf numFmtId="4" fontId="1" fillId="0" borderId="57" xfId="0" applyNumberFormat="1" applyFont="1" applyFill="1" applyBorder="1" applyAlignment="1">
      <alignment/>
    </xf>
    <xf numFmtId="4" fontId="1" fillId="0" borderId="69" xfId="0" applyNumberFormat="1" applyFont="1" applyFill="1" applyBorder="1" applyAlignment="1">
      <alignment/>
    </xf>
    <xf numFmtId="4" fontId="1" fillId="0" borderId="76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1" fillId="0" borderId="47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vertical="center" wrapText="1"/>
    </xf>
    <xf numFmtId="0" fontId="1" fillId="0" borderId="43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2" fontId="1" fillId="0" borderId="65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76" xfId="0" applyNumberFormat="1" applyFont="1" applyFill="1" applyBorder="1" applyAlignment="1">
      <alignment horizontal="center" vertical="center" textRotation="90" wrapText="1"/>
    </xf>
    <xf numFmtId="0" fontId="1" fillId="0" borderId="39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right" wrapText="1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5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2" fontId="0" fillId="0" borderId="15" xfId="0" applyNumberFormat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" fontId="2" fillId="39" borderId="13" xfId="33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/>
    </xf>
    <xf numFmtId="43" fontId="0" fillId="38" borderId="11" xfId="0" applyNumberFormat="1" applyFont="1" applyFill="1" applyBorder="1" applyAlignment="1">
      <alignment horizontal="center"/>
    </xf>
    <xf numFmtId="0" fontId="2" fillId="37" borderId="30" xfId="0" applyFont="1" applyFill="1" applyBorder="1" applyAlignment="1">
      <alignment/>
    </xf>
    <xf numFmtId="0" fontId="2" fillId="0" borderId="43" xfId="0" applyFont="1" applyBorder="1" applyAlignment="1">
      <alignment wrapText="1"/>
    </xf>
    <xf numFmtId="0" fontId="2" fillId="37" borderId="15" xfId="0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0" fillId="0" borderId="65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center" vertical="center" textRotation="90" wrapText="1"/>
    </xf>
    <xf numFmtId="0" fontId="1" fillId="0" borderId="39" xfId="0" applyFont="1" applyFill="1" applyBorder="1" applyAlignment="1">
      <alignment horizontal="center" vertical="center" textRotation="90" wrapText="1"/>
    </xf>
    <xf numFmtId="2" fontId="1" fillId="0" borderId="57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23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1;&#1077;&#1085;&#1080;&#1085;&#1072;,%2020%20&#1089;%202011%20&#1075;.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Xp\Desktop\Victoria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18%20&#1087;&#1072;&#1088;&#1090;&#1089;&#1098;&#1077;&#1079;&#1076;,%2019%20&#1089;%202010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5;&#1086;&#1089;&#1087;&#1077;&#1083;&#1086;&#1074;&#1072;,%2013%20&#1089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1;&#1077;&#1085;&#1080;&#1085;&#1072;,%2030%20&#1089;%202011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1;&#1077;&#1085;&#1080;&#1085;&#1072;,%2040%20&#1089;%202011%20&#1075;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1;&#1077;&#1085;&#1080;&#1085;&#1072;,%2052%20&#1089;%202011%20&#1075;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83;&#1080;&#1094;.&#1089;&#1095;&#1077;&#1090;&#1072;%20&#1085;&#1077;&#1078;&#1080;&#1083;.%20&#1087;&#1086;&#1084;.%20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2011%20&#1075;&#1086;&#1076;\&#1083;&#1080;&#1094;.&#1089;&#1095;&#1077;&#1090;&#1072;%20&#1085;&#1077;&#1078;&#1080;&#1083;.%20&#1087;&#1086;&#1084;.%2020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2%20&#1075;&#1086;&#1076;\2011%20&#1075;&#1086;&#1076;\&#1057;&#1087;&#1088;&#1072;&#1074;&#1082;&#1080;%20&#1082;%20&#1083;&#1080;&#1094;&#1077;&#1074;&#1099;&#1084;%20&#1089;&#1095;&#1077;&#1090;&#1072;&#1084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</sheetNames>
    <sheetDataSet>
      <sheetData sheetId="3">
        <row r="149">
          <cell r="J149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O44">
            <v>0</v>
          </cell>
          <cell r="P44">
            <v>0</v>
          </cell>
          <cell r="Q44">
            <v>0</v>
          </cell>
          <cell r="R44">
            <v>0</v>
          </cell>
          <cell r="AY4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2">
          <cell r="Z42">
            <v>0</v>
          </cell>
          <cell r="AA42">
            <v>0</v>
          </cell>
          <cell r="AD42">
            <v>0</v>
          </cell>
          <cell r="AE4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F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AQ44">
            <v>0</v>
          </cell>
          <cell r="AR4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2011 полн"/>
      <sheetName val="2011 печать"/>
    </sheetNames>
    <sheetDataSet>
      <sheetData sheetId="0">
        <row r="44">
          <cell r="BC4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5">
        <row r="7">
          <cell r="Q7">
            <v>61.875</v>
          </cell>
        </row>
        <row r="36">
          <cell r="Q36">
            <v>67.8375</v>
          </cell>
        </row>
        <row r="54">
          <cell r="Q54">
            <v>79.19999999999999</v>
          </cell>
        </row>
        <row r="98">
          <cell r="Q98">
            <v>15</v>
          </cell>
        </row>
        <row r="99">
          <cell r="Q99">
            <v>0</v>
          </cell>
        </row>
        <row r="106">
          <cell r="Q106">
            <v>62.699999999999996</v>
          </cell>
        </row>
        <row r="125">
          <cell r="Q125">
            <v>32.55</v>
          </cell>
        </row>
      </sheetData>
      <sheetData sheetId="6">
        <row r="8">
          <cell r="J8">
            <v>3038.618</v>
          </cell>
          <cell r="Q8">
            <v>175.575</v>
          </cell>
        </row>
        <row r="155">
          <cell r="J155">
            <v>100</v>
          </cell>
        </row>
      </sheetData>
      <sheetData sheetId="9">
        <row r="155">
          <cell r="J155">
            <v>100</v>
          </cell>
          <cell r="S155">
            <v>25</v>
          </cell>
        </row>
        <row r="214">
          <cell r="J214">
            <v>114</v>
          </cell>
          <cell r="S214">
            <v>28.5</v>
          </cell>
        </row>
      </sheetData>
      <sheetData sheetId="10">
        <row r="155">
          <cell r="J155">
            <v>100</v>
          </cell>
          <cell r="S155">
            <v>25</v>
          </cell>
        </row>
        <row r="214">
          <cell r="J214">
            <v>114</v>
          </cell>
          <cell r="S214">
            <v>28.5</v>
          </cell>
        </row>
      </sheetData>
      <sheetData sheetId="11">
        <row r="163">
          <cell r="J163">
            <v>6637.42</v>
          </cell>
          <cell r="S163">
            <v>1659.355</v>
          </cell>
        </row>
        <row r="179">
          <cell r="J179">
            <v>100</v>
          </cell>
          <cell r="S179">
            <v>25</v>
          </cell>
        </row>
        <row r="238">
          <cell r="J238">
            <v>114</v>
          </cell>
          <cell r="S238">
            <v>28.5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1"/>
      <sheetName val="Т02"/>
      <sheetName val="Т03"/>
      <sheetName val="Т04"/>
      <sheetName val="Т05"/>
      <sheetName val="Т06"/>
      <sheetName val="Т07"/>
      <sheetName val="Т08"/>
      <sheetName val="Т09"/>
      <sheetName val="Т10"/>
      <sheetName val="Т11"/>
      <sheetName val="Т12"/>
      <sheetName val="Лист3"/>
    </sheetNames>
    <sheetDataSet>
      <sheetData sheetId="0">
        <row r="145">
          <cell r="I145">
            <v>100</v>
          </cell>
          <cell r="R145">
            <v>25</v>
          </cell>
        </row>
      </sheetData>
      <sheetData sheetId="1">
        <row r="146">
          <cell r="S146">
            <v>25</v>
          </cell>
        </row>
        <row r="147">
          <cell r="J147">
            <v>100</v>
          </cell>
        </row>
      </sheetData>
      <sheetData sheetId="2">
        <row r="147">
          <cell r="J147">
            <v>100</v>
          </cell>
          <cell r="S147">
            <v>25</v>
          </cell>
        </row>
      </sheetData>
      <sheetData sheetId="3">
        <row r="149">
          <cell r="S149">
            <v>25</v>
          </cell>
        </row>
      </sheetData>
      <sheetData sheetId="4">
        <row r="147">
          <cell r="J147">
            <v>100</v>
          </cell>
          <cell r="S147">
            <v>25</v>
          </cell>
        </row>
        <row r="206">
          <cell r="J206">
            <v>114</v>
          </cell>
          <cell r="S206">
            <v>28.5</v>
          </cell>
        </row>
      </sheetData>
      <sheetData sheetId="5">
        <row r="147">
          <cell r="J147">
            <v>100</v>
          </cell>
          <cell r="S147">
            <v>25</v>
          </cell>
        </row>
        <row r="206">
          <cell r="J206">
            <v>114</v>
          </cell>
          <cell r="S206">
            <v>28.5</v>
          </cell>
        </row>
      </sheetData>
      <sheetData sheetId="6">
        <row r="152">
          <cell r="J152">
            <v>100</v>
          </cell>
          <cell r="S152">
            <v>25</v>
          </cell>
        </row>
        <row r="211">
          <cell r="J211">
            <v>114</v>
          </cell>
          <cell r="S211">
            <v>28.5</v>
          </cell>
        </row>
      </sheetData>
      <sheetData sheetId="7">
        <row r="155">
          <cell r="J155">
            <v>100</v>
          </cell>
          <cell r="S155">
            <v>25</v>
          </cell>
        </row>
        <row r="214">
          <cell r="J214">
            <v>114</v>
          </cell>
          <cell r="S214">
            <v>28.5</v>
          </cell>
        </row>
      </sheetData>
      <sheetData sheetId="8">
        <row r="155">
          <cell r="J155">
            <v>100</v>
          </cell>
        </row>
        <row r="214">
          <cell r="J214">
            <v>114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март 2011"/>
      <sheetName val="апрель 2011"/>
      <sheetName val="май 2011"/>
      <sheetName val="июнь 2011"/>
      <sheetName val="июль 2011 "/>
      <sheetName val="август"/>
      <sheetName val="сентябрь "/>
      <sheetName val="октябрь"/>
      <sheetName val="ноябрь"/>
      <sheetName val="декабрь"/>
      <sheetName val="Собств.нужды"/>
      <sheetName val="ноябрь (с рсу)"/>
      <sheetName val="декабрь (с рсу)"/>
    </sheetNames>
    <sheetDataSet>
      <sheetData sheetId="2">
        <row r="160">
          <cell r="F160">
            <v>234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zoomScalePageLayoutView="0" workbookViewId="0" topLeftCell="A1">
      <pane xSplit="1" ySplit="1" topLeftCell="AQ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8" sqref="A8:IV43"/>
    </sheetView>
  </sheetViews>
  <sheetFormatPr defaultColWidth="9.00390625" defaultRowHeight="12.75"/>
  <cols>
    <col min="1" max="1" width="8.75390625" style="2" bestFit="1" customWidth="1"/>
    <col min="2" max="2" width="9.375" style="2" bestFit="1" customWidth="1"/>
    <col min="3" max="3" width="11.625" style="2" customWidth="1"/>
    <col min="4" max="4" width="10.375" style="2" customWidth="1"/>
    <col min="5" max="5" width="8.875" style="2" customWidth="1"/>
    <col min="6" max="6" width="9.00390625" style="2" customWidth="1"/>
    <col min="7" max="7" width="11.125" style="2" customWidth="1"/>
    <col min="8" max="8" width="9.125" style="2" customWidth="1"/>
    <col min="9" max="9" width="9.875" style="2" customWidth="1"/>
    <col min="10" max="10" width="9.125" style="2" customWidth="1"/>
    <col min="11" max="11" width="10.00390625" style="2" customWidth="1"/>
    <col min="12" max="12" width="9.125" style="2" bestFit="1" customWidth="1"/>
    <col min="13" max="13" width="9.75390625" style="2" customWidth="1"/>
    <col min="14" max="14" width="9.375" style="2" customWidth="1"/>
    <col min="15" max="15" width="7.625" style="2" customWidth="1"/>
    <col min="16" max="17" width="7.25390625" style="2" customWidth="1"/>
    <col min="18" max="18" width="7.00390625" style="2" customWidth="1"/>
    <col min="19" max="19" width="10.125" style="2" bestFit="1" customWidth="1"/>
    <col min="20" max="20" width="10.125" style="2" customWidth="1"/>
    <col min="21" max="21" width="9.125" style="2" customWidth="1"/>
    <col min="22" max="22" width="11.00390625" style="2" customWidth="1"/>
    <col min="23" max="23" width="10.00390625" style="2" customWidth="1"/>
    <col min="24" max="24" width="10.125" style="2" customWidth="1"/>
    <col min="25" max="27" width="9.125" style="2" customWidth="1"/>
    <col min="28" max="28" width="10.125" style="2" bestFit="1" customWidth="1"/>
    <col min="29" max="29" width="11.375" style="2" customWidth="1"/>
    <col min="30" max="31" width="9.25390625" style="2" bestFit="1" customWidth="1"/>
    <col min="32" max="32" width="10.25390625" style="2" customWidth="1"/>
    <col min="33" max="34" width="9.25390625" style="2" bestFit="1" customWidth="1"/>
    <col min="35" max="35" width="10.75390625" style="2" customWidth="1"/>
    <col min="36" max="36" width="9.25390625" style="2" bestFit="1" customWidth="1"/>
    <col min="37" max="37" width="10.375" style="2" customWidth="1"/>
    <col min="38" max="38" width="10.125" style="2" bestFit="1" customWidth="1"/>
    <col min="39" max="39" width="11.375" style="2" customWidth="1"/>
    <col min="40" max="41" width="9.25390625" style="2" bestFit="1" customWidth="1"/>
    <col min="42" max="42" width="10.125" style="2" bestFit="1" customWidth="1"/>
    <col min="43" max="43" width="9.25390625" style="2" bestFit="1" customWidth="1"/>
    <col min="44" max="44" width="10.625" style="2" customWidth="1"/>
    <col min="45" max="45" width="10.875" style="2" customWidth="1"/>
    <col min="46" max="47" width="10.125" style="2" bestFit="1" customWidth="1"/>
    <col min="48" max="48" width="10.375" style="2" customWidth="1"/>
    <col min="49" max="49" width="10.75390625" style="2" customWidth="1"/>
    <col min="50" max="50" width="14.00390625" style="2" customWidth="1"/>
    <col min="51" max="53" width="9.125" style="2" customWidth="1"/>
    <col min="54" max="54" width="10.125" style="2" customWidth="1"/>
    <col min="55" max="55" width="9.125" style="2" customWidth="1"/>
    <col min="56" max="57" width="10.625" style="2" customWidth="1"/>
    <col min="58" max="58" width="12.375" style="2" customWidth="1"/>
    <col min="59" max="16384" width="9.125" style="2" customWidth="1"/>
  </cols>
  <sheetData>
    <row r="1" spans="1:18" ht="21.75" customHeight="1">
      <c r="A1" s="185" t="s">
        <v>76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13.5" customHeight="1" thickBot="1">
      <c r="A3" s="186" t="s">
        <v>78</v>
      </c>
      <c r="B3" s="188" t="s">
        <v>0</v>
      </c>
      <c r="C3" s="190" t="s">
        <v>1</v>
      </c>
      <c r="D3" s="192" t="s">
        <v>2</v>
      </c>
      <c r="E3" s="186" t="s">
        <v>11</v>
      </c>
      <c r="F3" s="196"/>
      <c r="G3" s="186" t="s">
        <v>12</v>
      </c>
      <c r="H3" s="199"/>
      <c r="I3" s="186" t="s">
        <v>13</v>
      </c>
      <c r="J3" s="199"/>
      <c r="K3" s="186" t="s">
        <v>14</v>
      </c>
      <c r="L3" s="199"/>
      <c r="M3" s="204" t="s">
        <v>15</v>
      </c>
      <c r="N3" s="199"/>
      <c r="O3" s="186" t="s">
        <v>16</v>
      </c>
      <c r="P3" s="199"/>
      <c r="Q3" s="186" t="s">
        <v>17</v>
      </c>
      <c r="R3" s="199"/>
      <c r="S3" s="186" t="s">
        <v>3</v>
      </c>
      <c r="T3" s="204"/>
      <c r="U3" s="206" t="s">
        <v>4</v>
      </c>
      <c r="V3" s="207"/>
      <c r="W3" s="207"/>
      <c r="X3" s="207"/>
      <c r="Y3" s="207"/>
      <c r="Z3" s="207"/>
      <c r="AA3" s="207"/>
      <c r="AB3" s="207"/>
      <c r="AC3" s="210" t="s">
        <v>79</v>
      </c>
      <c r="AD3" s="213" t="s">
        <v>6</v>
      </c>
      <c r="AE3" s="213" t="s">
        <v>7</v>
      </c>
      <c r="AF3" s="228" t="s">
        <v>80</v>
      </c>
      <c r="AG3" s="245" t="s">
        <v>8</v>
      </c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7"/>
      <c r="BC3" s="240" t="s">
        <v>81</v>
      </c>
      <c r="BD3" s="242"/>
      <c r="BE3" s="233" t="s">
        <v>9</v>
      </c>
      <c r="BF3" s="233" t="s">
        <v>10</v>
      </c>
    </row>
    <row r="4" spans="1:58" ht="36" customHeight="1" thickBot="1">
      <c r="A4" s="187"/>
      <c r="B4" s="189"/>
      <c r="C4" s="191"/>
      <c r="D4" s="193"/>
      <c r="E4" s="197"/>
      <c r="F4" s="198"/>
      <c r="G4" s="200"/>
      <c r="H4" s="201"/>
      <c r="I4" s="200"/>
      <c r="J4" s="201"/>
      <c r="K4" s="200"/>
      <c r="L4" s="201"/>
      <c r="M4" s="226"/>
      <c r="N4" s="227"/>
      <c r="O4" s="200"/>
      <c r="P4" s="201"/>
      <c r="Q4" s="200"/>
      <c r="R4" s="201"/>
      <c r="S4" s="200"/>
      <c r="T4" s="205"/>
      <c r="U4" s="208"/>
      <c r="V4" s="209"/>
      <c r="W4" s="209"/>
      <c r="X4" s="209"/>
      <c r="Y4" s="209"/>
      <c r="Z4" s="209"/>
      <c r="AA4" s="209"/>
      <c r="AB4" s="209"/>
      <c r="AC4" s="211"/>
      <c r="AD4" s="214"/>
      <c r="AE4" s="214"/>
      <c r="AF4" s="229"/>
      <c r="AG4" s="232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9"/>
      <c r="BC4" s="236" t="s">
        <v>82</v>
      </c>
      <c r="BD4" s="239" t="s">
        <v>83</v>
      </c>
      <c r="BE4" s="234"/>
      <c r="BF4" s="234"/>
    </row>
    <row r="5" spans="1:58" ht="29.25" customHeight="1" thickBot="1">
      <c r="A5" s="187"/>
      <c r="B5" s="189"/>
      <c r="C5" s="191"/>
      <c r="D5" s="193"/>
      <c r="E5" s="222" t="s">
        <v>18</v>
      </c>
      <c r="F5" s="194" t="s">
        <v>19</v>
      </c>
      <c r="G5" s="194" t="s">
        <v>18</v>
      </c>
      <c r="H5" s="194" t="s">
        <v>19</v>
      </c>
      <c r="I5" s="194" t="s">
        <v>18</v>
      </c>
      <c r="J5" s="194" t="s">
        <v>19</v>
      </c>
      <c r="K5" s="194" t="s">
        <v>18</v>
      </c>
      <c r="L5" s="194" t="s">
        <v>19</v>
      </c>
      <c r="M5" s="194" t="s">
        <v>18</v>
      </c>
      <c r="N5" s="194" t="s">
        <v>19</v>
      </c>
      <c r="O5" s="194" t="s">
        <v>18</v>
      </c>
      <c r="P5" s="194" t="s">
        <v>19</v>
      </c>
      <c r="Q5" s="194" t="s">
        <v>18</v>
      </c>
      <c r="R5" s="194" t="s">
        <v>19</v>
      </c>
      <c r="S5" s="194" t="s">
        <v>18</v>
      </c>
      <c r="T5" s="216" t="s">
        <v>19</v>
      </c>
      <c r="U5" s="218" t="s">
        <v>20</v>
      </c>
      <c r="V5" s="218" t="s">
        <v>21</v>
      </c>
      <c r="W5" s="218" t="s">
        <v>22</v>
      </c>
      <c r="X5" s="218" t="s">
        <v>23</v>
      </c>
      <c r="Y5" s="218" t="s">
        <v>24</v>
      </c>
      <c r="Z5" s="218" t="s">
        <v>25</v>
      </c>
      <c r="AA5" s="218" t="s">
        <v>26</v>
      </c>
      <c r="AB5" s="231" t="s">
        <v>27</v>
      </c>
      <c r="AC5" s="211"/>
      <c r="AD5" s="214"/>
      <c r="AE5" s="214"/>
      <c r="AF5" s="229"/>
      <c r="AG5" s="220" t="s">
        <v>28</v>
      </c>
      <c r="AH5" s="224" t="s">
        <v>29</v>
      </c>
      <c r="AI5" s="224" t="s">
        <v>30</v>
      </c>
      <c r="AJ5" s="202" t="s">
        <v>31</v>
      </c>
      <c r="AK5" s="224" t="s">
        <v>32</v>
      </c>
      <c r="AL5" s="202" t="s">
        <v>31</v>
      </c>
      <c r="AM5" s="202" t="s">
        <v>33</v>
      </c>
      <c r="AN5" s="202" t="s">
        <v>31</v>
      </c>
      <c r="AO5" s="202" t="s">
        <v>34</v>
      </c>
      <c r="AP5" s="202" t="s">
        <v>31</v>
      </c>
      <c r="AQ5" s="250" t="s">
        <v>84</v>
      </c>
      <c r="AR5" s="252" t="s">
        <v>31</v>
      </c>
      <c r="AS5" s="254" t="s">
        <v>85</v>
      </c>
      <c r="AT5" s="254" t="s">
        <v>86</v>
      </c>
      <c r="AU5" s="105" t="s">
        <v>31</v>
      </c>
      <c r="AV5" s="240" t="s">
        <v>87</v>
      </c>
      <c r="AW5" s="241"/>
      <c r="AX5" s="242"/>
      <c r="AY5" s="243" t="s">
        <v>17</v>
      </c>
      <c r="AZ5" s="239" t="s">
        <v>36</v>
      </c>
      <c r="BA5" s="239" t="s">
        <v>31</v>
      </c>
      <c r="BB5" s="239" t="s">
        <v>37</v>
      </c>
      <c r="BC5" s="237"/>
      <c r="BD5" s="202"/>
      <c r="BE5" s="234"/>
      <c r="BF5" s="234"/>
    </row>
    <row r="6" spans="1:58" ht="54" customHeight="1" thickBot="1">
      <c r="A6" s="187"/>
      <c r="B6" s="189"/>
      <c r="C6" s="191"/>
      <c r="D6" s="193"/>
      <c r="E6" s="223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217"/>
      <c r="U6" s="219"/>
      <c r="V6" s="219"/>
      <c r="W6" s="219"/>
      <c r="X6" s="219"/>
      <c r="Y6" s="219"/>
      <c r="Z6" s="219"/>
      <c r="AA6" s="219"/>
      <c r="AB6" s="232"/>
      <c r="AC6" s="212"/>
      <c r="AD6" s="215"/>
      <c r="AE6" s="215"/>
      <c r="AF6" s="230"/>
      <c r="AG6" s="221"/>
      <c r="AH6" s="225"/>
      <c r="AI6" s="225"/>
      <c r="AJ6" s="203"/>
      <c r="AK6" s="225"/>
      <c r="AL6" s="203"/>
      <c r="AM6" s="203"/>
      <c r="AN6" s="203"/>
      <c r="AO6" s="203"/>
      <c r="AP6" s="203"/>
      <c r="AQ6" s="251"/>
      <c r="AR6" s="253"/>
      <c r="AS6" s="255"/>
      <c r="AT6" s="255"/>
      <c r="AU6" s="107"/>
      <c r="AV6" s="106" t="s">
        <v>88</v>
      </c>
      <c r="AW6" s="106" t="s">
        <v>89</v>
      </c>
      <c r="AX6" s="106" t="s">
        <v>90</v>
      </c>
      <c r="AY6" s="244"/>
      <c r="AZ6" s="203"/>
      <c r="BA6" s="203"/>
      <c r="BB6" s="203"/>
      <c r="BC6" s="238"/>
      <c r="BD6" s="203"/>
      <c r="BE6" s="235"/>
      <c r="BF6" s="235"/>
    </row>
    <row r="7" spans="1:58" ht="13.5" thickBot="1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9">
        <v>32</v>
      </c>
      <c r="AG7" s="8">
        <v>33</v>
      </c>
      <c r="AH7" s="9">
        <v>34</v>
      </c>
      <c r="AI7" s="8">
        <v>35</v>
      </c>
      <c r="AJ7" s="9">
        <v>36</v>
      </c>
      <c r="AK7" s="8">
        <v>37</v>
      </c>
      <c r="AL7" s="9">
        <v>38</v>
      </c>
      <c r="AM7" s="8">
        <v>39</v>
      </c>
      <c r="AN7" s="9">
        <v>40</v>
      </c>
      <c r="AO7" s="8">
        <v>41</v>
      </c>
      <c r="AP7" s="9">
        <v>42</v>
      </c>
      <c r="AQ7" s="108">
        <v>43</v>
      </c>
      <c r="AR7" s="109">
        <v>44</v>
      </c>
      <c r="AS7" s="110">
        <v>45</v>
      </c>
      <c r="AT7" s="10">
        <v>46</v>
      </c>
      <c r="AU7" s="110">
        <v>47</v>
      </c>
      <c r="AV7" s="9">
        <v>48</v>
      </c>
      <c r="AW7" s="8">
        <v>49</v>
      </c>
      <c r="AX7" s="9">
        <v>50</v>
      </c>
      <c r="AY7" s="8">
        <v>51</v>
      </c>
      <c r="AZ7" s="9">
        <v>52</v>
      </c>
      <c r="BA7" s="8">
        <v>53</v>
      </c>
      <c r="BB7" s="9">
        <v>54</v>
      </c>
      <c r="BC7" s="8">
        <v>55</v>
      </c>
      <c r="BD7" s="11">
        <v>56</v>
      </c>
      <c r="BE7" s="1"/>
      <c r="BF7" s="111"/>
    </row>
    <row r="8" spans="1:58" ht="12.75" hidden="1">
      <c r="A8" s="5" t="s">
        <v>38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112"/>
      <c r="AR8" s="112"/>
      <c r="AS8" s="6"/>
      <c r="AT8" s="6"/>
      <c r="AU8" s="6"/>
      <c r="AV8" s="7"/>
      <c r="AW8" s="7"/>
      <c r="AX8" s="7"/>
      <c r="AY8" s="7"/>
      <c r="AZ8" s="13"/>
      <c r="BA8" s="1"/>
      <c r="BB8" s="1"/>
      <c r="BC8" s="1"/>
      <c r="BD8" s="1"/>
      <c r="BE8" s="1"/>
      <c r="BF8" s="111"/>
    </row>
    <row r="9" spans="1:58" s="114" customFormat="1" ht="12.75" hidden="1">
      <c r="A9" s="113" t="s">
        <v>39</v>
      </c>
      <c r="B9" s="92">
        <v>4316.5</v>
      </c>
      <c r="C9" s="164">
        <f>B9*8.65</f>
        <v>37337.725</v>
      </c>
      <c r="D9" s="165">
        <f>C9*0.24088</f>
        <v>8993.911198</v>
      </c>
      <c r="E9" s="93">
        <v>2746.53</v>
      </c>
      <c r="F9" s="93">
        <v>817.54</v>
      </c>
      <c r="G9" s="93">
        <v>3707.92</v>
      </c>
      <c r="H9" s="93">
        <v>1103.69</v>
      </c>
      <c r="I9" s="93">
        <v>8926.31</v>
      </c>
      <c r="J9" s="93">
        <v>2657.02</v>
      </c>
      <c r="K9" s="93">
        <v>6179.74</v>
      </c>
      <c r="L9" s="93">
        <v>1839.48</v>
      </c>
      <c r="M9" s="90">
        <v>2197.23</v>
      </c>
      <c r="N9" s="90">
        <v>654.03</v>
      </c>
      <c r="O9" s="93">
        <v>0</v>
      </c>
      <c r="P9" s="93">
        <v>0</v>
      </c>
      <c r="Q9" s="93">
        <v>0</v>
      </c>
      <c r="R9" s="93">
        <v>0</v>
      </c>
      <c r="S9" s="93">
        <f>E9+G9+I9+K9+M9+O9+Q9</f>
        <v>23757.73</v>
      </c>
      <c r="T9" s="150">
        <f>P9+N9+L9+J9+H9+F9+R9</f>
        <v>7071.760000000001</v>
      </c>
      <c r="U9" s="93">
        <v>0</v>
      </c>
      <c r="V9" s="93">
        <v>0</v>
      </c>
      <c r="W9" s="93">
        <v>0</v>
      </c>
      <c r="X9" s="93">
        <v>0</v>
      </c>
      <c r="Y9" s="93">
        <v>0</v>
      </c>
      <c r="Z9" s="100">
        <v>0</v>
      </c>
      <c r="AA9" s="100">
        <v>0</v>
      </c>
      <c r="AB9" s="100">
        <f>SUM(U9:AA9)</f>
        <v>0</v>
      </c>
      <c r="AC9" s="166">
        <f>D9+T9+AB9</f>
        <v>16065.671198</v>
      </c>
      <c r="AD9" s="167">
        <f>P9+Z9</f>
        <v>0</v>
      </c>
      <c r="AE9" s="152">
        <f>R9+AA9</f>
        <v>0</v>
      </c>
      <c r="AF9" s="152"/>
      <c r="AG9" s="25">
        <f>0.6*B9</f>
        <v>2589.9</v>
      </c>
      <c r="AH9" s="25">
        <f>B9*0.2*1.05826</f>
        <v>913.595858</v>
      </c>
      <c r="AI9" s="25">
        <f>0.8518*B9-0.01</f>
        <v>3676.7846999999997</v>
      </c>
      <c r="AJ9" s="25">
        <f>AI9*0.18</f>
        <v>661.821246</v>
      </c>
      <c r="AK9" s="25">
        <f>1.04*B9*0.9531</f>
        <v>4278.618396</v>
      </c>
      <c r="AL9" s="25">
        <f>AK9*0.18</f>
        <v>770.15131128</v>
      </c>
      <c r="AM9" s="25">
        <f>(1.91)*B9*0.9531</f>
        <v>7857.847246499999</v>
      </c>
      <c r="AN9" s="25">
        <f>AM9*0.18</f>
        <v>1414.4125043699996</v>
      </c>
      <c r="AO9" s="25"/>
      <c r="AP9" s="25">
        <f>AO9*0.18</f>
        <v>0</v>
      </c>
      <c r="AQ9" s="153"/>
      <c r="AR9" s="153"/>
      <c r="AS9" s="98">
        <v>5410.54</v>
      </c>
      <c r="AT9" s="98"/>
      <c r="AU9" s="98">
        <f>(AS9+AT9)*0.18</f>
        <v>973.8972</v>
      </c>
      <c r="AV9" s="154"/>
      <c r="AW9" s="155"/>
      <c r="AX9" s="25">
        <f>AV9*AW9*1.12*1.18</f>
        <v>0</v>
      </c>
      <c r="AY9" s="156"/>
      <c r="AZ9" s="157"/>
      <c r="BA9" s="157">
        <f>AZ9*0.18</f>
        <v>0</v>
      </c>
      <c r="BB9" s="157">
        <f>SUM(AG9:BA9)-AV9-AW9</f>
        <v>28547.56846215</v>
      </c>
      <c r="BC9" s="158"/>
      <c r="BD9" s="18">
        <f>BB9-(AF9-BC9)</f>
        <v>28547.56846215</v>
      </c>
      <c r="BE9" s="115">
        <f>AC9-BB9</f>
        <v>-12481.89726415</v>
      </c>
      <c r="BF9" s="116">
        <f>AB9-S9</f>
        <v>-23757.73</v>
      </c>
    </row>
    <row r="10" spans="1:58" ht="12.75" hidden="1">
      <c r="A10" s="14" t="s">
        <v>40</v>
      </c>
      <c r="B10" s="92">
        <v>4316.5</v>
      </c>
      <c r="C10" s="164">
        <f>B10*8.65</f>
        <v>37337.725</v>
      </c>
      <c r="D10" s="165">
        <f>C10*0.24088</f>
        <v>8993.911198</v>
      </c>
      <c r="E10" s="93">
        <v>2722.71</v>
      </c>
      <c r="F10" s="93">
        <v>796.1</v>
      </c>
      <c r="G10" s="93">
        <v>3675.75</v>
      </c>
      <c r="H10" s="93">
        <v>1074.72</v>
      </c>
      <c r="I10" s="93">
        <v>8848.9</v>
      </c>
      <c r="J10" s="93">
        <v>2587.3</v>
      </c>
      <c r="K10" s="93">
        <v>6126.15</v>
      </c>
      <c r="L10" s="93">
        <v>1791.22</v>
      </c>
      <c r="M10" s="90">
        <v>2178.15</v>
      </c>
      <c r="N10" s="90">
        <v>636.88</v>
      </c>
      <c r="O10" s="93">
        <v>0</v>
      </c>
      <c r="P10" s="93">
        <v>0</v>
      </c>
      <c r="Q10" s="93">
        <v>0</v>
      </c>
      <c r="R10" s="93">
        <v>0</v>
      </c>
      <c r="S10" s="93">
        <f>E10+G10+I10+K10+M10+O10+Q10</f>
        <v>23551.660000000003</v>
      </c>
      <c r="T10" s="150">
        <f>P10+N10+L10+J10+H10+F10+R10</f>
        <v>6886.22</v>
      </c>
      <c r="U10" s="93">
        <v>1786.25</v>
      </c>
      <c r="V10" s="93">
        <v>2411.47</v>
      </c>
      <c r="W10" s="93">
        <v>6160.85</v>
      </c>
      <c r="X10" s="93">
        <v>4019.04</v>
      </c>
      <c r="Y10" s="93">
        <v>1429.02</v>
      </c>
      <c r="Z10" s="93">
        <v>0</v>
      </c>
      <c r="AA10" s="100">
        <v>0</v>
      </c>
      <c r="AB10" s="168">
        <f>SUM(U10:AA10)</f>
        <v>15806.630000000001</v>
      </c>
      <c r="AC10" s="151">
        <f>D10+T10+AB10</f>
        <v>31686.761198</v>
      </c>
      <c r="AD10" s="152">
        <f>P10+Z10</f>
        <v>0</v>
      </c>
      <c r="AE10" s="152">
        <f>R10+AA10</f>
        <v>0</v>
      </c>
      <c r="AF10" s="152"/>
      <c r="AG10" s="25">
        <f>0.6*B10</f>
        <v>2589.9</v>
      </c>
      <c r="AH10" s="25">
        <f>B10*0.201</f>
        <v>867.6165000000001</v>
      </c>
      <c r="AI10" s="25">
        <f>0.8518*B10-0.01</f>
        <v>3676.7846999999997</v>
      </c>
      <c r="AJ10" s="25">
        <f>AI10*0.18</f>
        <v>661.821246</v>
      </c>
      <c r="AK10" s="25">
        <f>1.04*B10*0.9531</f>
        <v>4278.618396</v>
      </c>
      <c r="AL10" s="25">
        <f>AK10*0.18</f>
        <v>770.15131128</v>
      </c>
      <c r="AM10" s="25">
        <f>(1.91)*B10*0.9531</f>
        <v>7857.847246499999</v>
      </c>
      <c r="AN10" s="25">
        <f>AM10*0.18</f>
        <v>1414.4125043699996</v>
      </c>
      <c r="AO10" s="25"/>
      <c r="AP10" s="25">
        <f>AO10*0.18</f>
        <v>0</v>
      </c>
      <c r="AQ10" s="153"/>
      <c r="AR10" s="153"/>
      <c r="AS10" s="98">
        <v>2820</v>
      </c>
      <c r="AT10" s="98"/>
      <c r="AU10" s="98">
        <f>(AS10+AT10)*0.18</f>
        <v>507.59999999999997</v>
      </c>
      <c r="AV10" s="154"/>
      <c r="AW10" s="155"/>
      <c r="AX10" s="25">
        <f>AV10*AW10*1.12*1.18</f>
        <v>0</v>
      </c>
      <c r="AY10" s="156"/>
      <c r="AZ10" s="157"/>
      <c r="BA10" s="157">
        <f>AZ10*0.18</f>
        <v>0</v>
      </c>
      <c r="BB10" s="157">
        <f>SUM(AG10:BA10)-AV10-AW10</f>
        <v>25444.751904149998</v>
      </c>
      <c r="BC10" s="158"/>
      <c r="BD10" s="18">
        <f>BB10-(AF10-BC10)</f>
        <v>25444.751904149998</v>
      </c>
      <c r="BE10" s="115">
        <f>AC10-BB10</f>
        <v>6242.009293850002</v>
      </c>
      <c r="BF10" s="115">
        <f>AB10-S10</f>
        <v>-7745.0300000000025</v>
      </c>
    </row>
    <row r="11" spans="1:58" ht="13.5" hidden="1" thickBot="1">
      <c r="A11" s="48" t="s">
        <v>41</v>
      </c>
      <c r="B11" s="92">
        <v>4316.5</v>
      </c>
      <c r="C11" s="164">
        <f>B11*8.65</f>
        <v>37337.725</v>
      </c>
      <c r="D11" s="165">
        <f>C11*0.24035</f>
        <v>8974.12220375</v>
      </c>
      <c r="E11" s="93">
        <v>2710.38</v>
      </c>
      <c r="F11" s="93">
        <v>827.78</v>
      </c>
      <c r="G11" s="93">
        <v>3659.11</v>
      </c>
      <c r="H11" s="93">
        <v>1117.51</v>
      </c>
      <c r="I11" s="93">
        <v>8815.07</v>
      </c>
      <c r="J11" s="93">
        <v>2690.29</v>
      </c>
      <c r="K11" s="93">
        <v>6098.4</v>
      </c>
      <c r="L11" s="93">
        <v>1862.52</v>
      </c>
      <c r="M11" s="90">
        <v>2149.33</v>
      </c>
      <c r="N11" s="94">
        <v>662.21</v>
      </c>
      <c r="O11" s="100">
        <v>0</v>
      </c>
      <c r="P11" s="100">
        <v>0</v>
      </c>
      <c r="Q11" s="100">
        <v>0</v>
      </c>
      <c r="R11" s="100">
        <v>0</v>
      </c>
      <c r="S11" s="93">
        <f>E11+G11+I11+K11+M11+O11+Q11</f>
        <v>23432.29</v>
      </c>
      <c r="T11" s="150">
        <f>P11+N11+L11+J11+H11+F11+R11</f>
        <v>7160.31</v>
      </c>
      <c r="U11" s="93">
        <v>3005.44</v>
      </c>
      <c r="V11" s="93">
        <v>4057.74</v>
      </c>
      <c r="W11" s="93">
        <v>9731.83</v>
      </c>
      <c r="X11" s="93">
        <v>6763.38</v>
      </c>
      <c r="Y11" s="93">
        <v>2385.98</v>
      </c>
      <c r="Z11" s="93">
        <v>0</v>
      </c>
      <c r="AA11" s="100">
        <v>0</v>
      </c>
      <c r="AB11" s="168">
        <f>SUM(U11:AA11)</f>
        <v>25944.370000000003</v>
      </c>
      <c r="AC11" s="151">
        <f>D11+T11+AB11</f>
        <v>42078.802203750005</v>
      </c>
      <c r="AD11" s="152">
        <f>P11+Z11</f>
        <v>0</v>
      </c>
      <c r="AE11" s="152">
        <f>R11+AA11</f>
        <v>0</v>
      </c>
      <c r="AF11" s="152"/>
      <c r="AG11" s="25">
        <f>0.6*B11</f>
        <v>2589.9</v>
      </c>
      <c r="AH11" s="25">
        <f>B11*0.2*1.02524</f>
        <v>885.089692</v>
      </c>
      <c r="AI11" s="25">
        <f>0.84932*B11</f>
        <v>3666.08978</v>
      </c>
      <c r="AJ11" s="25">
        <f>AI11*0.18</f>
        <v>659.8961604</v>
      </c>
      <c r="AK11" s="25">
        <f>1.04*B11*0.95033</f>
        <v>4266.1834228</v>
      </c>
      <c r="AL11" s="25">
        <f>AK11*0.18</f>
        <v>767.9130161039999</v>
      </c>
      <c r="AM11" s="25">
        <f>(1.91)*B11*0.95033-0.1</f>
        <v>7834.909939949999</v>
      </c>
      <c r="AN11" s="25">
        <f>AM11*0.18</f>
        <v>1410.2837891909999</v>
      </c>
      <c r="AO11" s="25"/>
      <c r="AP11" s="25">
        <f>AO11*0.18</f>
        <v>0</v>
      </c>
      <c r="AQ11" s="153"/>
      <c r="AR11" s="153"/>
      <c r="AS11" s="98">
        <v>14627</v>
      </c>
      <c r="AT11" s="98"/>
      <c r="AU11" s="98">
        <f>(AS11+AT11)*0.18</f>
        <v>2632.86</v>
      </c>
      <c r="AV11" s="154"/>
      <c r="AW11" s="155"/>
      <c r="AX11" s="25">
        <f>AV11*AW11*1.12*1.18</f>
        <v>0</v>
      </c>
      <c r="AY11" s="156"/>
      <c r="AZ11" s="157"/>
      <c r="BA11" s="157">
        <f>AZ11*0.18</f>
        <v>0</v>
      </c>
      <c r="BB11" s="157">
        <f>SUM(AG11:BA11)-AV11-AW11</f>
        <v>39340.12580044499</v>
      </c>
      <c r="BC11" s="158"/>
      <c r="BD11" s="18">
        <f>BB11-(AF11-BC11)</f>
        <v>39340.12580044499</v>
      </c>
      <c r="BE11" s="115">
        <f>AC11-BB11</f>
        <v>2738.676403305013</v>
      </c>
      <c r="BF11" s="115">
        <f>AB11-S11</f>
        <v>2512.0800000000017</v>
      </c>
    </row>
    <row r="12" spans="1:58" s="24" customFormat="1" ht="15" customHeight="1" hidden="1" thickBot="1">
      <c r="A12" s="50" t="s">
        <v>3</v>
      </c>
      <c r="B12" s="82"/>
      <c r="C12" s="82">
        <f>SUM(C9:C11)</f>
        <v>112013.17499999999</v>
      </c>
      <c r="D12" s="82">
        <f aca="true" t="shared" si="0" ref="D12:BD12">SUM(D9:D11)</f>
        <v>26961.94459975</v>
      </c>
      <c r="E12" s="82">
        <f t="shared" si="0"/>
        <v>8179.62</v>
      </c>
      <c r="F12" s="82">
        <f t="shared" si="0"/>
        <v>2441.42</v>
      </c>
      <c r="G12" s="82">
        <f t="shared" si="0"/>
        <v>11042.78</v>
      </c>
      <c r="H12" s="82">
        <f t="shared" si="0"/>
        <v>3295.92</v>
      </c>
      <c r="I12" s="82">
        <f t="shared" si="0"/>
        <v>26590.28</v>
      </c>
      <c r="J12" s="82">
        <f t="shared" si="0"/>
        <v>7934.61</v>
      </c>
      <c r="K12" s="82">
        <f t="shared" si="0"/>
        <v>18404.29</v>
      </c>
      <c r="L12" s="82">
        <f t="shared" si="0"/>
        <v>5493.219999999999</v>
      </c>
      <c r="M12" s="82">
        <f t="shared" si="0"/>
        <v>6524.71</v>
      </c>
      <c r="N12" s="82">
        <f t="shared" si="0"/>
        <v>1953.12</v>
      </c>
      <c r="O12" s="82">
        <f t="shared" si="0"/>
        <v>0</v>
      </c>
      <c r="P12" s="82">
        <f t="shared" si="0"/>
        <v>0</v>
      </c>
      <c r="Q12" s="82">
        <f t="shared" si="0"/>
        <v>0</v>
      </c>
      <c r="R12" s="82">
        <f t="shared" si="0"/>
        <v>0</v>
      </c>
      <c r="S12" s="82">
        <f t="shared" si="0"/>
        <v>70741.68</v>
      </c>
      <c r="T12" s="82">
        <f t="shared" si="0"/>
        <v>21118.29</v>
      </c>
      <c r="U12" s="82">
        <f t="shared" si="0"/>
        <v>4791.6900000000005</v>
      </c>
      <c r="V12" s="82">
        <f t="shared" si="0"/>
        <v>6469.209999999999</v>
      </c>
      <c r="W12" s="82">
        <f t="shared" si="0"/>
        <v>15892.68</v>
      </c>
      <c r="X12" s="82">
        <f t="shared" si="0"/>
        <v>10782.42</v>
      </c>
      <c r="Y12" s="82">
        <f t="shared" si="0"/>
        <v>3815</v>
      </c>
      <c r="Z12" s="82">
        <f t="shared" si="0"/>
        <v>0</v>
      </c>
      <c r="AA12" s="82">
        <f t="shared" si="0"/>
        <v>0</v>
      </c>
      <c r="AB12" s="82">
        <f t="shared" si="0"/>
        <v>41751</v>
      </c>
      <c r="AC12" s="82">
        <f t="shared" si="0"/>
        <v>89831.23459975001</v>
      </c>
      <c r="AD12" s="82">
        <f t="shared" si="0"/>
        <v>0</v>
      </c>
      <c r="AE12" s="82">
        <f t="shared" si="0"/>
        <v>0</v>
      </c>
      <c r="AF12" s="82">
        <f t="shared" si="0"/>
        <v>0</v>
      </c>
      <c r="AG12" s="82">
        <f t="shared" si="0"/>
        <v>7769.700000000001</v>
      </c>
      <c r="AH12" s="82">
        <f t="shared" si="0"/>
        <v>2666.3020500000002</v>
      </c>
      <c r="AI12" s="82">
        <f t="shared" si="0"/>
        <v>11019.659179999999</v>
      </c>
      <c r="AJ12" s="82">
        <f t="shared" si="0"/>
        <v>1983.5386524</v>
      </c>
      <c r="AK12" s="82">
        <f t="shared" si="0"/>
        <v>12823.4202148</v>
      </c>
      <c r="AL12" s="82">
        <f t="shared" si="0"/>
        <v>2308.215638664</v>
      </c>
      <c r="AM12" s="82">
        <f t="shared" si="0"/>
        <v>23550.604432949996</v>
      </c>
      <c r="AN12" s="82">
        <f t="shared" si="0"/>
        <v>4239.108797931</v>
      </c>
      <c r="AO12" s="82">
        <f t="shared" si="0"/>
        <v>0</v>
      </c>
      <c r="AP12" s="82">
        <f t="shared" si="0"/>
        <v>0</v>
      </c>
      <c r="AQ12" s="117">
        <f t="shared" si="0"/>
        <v>0</v>
      </c>
      <c r="AR12" s="117">
        <f t="shared" si="0"/>
        <v>0</v>
      </c>
      <c r="AS12" s="118">
        <f t="shared" si="0"/>
        <v>22857.54</v>
      </c>
      <c r="AT12" s="118">
        <f t="shared" si="0"/>
        <v>0</v>
      </c>
      <c r="AU12" s="118">
        <f t="shared" si="0"/>
        <v>4114.3572</v>
      </c>
      <c r="AV12" s="82">
        <f t="shared" si="0"/>
        <v>0</v>
      </c>
      <c r="AW12" s="82">
        <f t="shared" si="0"/>
        <v>0</v>
      </c>
      <c r="AX12" s="82">
        <f t="shared" si="0"/>
        <v>0</v>
      </c>
      <c r="AY12" s="82">
        <f t="shared" si="0"/>
        <v>0</v>
      </c>
      <c r="AZ12" s="82">
        <f t="shared" si="0"/>
        <v>0</v>
      </c>
      <c r="BA12" s="82">
        <f t="shared" si="0"/>
        <v>0</v>
      </c>
      <c r="BB12" s="82">
        <f t="shared" si="0"/>
        <v>93332.446166745</v>
      </c>
      <c r="BC12" s="82">
        <f t="shared" si="0"/>
        <v>0</v>
      </c>
      <c r="BD12" s="82">
        <f t="shared" si="0"/>
        <v>93332.446166745</v>
      </c>
      <c r="BE12" s="82">
        <f>SUM(BE9:BE11)</f>
        <v>-3501.2115669949853</v>
      </c>
      <c r="BF12" s="119">
        <f>SUM(BF9:BF11)</f>
        <v>-28990.68</v>
      </c>
    </row>
    <row r="13" spans="1:58" ht="15" customHeight="1" hidden="1">
      <c r="A13" s="8" t="s">
        <v>42</v>
      </c>
      <c r="B13" s="79"/>
      <c r="C13" s="120"/>
      <c r="D13" s="120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2"/>
      <c r="P13" s="123"/>
      <c r="Q13" s="124"/>
      <c r="R13" s="124"/>
      <c r="S13" s="124"/>
      <c r="T13" s="124"/>
      <c r="U13" s="125"/>
      <c r="V13" s="125"/>
      <c r="W13" s="125"/>
      <c r="X13" s="125"/>
      <c r="Y13" s="125"/>
      <c r="Z13" s="125"/>
      <c r="AA13" s="126"/>
      <c r="AB13" s="126"/>
      <c r="AC13" s="127"/>
      <c r="AD13" s="128"/>
      <c r="AE13" s="128"/>
      <c r="AF13" s="61"/>
      <c r="AG13" s="61"/>
      <c r="AH13" s="61"/>
      <c r="AI13" s="61"/>
      <c r="AJ13" s="61"/>
      <c r="AK13" s="61"/>
      <c r="AL13" s="61"/>
      <c r="AM13" s="61"/>
      <c r="AN13" s="80"/>
      <c r="AO13" s="80"/>
      <c r="AP13" s="80"/>
      <c r="AQ13" s="129"/>
      <c r="AR13" s="130"/>
      <c r="AS13" s="131"/>
      <c r="AT13" s="131"/>
      <c r="AU13" s="132"/>
      <c r="AV13" s="61"/>
      <c r="AW13" s="61"/>
      <c r="AX13" s="62"/>
      <c r="AY13" s="1"/>
      <c r="AZ13" s="1"/>
      <c r="BA13" s="1"/>
      <c r="BB13" s="1"/>
      <c r="BC13" s="1"/>
      <c r="BD13" s="1"/>
      <c r="BE13" s="1"/>
      <c r="BF13" s="111"/>
    </row>
    <row r="14" spans="1:58" ht="12.75" hidden="1">
      <c r="A14" s="14" t="s">
        <v>43</v>
      </c>
      <c r="B14" s="159">
        <v>4316.5</v>
      </c>
      <c r="C14" s="164">
        <f aca="true" t="shared" si="1" ref="C14:C25">B14*8.65</f>
        <v>37337.725</v>
      </c>
      <c r="D14" s="165">
        <f>C14*0.125</f>
        <v>4667.215625</v>
      </c>
      <c r="E14" s="93">
        <v>2649.2</v>
      </c>
      <c r="F14" s="93">
        <v>819.04</v>
      </c>
      <c r="G14" s="93">
        <v>3576.51</v>
      </c>
      <c r="H14" s="93">
        <v>1105.72</v>
      </c>
      <c r="I14" s="93">
        <v>8610</v>
      </c>
      <c r="J14" s="93">
        <v>2661.88</v>
      </c>
      <c r="K14" s="93">
        <v>5960.75</v>
      </c>
      <c r="L14" s="93">
        <v>1842.85</v>
      </c>
      <c r="M14" s="90">
        <v>2119.37</v>
      </c>
      <c r="N14" s="94">
        <v>655.22</v>
      </c>
      <c r="O14" s="100">
        <v>0</v>
      </c>
      <c r="P14" s="100">
        <v>0</v>
      </c>
      <c r="Q14" s="100">
        <v>0</v>
      </c>
      <c r="R14" s="100">
        <v>0</v>
      </c>
      <c r="S14" s="93">
        <f aca="true" t="shared" si="2" ref="S14:S25">E14+G14+I14+K14+M14+O14+Q14</f>
        <v>22915.829999999998</v>
      </c>
      <c r="T14" s="150">
        <f aca="true" t="shared" si="3" ref="T14:T25">P14+N14+L14+J14+H14+F14+R14</f>
        <v>7084.71</v>
      </c>
      <c r="U14" s="93">
        <v>1912.23</v>
      </c>
      <c r="V14" s="93">
        <v>2581.37</v>
      </c>
      <c r="W14" s="93">
        <v>6081.64</v>
      </c>
      <c r="X14" s="93">
        <v>4301.54</v>
      </c>
      <c r="Y14" s="93">
        <v>1529.22</v>
      </c>
      <c r="Z14" s="93">
        <v>0</v>
      </c>
      <c r="AA14" s="100">
        <v>0</v>
      </c>
      <c r="AB14" s="169">
        <f aca="true" t="shared" si="4" ref="AB14:AB19">SUM(U14:AA14)</f>
        <v>16406.000000000004</v>
      </c>
      <c r="AC14" s="151">
        <f aca="true" t="shared" si="5" ref="AC14:AC22">D14+T14+AB14</f>
        <v>28157.925625000003</v>
      </c>
      <c r="AD14" s="152">
        <f aca="true" t="shared" si="6" ref="AD14:AD25">P14+Z14</f>
        <v>0</v>
      </c>
      <c r="AE14" s="152">
        <f aca="true" t="shared" si="7" ref="AE14:AE25">R14+AA14</f>
        <v>0</v>
      </c>
      <c r="AF14" s="152"/>
      <c r="AG14" s="25">
        <f>0.6*B14*0.9</f>
        <v>2330.9100000000003</v>
      </c>
      <c r="AH14" s="25">
        <f>B14*0.2*0.891</f>
        <v>769.2003000000001</v>
      </c>
      <c r="AI14" s="25">
        <f>0.85*B14*0.867-0.02</f>
        <v>3181.024675</v>
      </c>
      <c r="AJ14" s="25">
        <f aca="true" t="shared" si="8" ref="AJ14:AJ19">AI14*0.18</f>
        <v>572.5844415</v>
      </c>
      <c r="AK14" s="25">
        <f>0.83*B14*0.8685</f>
        <v>3111.5706075</v>
      </c>
      <c r="AL14" s="25">
        <f aca="true" t="shared" si="9" ref="AL14:AL19">AK14*0.18</f>
        <v>560.08270935</v>
      </c>
      <c r="AM14" s="25">
        <f>1.91*B14*0.8686</f>
        <v>7161.185729</v>
      </c>
      <c r="AN14" s="25">
        <f aca="true" t="shared" si="10" ref="AN14:AN19">AM14*0.18</f>
        <v>1289.01343122</v>
      </c>
      <c r="AO14" s="25"/>
      <c r="AP14" s="25">
        <f aca="true" t="shared" si="11" ref="AP14:AP19">AO14*0.18</f>
        <v>0</v>
      </c>
      <c r="AQ14" s="153"/>
      <c r="AR14" s="153">
        <f aca="true" t="shared" si="12" ref="AR14:AR19">AQ14*0.18</f>
        <v>0</v>
      </c>
      <c r="AS14" s="98">
        <v>18105</v>
      </c>
      <c r="AT14" s="98"/>
      <c r="AU14" s="98">
        <f>(AS14+AT14)*0.18+0.01</f>
        <v>3258.9100000000003</v>
      </c>
      <c r="AV14" s="154">
        <v>508</v>
      </c>
      <c r="AW14" s="155">
        <v>2.75</v>
      </c>
      <c r="AX14" s="25"/>
      <c r="AY14" s="156"/>
      <c r="AZ14" s="157"/>
      <c r="BA14" s="157">
        <f>AZ14*0.18</f>
        <v>0</v>
      </c>
      <c r="BB14" s="157">
        <f>SUM(AG14:AU14)</f>
        <v>40339.48189357</v>
      </c>
      <c r="BC14" s="158"/>
      <c r="BD14" s="133">
        <f>BB14-(AF14-BC14)</f>
        <v>40339.48189357</v>
      </c>
      <c r="BE14" s="115">
        <f>(AC14-BB14)+(AF14-BC14)</f>
        <v>-12181.556268569999</v>
      </c>
      <c r="BF14" s="115">
        <f>AB14-S14</f>
        <v>-6509.8299999999945</v>
      </c>
    </row>
    <row r="15" spans="1:58" ht="12.75" hidden="1">
      <c r="A15" s="14" t="s">
        <v>44</v>
      </c>
      <c r="B15" s="159">
        <v>4316.5</v>
      </c>
      <c r="C15" s="164">
        <f t="shared" si="1"/>
        <v>37337.725</v>
      </c>
      <c r="D15" s="165">
        <f>C15*0.125</f>
        <v>4667.215625</v>
      </c>
      <c r="E15" s="93">
        <v>2746.85</v>
      </c>
      <c r="F15" s="93">
        <v>803.22</v>
      </c>
      <c r="G15" s="93">
        <v>3708.33</v>
      </c>
      <c r="H15" s="93">
        <v>1084.35</v>
      </c>
      <c r="I15" s="93">
        <v>8927.28</v>
      </c>
      <c r="J15" s="93">
        <v>2610.46</v>
      </c>
      <c r="K15" s="93">
        <v>6180.44</v>
      </c>
      <c r="L15" s="93">
        <v>1807.25</v>
      </c>
      <c r="M15" s="90">
        <v>2197.48</v>
      </c>
      <c r="N15" s="94">
        <v>642.56</v>
      </c>
      <c r="O15" s="100">
        <v>0</v>
      </c>
      <c r="P15" s="100">
        <v>0</v>
      </c>
      <c r="Q15" s="100">
        <v>0</v>
      </c>
      <c r="R15" s="100">
        <v>0</v>
      </c>
      <c r="S15" s="93">
        <f t="shared" si="2"/>
        <v>23760.38</v>
      </c>
      <c r="T15" s="150">
        <f t="shared" si="3"/>
        <v>6947.840000000001</v>
      </c>
      <c r="U15" s="93">
        <v>2098.85</v>
      </c>
      <c r="V15" s="93">
        <v>2833.47</v>
      </c>
      <c r="W15" s="93">
        <v>6787.79</v>
      </c>
      <c r="X15" s="93">
        <v>4722.47</v>
      </c>
      <c r="Y15" s="93">
        <v>1679.1</v>
      </c>
      <c r="Z15" s="93">
        <v>0</v>
      </c>
      <c r="AA15" s="100">
        <v>0</v>
      </c>
      <c r="AB15" s="168">
        <f t="shared" si="4"/>
        <v>18121.68</v>
      </c>
      <c r="AC15" s="151">
        <f t="shared" si="5"/>
        <v>29736.735625</v>
      </c>
      <c r="AD15" s="152">
        <f t="shared" si="6"/>
        <v>0</v>
      </c>
      <c r="AE15" s="152">
        <f t="shared" si="7"/>
        <v>0</v>
      </c>
      <c r="AF15" s="152"/>
      <c r="AG15" s="25">
        <f>0.6*B15*0.9</f>
        <v>2330.9100000000003</v>
      </c>
      <c r="AH15" s="25">
        <f>B15*0.2*0.9153</f>
        <v>790.17849</v>
      </c>
      <c r="AI15" s="25">
        <f>0.85*B15*0.867</f>
        <v>3181.044675</v>
      </c>
      <c r="AJ15" s="25">
        <f t="shared" si="8"/>
        <v>572.5880415</v>
      </c>
      <c r="AK15" s="25">
        <f>0.83*B15*0.8684</f>
        <v>3111.2123379999994</v>
      </c>
      <c r="AL15" s="25">
        <f t="shared" si="9"/>
        <v>560.0182208399999</v>
      </c>
      <c r="AM15" s="25">
        <f>(1.91)*B15*0.8684</f>
        <v>7159.536825999999</v>
      </c>
      <c r="AN15" s="25">
        <f t="shared" si="10"/>
        <v>1288.7166286799998</v>
      </c>
      <c r="AO15" s="25"/>
      <c r="AP15" s="25">
        <f t="shared" si="11"/>
        <v>0</v>
      </c>
      <c r="AQ15" s="153"/>
      <c r="AR15" s="153">
        <f t="shared" si="12"/>
        <v>0</v>
      </c>
      <c r="AS15" s="98">
        <v>9693</v>
      </c>
      <c r="AT15" s="98"/>
      <c r="AU15" s="98">
        <f>(AS15+AT15)*0.18</f>
        <v>1744.74</v>
      </c>
      <c r="AV15" s="154">
        <v>407</v>
      </c>
      <c r="AW15" s="155">
        <v>2.75</v>
      </c>
      <c r="AX15" s="25"/>
      <c r="AY15" s="156"/>
      <c r="AZ15" s="157"/>
      <c r="BA15" s="157">
        <f>AZ15*0.18</f>
        <v>0</v>
      </c>
      <c r="BB15" s="157">
        <f>SUM(AG15:AU15)+AY15</f>
        <v>30431.94522002</v>
      </c>
      <c r="BC15" s="170"/>
      <c r="BD15" s="133">
        <f>BB15-(AF15-BC15)</f>
        <v>30431.94522002</v>
      </c>
      <c r="BE15" s="115">
        <f>(AC15-BB15)+(AF15-BC15)</f>
        <v>-695.2095950199982</v>
      </c>
      <c r="BF15" s="115">
        <f>AB15-S15</f>
        <v>-5638.700000000001</v>
      </c>
    </row>
    <row r="16" spans="1:58" ht="13.5" hidden="1" thickBot="1">
      <c r="A16" s="134" t="s">
        <v>45</v>
      </c>
      <c r="B16" s="171">
        <v>4316.5</v>
      </c>
      <c r="C16" s="164">
        <f t="shared" si="1"/>
        <v>37337.725</v>
      </c>
      <c r="D16" s="165">
        <f>C16*0.125</f>
        <v>4667.215625</v>
      </c>
      <c r="E16" s="93">
        <v>2655.61</v>
      </c>
      <c r="F16" s="93">
        <v>802</v>
      </c>
      <c r="G16" s="93">
        <v>3585.18</v>
      </c>
      <c r="H16" s="93">
        <v>1082.71</v>
      </c>
      <c r="I16" s="93">
        <v>8630.83</v>
      </c>
      <c r="J16" s="93">
        <v>2606.5</v>
      </c>
      <c r="K16" s="93">
        <v>5975.2</v>
      </c>
      <c r="L16" s="93">
        <v>1804.51</v>
      </c>
      <c r="M16" s="90">
        <v>2124.47</v>
      </c>
      <c r="N16" s="94">
        <v>641.59</v>
      </c>
      <c r="O16" s="100">
        <v>0</v>
      </c>
      <c r="P16" s="100">
        <v>0</v>
      </c>
      <c r="Q16" s="100">
        <v>0</v>
      </c>
      <c r="R16" s="100">
        <v>0</v>
      </c>
      <c r="S16" s="93">
        <f t="shared" si="2"/>
        <v>22971.29</v>
      </c>
      <c r="T16" s="150">
        <f t="shared" si="3"/>
        <v>6937.31</v>
      </c>
      <c r="U16" s="95">
        <v>2999.91</v>
      </c>
      <c r="V16" s="95">
        <v>4050.04</v>
      </c>
      <c r="W16" s="95">
        <v>9577.39</v>
      </c>
      <c r="X16" s="95">
        <v>6750.36</v>
      </c>
      <c r="Y16" s="95">
        <v>2400.19</v>
      </c>
      <c r="Z16" s="95">
        <v>0</v>
      </c>
      <c r="AA16" s="163">
        <v>0</v>
      </c>
      <c r="AB16" s="169">
        <f t="shared" si="4"/>
        <v>25777.89</v>
      </c>
      <c r="AC16" s="151">
        <f t="shared" si="5"/>
        <v>37382.415625</v>
      </c>
      <c r="AD16" s="152">
        <f t="shared" si="6"/>
        <v>0</v>
      </c>
      <c r="AE16" s="152">
        <f t="shared" si="7"/>
        <v>0</v>
      </c>
      <c r="AF16" s="152"/>
      <c r="AG16" s="25">
        <f>0.6*B16*0.9</f>
        <v>2330.9100000000003</v>
      </c>
      <c r="AH16" s="172">
        <f>B16*0.2*0.9082</f>
        <v>784.04906</v>
      </c>
      <c r="AI16" s="25">
        <f>0.85*B16*0.8675</f>
        <v>3182.8791875</v>
      </c>
      <c r="AJ16" s="25">
        <f t="shared" si="8"/>
        <v>572.91825375</v>
      </c>
      <c r="AK16" s="172">
        <f>0.83*B16*0.838</f>
        <v>3002.2984099999994</v>
      </c>
      <c r="AL16" s="25">
        <f t="shared" si="9"/>
        <v>540.4137137999999</v>
      </c>
      <c r="AM16" s="25">
        <f>1.91*B16*0.8381</f>
        <v>6909.728021499999</v>
      </c>
      <c r="AN16" s="25">
        <f t="shared" si="10"/>
        <v>1243.7510438699999</v>
      </c>
      <c r="AO16" s="25"/>
      <c r="AP16" s="25">
        <f t="shared" si="11"/>
        <v>0</v>
      </c>
      <c r="AQ16" s="153"/>
      <c r="AR16" s="153">
        <f t="shared" si="12"/>
        <v>0</v>
      </c>
      <c r="AS16" s="98">
        <v>3082</v>
      </c>
      <c r="AT16" s="98"/>
      <c r="AU16" s="98">
        <f>(AS16+AT16)*0.18</f>
        <v>554.76</v>
      </c>
      <c r="AV16" s="154">
        <v>383</v>
      </c>
      <c r="AW16" s="155">
        <v>2.75</v>
      </c>
      <c r="AX16" s="25"/>
      <c r="AY16" s="156"/>
      <c r="AZ16" s="157"/>
      <c r="BA16" s="157">
        <f>AZ16*0.18</f>
        <v>0</v>
      </c>
      <c r="BB16" s="157">
        <f>SUM(AG16:AU16)</f>
        <v>22203.70769042</v>
      </c>
      <c r="BC16" s="170"/>
      <c r="BD16" s="135">
        <f>BB16-(AF16-BC16)</f>
        <v>22203.70769042</v>
      </c>
      <c r="BE16" s="136">
        <f>(AC16-BB16)+(AF16-BC16)</f>
        <v>15178.707934580001</v>
      </c>
      <c r="BF16" s="136">
        <f>AB16-S16</f>
        <v>2806.5999999999985</v>
      </c>
    </row>
    <row r="17" spans="1:58" ht="13.5" hidden="1" thickBot="1">
      <c r="A17" s="137" t="s">
        <v>46</v>
      </c>
      <c r="B17" s="173">
        <v>4316.5</v>
      </c>
      <c r="C17" s="164">
        <f t="shared" si="1"/>
        <v>37337.725</v>
      </c>
      <c r="D17" s="165">
        <f>C17*0.125</f>
        <v>4667.215625</v>
      </c>
      <c r="E17" s="95">
        <v>2758.4</v>
      </c>
      <c r="F17" s="95">
        <v>791.21</v>
      </c>
      <c r="G17" s="95">
        <v>3723.92</v>
      </c>
      <c r="H17" s="95">
        <v>1068.14</v>
      </c>
      <c r="I17" s="95">
        <v>8964.89</v>
      </c>
      <c r="J17" s="95">
        <v>2571.43</v>
      </c>
      <c r="K17" s="95">
        <v>6206.45</v>
      </c>
      <c r="L17" s="95">
        <v>1780.23</v>
      </c>
      <c r="M17" s="96">
        <v>2206.72</v>
      </c>
      <c r="N17" s="97">
        <v>632.96</v>
      </c>
      <c r="O17" s="163">
        <v>0</v>
      </c>
      <c r="P17" s="163">
        <v>0</v>
      </c>
      <c r="Q17" s="163">
        <v>0</v>
      </c>
      <c r="R17" s="163">
        <v>0</v>
      </c>
      <c r="S17" s="93">
        <f t="shared" si="2"/>
        <v>23860.38</v>
      </c>
      <c r="T17" s="150">
        <f t="shared" si="3"/>
        <v>6843.97</v>
      </c>
      <c r="U17" s="93">
        <v>2139.85</v>
      </c>
      <c r="V17" s="93">
        <v>2888.79</v>
      </c>
      <c r="W17" s="93">
        <v>7035.66</v>
      </c>
      <c r="X17" s="93">
        <v>4814.33</v>
      </c>
      <c r="Y17" s="93">
        <v>1711.54</v>
      </c>
      <c r="Z17" s="93">
        <v>0</v>
      </c>
      <c r="AA17" s="93">
        <v>0</v>
      </c>
      <c r="AB17" s="169">
        <f t="shared" si="4"/>
        <v>18590.17</v>
      </c>
      <c r="AC17" s="151">
        <f t="shared" si="5"/>
        <v>30101.355624999997</v>
      </c>
      <c r="AD17" s="152">
        <f t="shared" si="6"/>
        <v>0</v>
      </c>
      <c r="AE17" s="152">
        <f t="shared" si="7"/>
        <v>0</v>
      </c>
      <c r="AF17" s="152"/>
      <c r="AG17" s="25">
        <f>0.6*B17*0.9</f>
        <v>2330.9100000000003</v>
      </c>
      <c r="AH17" s="172">
        <f>B17*0.2*0.9234</f>
        <v>797.1712200000001</v>
      </c>
      <c r="AI17" s="25">
        <f>0.85*B17*0.8934</f>
        <v>3277.906935</v>
      </c>
      <c r="AJ17" s="25">
        <f t="shared" si="8"/>
        <v>590.0232483</v>
      </c>
      <c r="AK17" s="25">
        <f>0.83*B17*0.8498</f>
        <v>3044.5742109999997</v>
      </c>
      <c r="AL17" s="25">
        <f t="shared" si="9"/>
        <v>548.0233579799999</v>
      </c>
      <c r="AM17" s="25">
        <f>(1.91)*B17*0.8498</f>
        <v>7006.188846999999</v>
      </c>
      <c r="AN17" s="25">
        <f t="shared" si="10"/>
        <v>1261.11399246</v>
      </c>
      <c r="AO17" s="25"/>
      <c r="AP17" s="25">
        <f t="shared" si="11"/>
        <v>0</v>
      </c>
      <c r="AQ17" s="153"/>
      <c r="AR17" s="153">
        <f t="shared" si="12"/>
        <v>0</v>
      </c>
      <c r="AS17" s="98">
        <v>11085.49</v>
      </c>
      <c r="AT17" s="98"/>
      <c r="AU17" s="98">
        <f>(AS17+AT17)*0.18</f>
        <v>1995.3881999999999</v>
      </c>
      <c r="AV17" s="154">
        <v>307</v>
      </c>
      <c r="AW17" s="155">
        <v>2.75</v>
      </c>
      <c r="AX17" s="25">
        <v>5833.21</v>
      </c>
      <c r="AY17" s="156"/>
      <c r="AZ17" s="157"/>
      <c r="BA17" s="157">
        <f>AZ17*0.18</f>
        <v>0</v>
      </c>
      <c r="BB17" s="157">
        <f aca="true" t="shared" si="13" ref="BB17:BB22">SUM(AG17:BA17)-AV17-AW17</f>
        <v>37770.00001174</v>
      </c>
      <c r="BC17" s="170"/>
      <c r="BD17" s="138">
        <f>(AC17-BA17)+(AF17-BB17)</f>
        <v>-7668.644386740001</v>
      </c>
      <c r="BE17" s="136">
        <f>(AC17-BB17)+(AF17-BC17)</f>
        <v>-7668.644386740001</v>
      </c>
      <c r="BF17" s="136">
        <f aca="true" t="shared" si="14" ref="BF17:BF25">AB17-S17</f>
        <v>-5270.210000000003</v>
      </c>
    </row>
    <row r="18" spans="1:58" ht="13.5" hidden="1" thickBot="1">
      <c r="A18" s="14" t="s">
        <v>47</v>
      </c>
      <c r="B18" s="171">
        <v>4316.5</v>
      </c>
      <c r="C18" s="164">
        <f t="shared" si="1"/>
        <v>37337.725</v>
      </c>
      <c r="D18" s="149">
        <f aca="true" t="shared" si="15" ref="D18:D25">C18-E18-F18-G18-H18-I18-J18-K18-L18-M18-N18</f>
        <v>3240.495000000001</v>
      </c>
      <c r="E18" s="95">
        <v>3064.28</v>
      </c>
      <c r="F18" s="95">
        <v>871.19</v>
      </c>
      <c r="G18" s="95">
        <v>4150.49</v>
      </c>
      <c r="H18" s="95">
        <v>1180.85</v>
      </c>
      <c r="I18" s="95">
        <v>9972.77</v>
      </c>
      <c r="J18" s="95">
        <v>2835.97</v>
      </c>
      <c r="K18" s="95">
        <v>6908.44</v>
      </c>
      <c r="L18" s="95">
        <v>1964.87</v>
      </c>
      <c r="M18" s="96">
        <v>2451.49</v>
      </c>
      <c r="N18" s="97">
        <v>696.88</v>
      </c>
      <c r="O18" s="163">
        <v>0</v>
      </c>
      <c r="P18" s="163">
        <v>0</v>
      </c>
      <c r="Q18" s="163">
        <v>0</v>
      </c>
      <c r="R18" s="163">
        <v>0</v>
      </c>
      <c r="S18" s="93">
        <f t="shared" si="2"/>
        <v>26547.47</v>
      </c>
      <c r="T18" s="150">
        <f t="shared" si="3"/>
        <v>7549.76</v>
      </c>
      <c r="U18" s="95">
        <v>2717.16</v>
      </c>
      <c r="V18" s="95">
        <v>3668.32</v>
      </c>
      <c r="W18" s="95">
        <v>8808.21</v>
      </c>
      <c r="X18" s="95">
        <v>6113.67</v>
      </c>
      <c r="Y18" s="95">
        <v>2173.8</v>
      </c>
      <c r="Z18" s="95">
        <v>0</v>
      </c>
      <c r="AA18" s="163">
        <v>0</v>
      </c>
      <c r="AB18" s="169">
        <f t="shared" si="4"/>
        <v>23481.16</v>
      </c>
      <c r="AC18" s="151">
        <f t="shared" si="5"/>
        <v>34271.415</v>
      </c>
      <c r="AD18" s="152">
        <f t="shared" si="6"/>
        <v>0</v>
      </c>
      <c r="AE18" s="152">
        <f t="shared" si="7"/>
        <v>0</v>
      </c>
      <c r="AF18" s="152"/>
      <c r="AG18" s="25">
        <f aca="true" t="shared" si="16" ref="AG18:AG25">0.6*B18</f>
        <v>2589.9</v>
      </c>
      <c r="AH18" s="25">
        <f>B18*0.2*1.01</f>
        <v>871.9330000000001</v>
      </c>
      <c r="AI18" s="25">
        <f>0.85*B18</f>
        <v>3669.025</v>
      </c>
      <c r="AJ18" s="25">
        <f t="shared" si="8"/>
        <v>660.4245</v>
      </c>
      <c r="AK18" s="25">
        <f>0.83*B18</f>
        <v>3582.6949999999997</v>
      </c>
      <c r="AL18" s="25">
        <f t="shared" si="9"/>
        <v>644.8851</v>
      </c>
      <c r="AM18" s="25">
        <f>(1.91)*B18</f>
        <v>8244.515</v>
      </c>
      <c r="AN18" s="25">
        <f t="shared" si="10"/>
        <v>1484.0126999999998</v>
      </c>
      <c r="AO18" s="25"/>
      <c r="AP18" s="25">
        <f t="shared" si="11"/>
        <v>0</v>
      </c>
      <c r="AQ18" s="153"/>
      <c r="AR18" s="153">
        <f t="shared" si="12"/>
        <v>0</v>
      </c>
      <c r="AS18" s="98">
        <v>2227.7</v>
      </c>
      <c r="AT18" s="98"/>
      <c r="AU18" s="98">
        <f>(AS18+AT18)*0.18</f>
        <v>400.98599999999993</v>
      </c>
      <c r="AV18" s="154">
        <v>263</v>
      </c>
      <c r="AW18" s="155">
        <v>2.75</v>
      </c>
      <c r="AX18" s="25">
        <f>AV18*AW18*1.12*1.18</f>
        <v>955.8472</v>
      </c>
      <c r="AY18" s="156"/>
      <c r="AZ18" s="157"/>
      <c r="BA18" s="157">
        <f aca="true" t="shared" si="17" ref="BA18:BA25">AZ18*0.18</f>
        <v>0</v>
      </c>
      <c r="BB18" s="157">
        <f t="shared" si="13"/>
        <v>25331.9235</v>
      </c>
      <c r="BC18" s="170"/>
      <c r="BD18" s="18">
        <f aca="true" t="shared" si="18" ref="BD18:BD25">BB18-(AF18-BC18)</f>
        <v>25331.9235</v>
      </c>
      <c r="BE18" s="136">
        <f>(AC18-BB18)+(AF18-BC18)</f>
        <v>8939.4915</v>
      </c>
      <c r="BF18" s="136">
        <f t="shared" si="14"/>
        <v>-3066.3100000000013</v>
      </c>
    </row>
    <row r="19" spans="1:58" ht="13.5" hidden="1" thickBot="1">
      <c r="A19" s="134" t="s">
        <v>48</v>
      </c>
      <c r="B19" s="171">
        <v>4316.5</v>
      </c>
      <c r="C19" s="164">
        <f t="shared" si="1"/>
        <v>37337.725</v>
      </c>
      <c r="D19" s="149">
        <f t="shared" si="15"/>
        <v>3282.8250000000035</v>
      </c>
      <c r="E19" s="95">
        <v>3064.68</v>
      </c>
      <c r="F19" s="95">
        <v>865.92</v>
      </c>
      <c r="G19" s="95">
        <v>4150.99</v>
      </c>
      <c r="H19" s="95">
        <v>1173.71</v>
      </c>
      <c r="I19" s="95">
        <v>9974.02</v>
      </c>
      <c r="J19" s="95">
        <v>2818.82</v>
      </c>
      <c r="K19" s="95">
        <v>6909.32</v>
      </c>
      <c r="L19" s="95">
        <v>1952.98</v>
      </c>
      <c r="M19" s="96">
        <v>2451.8</v>
      </c>
      <c r="N19" s="97">
        <v>692.66</v>
      </c>
      <c r="O19" s="163">
        <v>0</v>
      </c>
      <c r="P19" s="163">
        <v>0</v>
      </c>
      <c r="Q19" s="163">
        <v>0</v>
      </c>
      <c r="R19" s="163">
        <v>0</v>
      </c>
      <c r="S19" s="93">
        <f t="shared" si="2"/>
        <v>26550.81</v>
      </c>
      <c r="T19" s="150">
        <f t="shared" si="3"/>
        <v>7504.09</v>
      </c>
      <c r="U19" s="95">
        <v>2682.61</v>
      </c>
      <c r="V19" s="95">
        <v>3631.01</v>
      </c>
      <c r="W19" s="95">
        <v>8714.24</v>
      </c>
      <c r="X19" s="95">
        <v>6045.23</v>
      </c>
      <c r="Y19" s="95">
        <v>2146.15</v>
      </c>
      <c r="Z19" s="95">
        <v>0</v>
      </c>
      <c r="AA19" s="163">
        <v>0</v>
      </c>
      <c r="AB19" s="169">
        <f t="shared" si="4"/>
        <v>23219.24</v>
      </c>
      <c r="AC19" s="151">
        <f t="shared" si="5"/>
        <v>34006.155000000006</v>
      </c>
      <c r="AD19" s="152">
        <f t="shared" si="6"/>
        <v>0</v>
      </c>
      <c r="AE19" s="152">
        <f t="shared" si="7"/>
        <v>0</v>
      </c>
      <c r="AF19" s="152"/>
      <c r="AG19" s="25">
        <f t="shared" si="16"/>
        <v>2589.9</v>
      </c>
      <c r="AH19" s="25">
        <f>B19*0.2*1.01045</f>
        <v>872.3214850000002</v>
      </c>
      <c r="AI19" s="25">
        <f>0.85*B19</f>
        <v>3669.025</v>
      </c>
      <c r="AJ19" s="25">
        <f t="shared" si="8"/>
        <v>660.4245</v>
      </c>
      <c r="AK19" s="25">
        <f>0.83*B19</f>
        <v>3582.6949999999997</v>
      </c>
      <c r="AL19" s="25">
        <f t="shared" si="9"/>
        <v>644.8851</v>
      </c>
      <c r="AM19" s="25">
        <f>(1.91)*B19</f>
        <v>8244.515</v>
      </c>
      <c r="AN19" s="25">
        <f t="shared" si="10"/>
        <v>1484.0126999999998</v>
      </c>
      <c r="AO19" s="25"/>
      <c r="AP19" s="25">
        <f t="shared" si="11"/>
        <v>0</v>
      </c>
      <c r="AQ19" s="153"/>
      <c r="AR19" s="153">
        <f t="shared" si="12"/>
        <v>0</v>
      </c>
      <c r="AS19" s="98">
        <v>253.5</v>
      </c>
      <c r="AT19" s="98"/>
      <c r="AU19" s="98">
        <f>(AS19+AT19)*0.18</f>
        <v>45.629999999999995</v>
      </c>
      <c r="AV19" s="154">
        <v>233</v>
      </c>
      <c r="AW19" s="155">
        <v>2.75</v>
      </c>
      <c r="AX19" s="25">
        <f>AV19*AW19*1.12*1.18</f>
        <v>846.8152000000001</v>
      </c>
      <c r="AY19" s="156"/>
      <c r="AZ19" s="157"/>
      <c r="BA19" s="157">
        <f t="shared" si="17"/>
        <v>0</v>
      </c>
      <c r="BB19" s="157">
        <f t="shared" si="13"/>
        <v>22893.723985</v>
      </c>
      <c r="BC19" s="170"/>
      <c r="BD19" s="139">
        <f t="shared" si="18"/>
        <v>22893.723985</v>
      </c>
      <c r="BE19" s="136">
        <f aca="true" t="shared" si="19" ref="BE19:BE25">(AC19-BB19)+(AF19-BC19)</f>
        <v>11112.431015000006</v>
      </c>
      <c r="BF19" s="136">
        <f t="shared" si="14"/>
        <v>-3331.5699999999997</v>
      </c>
    </row>
    <row r="20" spans="1:58" ht="13.5" hidden="1" thickBot="1">
      <c r="A20" s="137" t="s">
        <v>49</v>
      </c>
      <c r="B20" s="159">
        <v>4317.6</v>
      </c>
      <c r="C20" s="164">
        <f t="shared" si="1"/>
        <v>37347.240000000005</v>
      </c>
      <c r="D20" s="149">
        <f t="shared" si="15"/>
        <v>3299.01000000001</v>
      </c>
      <c r="E20" s="95">
        <v>2994.11</v>
      </c>
      <c r="F20" s="95">
        <v>935.67</v>
      </c>
      <c r="G20" s="95">
        <v>4055.44</v>
      </c>
      <c r="H20" s="95">
        <v>1268.28</v>
      </c>
      <c r="I20" s="95">
        <v>9744.39</v>
      </c>
      <c r="J20" s="95">
        <v>3045.93</v>
      </c>
      <c r="K20" s="95">
        <v>6750.3</v>
      </c>
      <c r="L20" s="95">
        <v>2110.32</v>
      </c>
      <c r="M20" s="96">
        <v>2395.32</v>
      </c>
      <c r="N20" s="97">
        <v>748.47</v>
      </c>
      <c r="O20" s="163">
        <v>0</v>
      </c>
      <c r="P20" s="163">
        <v>0</v>
      </c>
      <c r="Q20" s="163">
        <v>0</v>
      </c>
      <c r="R20" s="163">
        <v>0</v>
      </c>
      <c r="S20" s="93">
        <f t="shared" si="2"/>
        <v>25939.559999999998</v>
      </c>
      <c r="T20" s="150">
        <f t="shared" si="3"/>
        <v>8108.669999999999</v>
      </c>
      <c r="U20" s="95">
        <v>3326.54</v>
      </c>
      <c r="V20" s="95">
        <v>4504.2</v>
      </c>
      <c r="W20" s="95">
        <v>10821.59</v>
      </c>
      <c r="X20" s="95">
        <v>7498.16</v>
      </c>
      <c r="Y20" s="95">
        <v>2661.18</v>
      </c>
      <c r="Z20" s="95">
        <v>0</v>
      </c>
      <c r="AA20" s="163">
        <v>0</v>
      </c>
      <c r="AB20" s="169">
        <f aca="true" t="shared" si="20" ref="AB20:AB25">SUM(U20:AA20)</f>
        <v>28811.670000000002</v>
      </c>
      <c r="AC20" s="151">
        <f t="shared" si="5"/>
        <v>40219.35000000001</v>
      </c>
      <c r="AD20" s="152">
        <f t="shared" si="6"/>
        <v>0</v>
      </c>
      <c r="AE20" s="152">
        <f t="shared" si="7"/>
        <v>0</v>
      </c>
      <c r="AF20" s="152"/>
      <c r="AG20" s="25">
        <f t="shared" si="16"/>
        <v>2590.56</v>
      </c>
      <c r="AH20" s="25">
        <f>B20*0.2*0.99426</f>
        <v>858.5633952000002</v>
      </c>
      <c r="AI20" s="25">
        <f>0.85*B20*0.9857</f>
        <v>3617.479572</v>
      </c>
      <c r="AJ20" s="25">
        <f aca="true" t="shared" si="21" ref="AJ20:AJ25">AI20*0.18</f>
        <v>651.14632296</v>
      </c>
      <c r="AK20" s="25">
        <f>0.83*B20*0.9905</f>
        <v>3549.5637240000005</v>
      </c>
      <c r="AL20" s="25">
        <f aca="true" t="shared" si="22" ref="AL20:AL25">AK20*0.18</f>
        <v>638.92147032</v>
      </c>
      <c r="AM20" s="25">
        <f>(1.91)*B20*0.9905</f>
        <v>8168.273148</v>
      </c>
      <c r="AN20" s="25">
        <f aca="true" t="shared" si="23" ref="AN20:AN25">AM20*0.18</f>
        <v>1470.28916664</v>
      </c>
      <c r="AO20" s="25"/>
      <c r="AP20" s="25">
        <f aca="true" t="shared" si="24" ref="AP20:AP25">AO20*0.18</f>
        <v>0</v>
      </c>
      <c r="AQ20" s="153"/>
      <c r="AR20" s="153">
        <f aca="true" t="shared" si="25" ref="AR20:AR25">AQ20*0.18</f>
        <v>0</v>
      </c>
      <c r="AS20" s="98">
        <v>476.2</v>
      </c>
      <c r="AT20" s="98"/>
      <c r="AU20" s="98">
        <f aca="true" t="shared" si="26" ref="AU20:AU25">(AS20+AT20)*0.18</f>
        <v>85.716</v>
      </c>
      <c r="AV20" s="154">
        <v>248</v>
      </c>
      <c r="AW20" s="155">
        <v>2.75</v>
      </c>
      <c r="AX20" s="25">
        <f aca="true" t="shared" si="27" ref="AX20:AX25">AV20*AW20*1.12*1.18</f>
        <v>901.3312</v>
      </c>
      <c r="AY20" s="156"/>
      <c r="AZ20" s="157"/>
      <c r="BA20" s="157">
        <f t="shared" si="17"/>
        <v>0</v>
      </c>
      <c r="BB20" s="157">
        <f t="shared" si="13"/>
        <v>23008.043999120004</v>
      </c>
      <c r="BC20" s="170"/>
      <c r="BD20" s="18">
        <f t="shared" si="18"/>
        <v>23008.043999120004</v>
      </c>
      <c r="BE20" s="136">
        <f t="shared" si="19"/>
        <v>17211.30600088001</v>
      </c>
      <c r="BF20" s="136">
        <f t="shared" si="14"/>
        <v>2872.110000000004</v>
      </c>
    </row>
    <row r="21" spans="1:58" ht="13.5" hidden="1" thickBot="1">
      <c r="A21" s="14" t="s">
        <v>50</v>
      </c>
      <c r="B21" s="159">
        <v>4317.6</v>
      </c>
      <c r="C21" s="164">
        <f t="shared" si="1"/>
        <v>37347.240000000005</v>
      </c>
      <c r="D21" s="149">
        <f t="shared" si="15"/>
        <v>3280.1300000000024</v>
      </c>
      <c r="E21" s="95">
        <v>3027.03</v>
      </c>
      <c r="F21" s="95">
        <v>904.94</v>
      </c>
      <c r="G21" s="95">
        <v>4100.04</v>
      </c>
      <c r="H21" s="95">
        <v>1226.62</v>
      </c>
      <c r="I21" s="95">
        <v>9851.56</v>
      </c>
      <c r="J21" s="95">
        <v>2945.87</v>
      </c>
      <c r="K21" s="95">
        <v>6824.47</v>
      </c>
      <c r="L21" s="95">
        <v>2041.02</v>
      </c>
      <c r="M21" s="96">
        <v>2421.67</v>
      </c>
      <c r="N21" s="97">
        <v>723.89</v>
      </c>
      <c r="O21" s="163">
        <v>0</v>
      </c>
      <c r="P21" s="163">
        <v>0</v>
      </c>
      <c r="Q21" s="95">
        <v>0</v>
      </c>
      <c r="R21" s="95">
        <v>0</v>
      </c>
      <c r="S21" s="93">
        <f t="shared" si="2"/>
        <v>26224.769999999997</v>
      </c>
      <c r="T21" s="150">
        <f t="shared" si="3"/>
        <v>7842.34</v>
      </c>
      <c r="U21" s="95">
        <v>2788.41</v>
      </c>
      <c r="V21" s="95">
        <v>3776.23</v>
      </c>
      <c r="W21" s="95">
        <v>9071.61</v>
      </c>
      <c r="X21" s="95">
        <v>6285.8</v>
      </c>
      <c r="Y21" s="95">
        <v>2230.84</v>
      </c>
      <c r="Z21" s="95">
        <v>0</v>
      </c>
      <c r="AA21" s="163">
        <v>0</v>
      </c>
      <c r="AB21" s="169">
        <f t="shared" si="20"/>
        <v>24152.89</v>
      </c>
      <c r="AC21" s="151">
        <f t="shared" si="5"/>
        <v>35275.36</v>
      </c>
      <c r="AD21" s="152">
        <f t="shared" si="6"/>
        <v>0</v>
      </c>
      <c r="AE21" s="152">
        <f t="shared" si="7"/>
        <v>0</v>
      </c>
      <c r="AF21" s="152"/>
      <c r="AG21" s="25">
        <f t="shared" si="16"/>
        <v>2590.56</v>
      </c>
      <c r="AH21" s="25">
        <f>B21*0.2*0.99875</f>
        <v>862.4406000000001</v>
      </c>
      <c r="AI21" s="25">
        <f>0.85*B21*0.98526</f>
        <v>3615.8647896</v>
      </c>
      <c r="AJ21" s="25">
        <f t="shared" si="21"/>
        <v>650.8556621280001</v>
      </c>
      <c r="AK21" s="25">
        <f>0.83*B21*0.99</f>
        <v>3547.77192</v>
      </c>
      <c r="AL21" s="25">
        <f t="shared" si="22"/>
        <v>638.5989456</v>
      </c>
      <c r="AM21" s="25">
        <f>(1.91)*B21*0.99</f>
        <v>8164.14984</v>
      </c>
      <c r="AN21" s="25">
        <f t="shared" si="23"/>
        <v>1469.5469712</v>
      </c>
      <c r="AO21" s="25"/>
      <c r="AP21" s="25">
        <f t="shared" si="24"/>
        <v>0</v>
      </c>
      <c r="AQ21" s="153"/>
      <c r="AR21" s="153">
        <f t="shared" si="25"/>
        <v>0</v>
      </c>
      <c r="AS21" s="98">
        <v>16617.73</v>
      </c>
      <c r="AT21" s="98"/>
      <c r="AU21" s="98">
        <f t="shared" si="26"/>
        <v>2991.1913999999997</v>
      </c>
      <c r="AV21" s="154">
        <v>293</v>
      </c>
      <c r="AW21" s="155">
        <v>2.75</v>
      </c>
      <c r="AX21" s="25">
        <f t="shared" si="27"/>
        <v>1064.8792</v>
      </c>
      <c r="AY21" s="156"/>
      <c r="AZ21" s="157"/>
      <c r="BA21" s="157">
        <f t="shared" si="17"/>
        <v>0</v>
      </c>
      <c r="BB21" s="157">
        <f t="shared" si="13"/>
        <v>42213.58932852801</v>
      </c>
      <c r="BC21" s="170"/>
      <c r="BD21" s="18">
        <f t="shared" si="18"/>
        <v>42213.58932852801</v>
      </c>
      <c r="BE21" s="136">
        <f t="shared" si="19"/>
        <v>-6938.22932852801</v>
      </c>
      <c r="BF21" s="136">
        <f t="shared" si="14"/>
        <v>-2071.8799999999974</v>
      </c>
    </row>
    <row r="22" spans="1:58" ht="13.5" hidden="1" thickBot="1">
      <c r="A22" s="134" t="s">
        <v>51</v>
      </c>
      <c r="B22" s="92">
        <v>4317.6</v>
      </c>
      <c r="C22" s="164">
        <f t="shared" si="1"/>
        <v>37347.240000000005</v>
      </c>
      <c r="D22" s="149">
        <f t="shared" si="15"/>
        <v>3270.310000000002</v>
      </c>
      <c r="E22" s="93">
        <v>3043.08</v>
      </c>
      <c r="F22" s="93">
        <v>890.04</v>
      </c>
      <c r="G22" s="93">
        <v>4121.77</v>
      </c>
      <c r="H22" s="93">
        <v>1206.4</v>
      </c>
      <c r="I22" s="93">
        <v>9903.76</v>
      </c>
      <c r="J22" s="93">
        <v>2897.36</v>
      </c>
      <c r="K22" s="93">
        <v>6860.66</v>
      </c>
      <c r="L22" s="93">
        <v>2007.37</v>
      </c>
      <c r="M22" s="90">
        <v>2434.54</v>
      </c>
      <c r="N22" s="94">
        <v>711.95</v>
      </c>
      <c r="O22" s="100">
        <v>0</v>
      </c>
      <c r="P22" s="100">
        <v>0</v>
      </c>
      <c r="Q22" s="100">
        <v>0</v>
      </c>
      <c r="R22" s="100">
        <v>0</v>
      </c>
      <c r="S22" s="93">
        <f t="shared" si="2"/>
        <v>26363.81</v>
      </c>
      <c r="T22" s="150">
        <f t="shared" si="3"/>
        <v>7713.12</v>
      </c>
      <c r="U22" s="93">
        <v>2588.18</v>
      </c>
      <c r="V22" s="93">
        <v>3504.52</v>
      </c>
      <c r="W22" s="93">
        <v>8422.17</v>
      </c>
      <c r="X22" s="93">
        <v>5834.06</v>
      </c>
      <c r="Y22" s="93">
        <v>2070.58</v>
      </c>
      <c r="Z22" s="93">
        <v>0</v>
      </c>
      <c r="AA22" s="100">
        <v>0</v>
      </c>
      <c r="AB22" s="169">
        <f t="shared" si="20"/>
        <v>22419.510000000002</v>
      </c>
      <c r="AC22" s="151">
        <f t="shared" si="5"/>
        <v>33402.94</v>
      </c>
      <c r="AD22" s="152">
        <f t="shared" si="6"/>
        <v>0</v>
      </c>
      <c r="AE22" s="152">
        <f t="shared" si="7"/>
        <v>0</v>
      </c>
      <c r="AF22" s="152"/>
      <c r="AG22" s="25">
        <f t="shared" si="16"/>
        <v>2590.56</v>
      </c>
      <c r="AH22" s="25">
        <f>B22*0.2*0.9997</f>
        <v>863.2609440000001</v>
      </c>
      <c r="AI22" s="25">
        <f>0.85*B22*0.98509</f>
        <v>3615.2408964</v>
      </c>
      <c r="AJ22" s="25">
        <f t="shared" si="21"/>
        <v>650.743361352</v>
      </c>
      <c r="AK22" s="25">
        <f>0.83*B22*0.98981</f>
        <v>3547.09103448</v>
      </c>
      <c r="AL22" s="25">
        <f t="shared" si="22"/>
        <v>638.4763862064</v>
      </c>
      <c r="AM22" s="25">
        <f>(1.91)*B22*0.9898</f>
        <v>8162.5005168</v>
      </c>
      <c r="AN22" s="25">
        <f t="shared" si="23"/>
        <v>1469.2500930239999</v>
      </c>
      <c r="AO22" s="25"/>
      <c r="AP22" s="25">
        <f t="shared" si="24"/>
        <v>0</v>
      </c>
      <c r="AQ22" s="153"/>
      <c r="AR22" s="153">
        <f t="shared" si="25"/>
        <v>0</v>
      </c>
      <c r="AS22" s="98"/>
      <c r="AT22" s="98"/>
      <c r="AU22" s="98">
        <f t="shared" si="26"/>
        <v>0</v>
      </c>
      <c r="AV22" s="154">
        <v>349</v>
      </c>
      <c r="AW22" s="155">
        <v>2.75</v>
      </c>
      <c r="AX22" s="25">
        <f t="shared" si="27"/>
        <v>1268.4056</v>
      </c>
      <c r="AY22" s="156"/>
      <c r="AZ22" s="157"/>
      <c r="BA22" s="157">
        <f t="shared" si="17"/>
        <v>0</v>
      </c>
      <c r="BB22" s="157">
        <f t="shared" si="13"/>
        <v>22805.528832262396</v>
      </c>
      <c r="BC22" s="170"/>
      <c r="BD22" s="139">
        <f t="shared" si="18"/>
        <v>22805.528832262396</v>
      </c>
      <c r="BE22" s="136">
        <f t="shared" si="19"/>
        <v>10597.411167737606</v>
      </c>
      <c r="BF22" s="136">
        <f t="shared" si="14"/>
        <v>-3944.2999999999993</v>
      </c>
    </row>
    <row r="23" spans="1:58" ht="13.5" hidden="1" thickBot="1">
      <c r="A23" s="140" t="s">
        <v>39</v>
      </c>
      <c r="B23" s="92">
        <v>4317.6</v>
      </c>
      <c r="C23" s="148">
        <f t="shared" si="1"/>
        <v>37347.240000000005</v>
      </c>
      <c r="D23" s="149">
        <f t="shared" si="15"/>
        <v>3264.620000000006</v>
      </c>
      <c r="E23" s="99">
        <f>3090.88+0.02</f>
        <v>3090.9</v>
      </c>
      <c r="F23" s="93">
        <v>842.9</v>
      </c>
      <c r="G23" s="93">
        <f>4186.49-0.01</f>
        <v>4186.48</v>
      </c>
      <c r="H23" s="93">
        <v>1142.55</v>
      </c>
      <c r="I23" s="93">
        <f>10059.3+0.01</f>
        <v>10059.31</v>
      </c>
      <c r="J23" s="93">
        <v>2743.95</v>
      </c>
      <c r="K23" s="93">
        <f>6968.4-0.01</f>
        <v>6968.389999999999</v>
      </c>
      <c r="L23" s="93">
        <v>1901.12</v>
      </c>
      <c r="M23" s="93">
        <f>2472.76-0.01</f>
        <v>2472.75</v>
      </c>
      <c r="N23" s="100">
        <v>674.27</v>
      </c>
      <c r="O23" s="100">
        <v>0</v>
      </c>
      <c r="P23" s="100">
        <v>0</v>
      </c>
      <c r="Q23" s="93">
        <v>0</v>
      </c>
      <c r="R23" s="93">
        <v>0</v>
      </c>
      <c r="S23" s="93">
        <f t="shared" si="2"/>
        <v>26777.829999999998</v>
      </c>
      <c r="T23" s="150">
        <f t="shared" si="3"/>
        <v>7304.79</v>
      </c>
      <c r="U23" s="101">
        <f>2573.61+1074.65</f>
        <v>3648.26</v>
      </c>
      <c r="V23" s="93">
        <f>3484.1+1455.74</f>
        <v>4939.84</v>
      </c>
      <c r="W23" s="93">
        <f>8366.13+3497.65</f>
        <v>11863.779999999999</v>
      </c>
      <c r="X23" s="93">
        <f>5800.39+2422.95</f>
        <v>8223.34</v>
      </c>
      <c r="Y23" s="93">
        <f>2058.87+859.75</f>
        <v>2918.62</v>
      </c>
      <c r="Z23" s="100">
        <v>0</v>
      </c>
      <c r="AA23" s="100">
        <v>0</v>
      </c>
      <c r="AB23" s="100">
        <f t="shared" si="20"/>
        <v>31593.839999999997</v>
      </c>
      <c r="AC23" s="151">
        <f>AB23+T23+D23</f>
        <v>42163.25</v>
      </c>
      <c r="AD23" s="152">
        <f t="shared" si="6"/>
        <v>0</v>
      </c>
      <c r="AE23" s="152">
        <f t="shared" si="7"/>
        <v>0</v>
      </c>
      <c r="AF23" s="152"/>
      <c r="AG23" s="25">
        <f t="shared" si="16"/>
        <v>2590.56</v>
      </c>
      <c r="AH23" s="25">
        <f>B23*0.2</f>
        <v>863.5200000000001</v>
      </c>
      <c r="AI23" s="25">
        <f>0.847*B23</f>
        <v>3657.0072</v>
      </c>
      <c r="AJ23" s="25">
        <f t="shared" si="21"/>
        <v>658.261296</v>
      </c>
      <c r="AK23" s="25">
        <f>0.83*B23</f>
        <v>3583.608</v>
      </c>
      <c r="AL23" s="25">
        <f t="shared" si="22"/>
        <v>645.04944</v>
      </c>
      <c r="AM23" s="25">
        <f>(2.25/1.18)*B23</f>
        <v>8232.71186440678</v>
      </c>
      <c r="AN23" s="25">
        <f t="shared" si="23"/>
        <v>1481.8881355932203</v>
      </c>
      <c r="AO23" s="25"/>
      <c r="AP23" s="25">
        <f t="shared" si="24"/>
        <v>0</v>
      </c>
      <c r="AQ23" s="153"/>
      <c r="AR23" s="153">
        <f t="shared" si="25"/>
        <v>0</v>
      </c>
      <c r="AS23" s="98">
        <v>250.25</v>
      </c>
      <c r="AT23" s="98"/>
      <c r="AU23" s="98">
        <f t="shared" si="26"/>
        <v>45.045</v>
      </c>
      <c r="AV23" s="154">
        <v>425</v>
      </c>
      <c r="AW23" s="155">
        <v>2.75</v>
      </c>
      <c r="AX23" s="25">
        <f t="shared" si="27"/>
        <v>1544.6200000000001</v>
      </c>
      <c r="AY23" s="156"/>
      <c r="AZ23" s="174"/>
      <c r="BA23" s="157">
        <f t="shared" si="17"/>
        <v>0</v>
      </c>
      <c r="BB23" s="157">
        <f>SUM(AG23:AU23)+AX23+AY23+AZ23+BA23</f>
        <v>23552.520935999997</v>
      </c>
      <c r="BC23" s="170"/>
      <c r="BD23" s="141">
        <f t="shared" si="18"/>
        <v>23552.520935999997</v>
      </c>
      <c r="BE23" s="136">
        <f t="shared" si="19"/>
        <v>18610.729064000003</v>
      </c>
      <c r="BF23" s="136">
        <f t="shared" si="14"/>
        <v>4816.009999999998</v>
      </c>
    </row>
    <row r="24" spans="1:58" ht="13.5" hidden="1" thickBot="1">
      <c r="A24" s="14" t="s">
        <v>40</v>
      </c>
      <c r="B24" s="159">
        <v>4330.6</v>
      </c>
      <c r="C24" s="148">
        <f t="shared" si="1"/>
        <v>37459.69</v>
      </c>
      <c r="D24" s="149">
        <f t="shared" si="15"/>
        <v>3377.069999999994</v>
      </c>
      <c r="E24" s="93">
        <v>3096.66</v>
      </c>
      <c r="F24" s="93">
        <v>837.14</v>
      </c>
      <c r="G24" s="93">
        <v>4194.29</v>
      </c>
      <c r="H24" s="93">
        <v>1134.74</v>
      </c>
      <c r="I24" s="93">
        <v>10078.06</v>
      </c>
      <c r="J24" s="93">
        <v>2725.2</v>
      </c>
      <c r="K24" s="93">
        <v>6981.38</v>
      </c>
      <c r="L24" s="93">
        <v>1888.13</v>
      </c>
      <c r="M24" s="90">
        <v>2477.36</v>
      </c>
      <c r="N24" s="94">
        <v>669.66</v>
      </c>
      <c r="O24" s="100">
        <v>0</v>
      </c>
      <c r="P24" s="100">
        <v>0</v>
      </c>
      <c r="Q24" s="100">
        <v>0</v>
      </c>
      <c r="R24" s="100">
        <v>0</v>
      </c>
      <c r="S24" s="93">
        <f t="shared" si="2"/>
        <v>26827.75</v>
      </c>
      <c r="T24" s="150">
        <f t="shared" si="3"/>
        <v>7254.87</v>
      </c>
      <c r="U24" s="93">
        <v>3651.7</v>
      </c>
      <c r="V24" s="93">
        <v>4944.12</v>
      </c>
      <c r="W24" s="93">
        <v>11881.59</v>
      </c>
      <c r="X24" s="93">
        <v>8230.68</v>
      </c>
      <c r="Y24" s="93">
        <v>2921.49</v>
      </c>
      <c r="Z24" s="93">
        <v>0</v>
      </c>
      <c r="AA24" s="100">
        <v>0</v>
      </c>
      <c r="AB24" s="100">
        <f t="shared" si="20"/>
        <v>31629.58</v>
      </c>
      <c r="AC24" s="151">
        <f>D24+T24+AB24</f>
        <v>42261.52</v>
      </c>
      <c r="AD24" s="152">
        <f t="shared" si="6"/>
        <v>0</v>
      </c>
      <c r="AE24" s="152">
        <f t="shared" si="7"/>
        <v>0</v>
      </c>
      <c r="AF24" s="152"/>
      <c r="AG24" s="25">
        <f t="shared" si="16"/>
        <v>2598.36</v>
      </c>
      <c r="AH24" s="25">
        <f>B24*0.2</f>
        <v>866.1200000000001</v>
      </c>
      <c r="AI24" s="25">
        <f>0.85*B24</f>
        <v>3681.01</v>
      </c>
      <c r="AJ24" s="25">
        <f t="shared" si="21"/>
        <v>662.5818</v>
      </c>
      <c r="AK24" s="25">
        <f>0.83*B24</f>
        <v>3594.398</v>
      </c>
      <c r="AL24" s="25">
        <f t="shared" si="22"/>
        <v>646.99164</v>
      </c>
      <c r="AM24" s="25">
        <f>(1.91)*B24</f>
        <v>8271.446</v>
      </c>
      <c r="AN24" s="25">
        <f t="shared" si="23"/>
        <v>1488.8602799999999</v>
      </c>
      <c r="AO24" s="25"/>
      <c r="AP24" s="25">
        <f t="shared" si="24"/>
        <v>0</v>
      </c>
      <c r="AQ24" s="153"/>
      <c r="AR24" s="153">
        <f t="shared" si="25"/>
        <v>0</v>
      </c>
      <c r="AS24" s="98">
        <v>1259</v>
      </c>
      <c r="AT24" s="98"/>
      <c r="AU24" s="98">
        <f t="shared" si="26"/>
        <v>226.62</v>
      </c>
      <c r="AV24" s="154">
        <v>470</v>
      </c>
      <c r="AW24" s="155">
        <v>2.75</v>
      </c>
      <c r="AX24" s="25">
        <f t="shared" si="27"/>
        <v>1708.1680000000001</v>
      </c>
      <c r="AY24" s="156"/>
      <c r="AZ24" s="157"/>
      <c r="BA24" s="157">
        <f t="shared" si="17"/>
        <v>0</v>
      </c>
      <c r="BB24" s="157">
        <f>SUM(AG24:AU24)+AX24+AY24+AZ24+BA24</f>
        <v>25003.555720000004</v>
      </c>
      <c r="BC24" s="158"/>
      <c r="BD24" s="62">
        <f t="shared" si="18"/>
        <v>25003.555720000004</v>
      </c>
      <c r="BE24" s="136">
        <f t="shared" si="19"/>
        <v>17257.964279999993</v>
      </c>
      <c r="BF24" s="136">
        <f t="shared" si="14"/>
        <v>4801.830000000002</v>
      </c>
    </row>
    <row r="25" spans="1:58" s="114" customFormat="1" ht="13.5" hidden="1" thickBot="1">
      <c r="A25" s="113" t="s">
        <v>41</v>
      </c>
      <c r="B25" s="92">
        <v>4329.2</v>
      </c>
      <c r="C25" s="148">
        <f t="shared" si="1"/>
        <v>37447.58</v>
      </c>
      <c r="D25" s="149">
        <f t="shared" si="15"/>
        <v>3355.720000000004</v>
      </c>
      <c r="E25" s="93">
        <v>3099.81</v>
      </c>
      <c r="F25" s="93">
        <v>835.1</v>
      </c>
      <c r="G25" s="93">
        <v>4198.43</v>
      </c>
      <c r="H25" s="93">
        <v>1131.97</v>
      </c>
      <c r="I25" s="93">
        <v>10088.19</v>
      </c>
      <c r="J25" s="93">
        <v>2718.56</v>
      </c>
      <c r="K25" s="93">
        <v>6988.36</v>
      </c>
      <c r="L25" s="93">
        <v>1883.53</v>
      </c>
      <c r="M25" s="90">
        <v>2479.88</v>
      </c>
      <c r="N25" s="94">
        <v>668.03</v>
      </c>
      <c r="O25" s="100">
        <v>0</v>
      </c>
      <c r="P25" s="100">
        <v>0</v>
      </c>
      <c r="Q25" s="100"/>
      <c r="R25" s="100"/>
      <c r="S25" s="93">
        <f t="shared" si="2"/>
        <v>26854.670000000002</v>
      </c>
      <c r="T25" s="150">
        <f t="shared" si="3"/>
        <v>7237.1900000000005</v>
      </c>
      <c r="U25" s="93">
        <v>3325.82</v>
      </c>
      <c r="V25" s="93">
        <v>4504.15</v>
      </c>
      <c r="W25" s="93">
        <v>10822.87</v>
      </c>
      <c r="X25" s="93">
        <v>7497.57</v>
      </c>
      <c r="Y25" s="93">
        <v>2660.67</v>
      </c>
      <c r="Z25" s="93">
        <v>0</v>
      </c>
      <c r="AA25" s="100">
        <v>0</v>
      </c>
      <c r="AB25" s="100">
        <f t="shared" si="20"/>
        <v>28811.08</v>
      </c>
      <c r="AC25" s="151">
        <f>D25+T25+AB25</f>
        <v>39403.990000000005</v>
      </c>
      <c r="AD25" s="152">
        <f t="shared" si="6"/>
        <v>0</v>
      </c>
      <c r="AE25" s="152">
        <f t="shared" si="7"/>
        <v>0</v>
      </c>
      <c r="AF25" s="152"/>
      <c r="AG25" s="25">
        <f t="shared" si="16"/>
        <v>2597.52</v>
      </c>
      <c r="AH25" s="25">
        <f>B25*0.2</f>
        <v>865.84</v>
      </c>
      <c r="AI25" s="25">
        <f>0.85*B25</f>
        <v>3679.8199999999997</v>
      </c>
      <c r="AJ25" s="25">
        <f t="shared" si="21"/>
        <v>662.3675999999999</v>
      </c>
      <c r="AK25" s="25">
        <f>0.83*B25</f>
        <v>3593.236</v>
      </c>
      <c r="AL25" s="25">
        <f t="shared" si="22"/>
        <v>646.78248</v>
      </c>
      <c r="AM25" s="25">
        <f>(1.91)*B25</f>
        <v>8268.771999999999</v>
      </c>
      <c r="AN25" s="25">
        <f t="shared" si="23"/>
        <v>1488.3789599999998</v>
      </c>
      <c r="AO25" s="25"/>
      <c r="AP25" s="25">
        <f t="shared" si="24"/>
        <v>0</v>
      </c>
      <c r="AQ25" s="153"/>
      <c r="AR25" s="153">
        <f t="shared" si="25"/>
        <v>0</v>
      </c>
      <c r="AS25" s="98">
        <v>5438</v>
      </c>
      <c r="AT25" s="98"/>
      <c r="AU25" s="98">
        <f t="shared" si="26"/>
        <v>978.8399999999999</v>
      </c>
      <c r="AV25" s="154">
        <v>514</v>
      </c>
      <c r="AW25" s="155">
        <v>2.75</v>
      </c>
      <c r="AX25" s="25">
        <f t="shared" si="27"/>
        <v>1868.0816</v>
      </c>
      <c r="AY25" s="156"/>
      <c r="AZ25" s="157"/>
      <c r="BA25" s="157">
        <f t="shared" si="17"/>
        <v>0</v>
      </c>
      <c r="BB25" s="157">
        <f>SUM(AG25:BA25)-AV25-AW25</f>
        <v>30087.638639999997</v>
      </c>
      <c r="BC25" s="158"/>
      <c r="BD25" s="91">
        <f t="shared" si="18"/>
        <v>30087.638639999997</v>
      </c>
      <c r="BE25" s="136">
        <f t="shared" si="19"/>
        <v>9316.351360000008</v>
      </c>
      <c r="BF25" s="136">
        <f t="shared" si="14"/>
        <v>1956.4099999999999</v>
      </c>
    </row>
    <row r="26" spans="1:58" s="24" customFormat="1" ht="12.75" hidden="1">
      <c r="A26" s="19" t="s">
        <v>3</v>
      </c>
      <c r="B26" s="20"/>
      <c r="C26" s="20">
        <f>SUM(C14:C25)</f>
        <v>448322.58</v>
      </c>
      <c r="D26" s="20">
        <f aca="true" t="shared" si="28" ref="D26:BF26">SUM(D14:D25)</f>
        <v>45039.04250000001</v>
      </c>
      <c r="E26" s="20">
        <f t="shared" si="28"/>
        <v>35290.61</v>
      </c>
      <c r="F26" s="20">
        <f t="shared" si="28"/>
        <v>10198.37</v>
      </c>
      <c r="G26" s="20">
        <f t="shared" si="28"/>
        <v>47751.869999999995</v>
      </c>
      <c r="H26" s="20">
        <f t="shared" si="28"/>
        <v>13806.039999999999</v>
      </c>
      <c r="I26" s="20">
        <f t="shared" si="28"/>
        <v>114805.06</v>
      </c>
      <c r="J26" s="20">
        <f t="shared" si="28"/>
        <v>33181.93</v>
      </c>
      <c r="K26" s="20">
        <f t="shared" si="28"/>
        <v>79514.16</v>
      </c>
      <c r="L26" s="20">
        <f t="shared" si="28"/>
        <v>22984.179999999997</v>
      </c>
      <c r="M26" s="20">
        <f t="shared" si="28"/>
        <v>28232.850000000002</v>
      </c>
      <c r="N26" s="20">
        <f t="shared" si="28"/>
        <v>8158.14</v>
      </c>
      <c r="O26" s="20">
        <f t="shared" si="28"/>
        <v>0</v>
      </c>
      <c r="P26" s="20">
        <f t="shared" si="28"/>
        <v>0</v>
      </c>
      <c r="Q26" s="20">
        <f t="shared" si="28"/>
        <v>0</v>
      </c>
      <c r="R26" s="20">
        <f t="shared" si="28"/>
        <v>0</v>
      </c>
      <c r="S26" s="20">
        <f t="shared" si="28"/>
        <v>305594.55</v>
      </c>
      <c r="T26" s="20">
        <f t="shared" si="28"/>
        <v>88328.65999999999</v>
      </c>
      <c r="U26" s="20">
        <f t="shared" si="28"/>
        <v>33879.520000000004</v>
      </c>
      <c r="V26" s="20">
        <f t="shared" si="28"/>
        <v>45826.060000000005</v>
      </c>
      <c r="W26" s="20">
        <f t="shared" si="28"/>
        <v>109888.54</v>
      </c>
      <c r="X26" s="20">
        <f t="shared" si="28"/>
        <v>76317.20999999999</v>
      </c>
      <c r="Y26" s="20">
        <f t="shared" si="28"/>
        <v>27103.379999999997</v>
      </c>
      <c r="Z26" s="20">
        <f t="shared" si="28"/>
        <v>0</v>
      </c>
      <c r="AA26" s="20">
        <f t="shared" si="28"/>
        <v>0</v>
      </c>
      <c r="AB26" s="20">
        <f t="shared" si="28"/>
        <v>293014.71</v>
      </c>
      <c r="AC26" s="20">
        <f t="shared" si="28"/>
        <v>426382.41250000003</v>
      </c>
      <c r="AD26" s="20">
        <f t="shared" si="28"/>
        <v>0</v>
      </c>
      <c r="AE26" s="20">
        <f t="shared" si="28"/>
        <v>0</v>
      </c>
      <c r="AF26" s="20">
        <f t="shared" si="28"/>
        <v>0</v>
      </c>
      <c r="AG26" s="20">
        <f t="shared" si="28"/>
        <v>30061.560000000005</v>
      </c>
      <c r="AH26" s="20">
        <f t="shared" si="28"/>
        <v>10064.598494200001</v>
      </c>
      <c r="AI26" s="20">
        <f t="shared" si="28"/>
        <v>42027.3279305</v>
      </c>
      <c r="AJ26" s="20">
        <f t="shared" si="28"/>
        <v>7564.919027489999</v>
      </c>
      <c r="AK26" s="20">
        <f t="shared" si="28"/>
        <v>40850.714244979994</v>
      </c>
      <c r="AL26" s="20">
        <f t="shared" si="28"/>
        <v>7353.128564096399</v>
      </c>
      <c r="AM26" s="20">
        <f t="shared" si="28"/>
        <v>93993.52279270678</v>
      </c>
      <c r="AN26" s="20">
        <f t="shared" si="28"/>
        <v>16918.83410268722</v>
      </c>
      <c r="AO26" s="20">
        <f t="shared" si="28"/>
        <v>0</v>
      </c>
      <c r="AP26" s="20">
        <f t="shared" si="28"/>
        <v>0</v>
      </c>
      <c r="AQ26" s="142">
        <f t="shared" si="28"/>
        <v>0</v>
      </c>
      <c r="AR26" s="142">
        <f t="shared" si="28"/>
        <v>0</v>
      </c>
      <c r="AS26" s="21">
        <f t="shared" si="28"/>
        <v>68487.87</v>
      </c>
      <c r="AT26" s="21">
        <f t="shared" si="28"/>
        <v>0</v>
      </c>
      <c r="AU26" s="21">
        <f t="shared" si="28"/>
        <v>12327.826600000002</v>
      </c>
      <c r="AV26" s="20">
        <f t="shared" si="28"/>
        <v>4400</v>
      </c>
      <c r="AW26" s="20">
        <f t="shared" si="28"/>
        <v>33</v>
      </c>
      <c r="AX26" s="20">
        <f t="shared" si="28"/>
        <v>15991.358</v>
      </c>
      <c r="AY26" s="20">
        <f t="shared" si="28"/>
        <v>0</v>
      </c>
      <c r="AZ26" s="20">
        <f t="shared" si="28"/>
        <v>0</v>
      </c>
      <c r="BA26" s="20">
        <f t="shared" si="28"/>
        <v>0</v>
      </c>
      <c r="BB26" s="20">
        <f t="shared" si="28"/>
        <v>345641.6597566604</v>
      </c>
      <c r="BC26" s="20">
        <f t="shared" si="28"/>
        <v>0</v>
      </c>
      <c r="BD26" s="20">
        <f t="shared" si="28"/>
        <v>300203.01535818045</v>
      </c>
      <c r="BE26" s="20">
        <f t="shared" si="28"/>
        <v>80740.7527433396</v>
      </c>
      <c r="BF26" s="143">
        <f t="shared" si="28"/>
        <v>-12579.839999999993</v>
      </c>
    </row>
    <row r="27" spans="1:58" s="24" customFormat="1" ht="12.75" hidden="1">
      <c r="A27" s="19"/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/>
      <c r="V27" s="22"/>
      <c r="W27" s="22"/>
      <c r="X27" s="22"/>
      <c r="Y27" s="22"/>
      <c r="Z27" s="22"/>
      <c r="AA27" s="22"/>
      <c r="AB27" s="22"/>
      <c r="AC27" s="22"/>
      <c r="AD27" s="103"/>
      <c r="AE27" s="10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86"/>
      <c r="AQ27" s="144"/>
      <c r="AR27" s="144"/>
      <c r="AS27" s="86"/>
      <c r="AT27" s="86"/>
      <c r="AU27" s="86"/>
      <c r="AV27" s="23"/>
      <c r="AW27" s="23"/>
      <c r="AX27" s="102"/>
      <c r="AY27" s="58"/>
      <c r="AZ27" s="58"/>
      <c r="BA27" s="58"/>
      <c r="BB27" s="58"/>
      <c r="BC27" s="58"/>
      <c r="BD27" s="58"/>
      <c r="BE27" s="58"/>
      <c r="BF27" s="145"/>
    </row>
    <row r="28" spans="1:58" s="24" customFormat="1" ht="13.5" hidden="1" thickBot="1">
      <c r="A28" s="27" t="s">
        <v>52</v>
      </c>
      <c r="B28" s="28"/>
      <c r="C28" s="28">
        <f>C12+C26</f>
        <v>560335.755</v>
      </c>
      <c r="D28" s="28">
        <f aca="true" t="shared" si="29" ref="D28:BF28">D12+D26</f>
        <v>72000.98709975001</v>
      </c>
      <c r="E28" s="28">
        <f t="shared" si="29"/>
        <v>43470.23</v>
      </c>
      <c r="F28" s="28">
        <f t="shared" si="29"/>
        <v>12639.79</v>
      </c>
      <c r="G28" s="28">
        <f t="shared" si="29"/>
        <v>58794.649999999994</v>
      </c>
      <c r="H28" s="28">
        <f t="shared" si="29"/>
        <v>17101.96</v>
      </c>
      <c r="I28" s="28">
        <f t="shared" si="29"/>
        <v>141395.34</v>
      </c>
      <c r="J28" s="28">
        <f t="shared" si="29"/>
        <v>41116.54</v>
      </c>
      <c r="K28" s="28">
        <f t="shared" si="29"/>
        <v>97918.45000000001</v>
      </c>
      <c r="L28" s="28">
        <f t="shared" si="29"/>
        <v>28477.399999999994</v>
      </c>
      <c r="M28" s="28">
        <f t="shared" si="29"/>
        <v>34757.560000000005</v>
      </c>
      <c r="N28" s="28">
        <f t="shared" si="29"/>
        <v>10111.26</v>
      </c>
      <c r="O28" s="28">
        <f t="shared" si="29"/>
        <v>0</v>
      </c>
      <c r="P28" s="28">
        <f t="shared" si="29"/>
        <v>0</v>
      </c>
      <c r="Q28" s="28">
        <f t="shared" si="29"/>
        <v>0</v>
      </c>
      <c r="R28" s="28">
        <f t="shared" si="29"/>
        <v>0</v>
      </c>
      <c r="S28" s="28">
        <f t="shared" si="29"/>
        <v>376336.23</v>
      </c>
      <c r="T28" s="28">
        <f t="shared" si="29"/>
        <v>109446.94999999998</v>
      </c>
      <c r="U28" s="28">
        <f t="shared" si="29"/>
        <v>38671.21000000001</v>
      </c>
      <c r="V28" s="28">
        <f t="shared" si="29"/>
        <v>52295.270000000004</v>
      </c>
      <c r="W28" s="28">
        <f t="shared" si="29"/>
        <v>125781.22</v>
      </c>
      <c r="X28" s="28">
        <f t="shared" si="29"/>
        <v>87099.62999999999</v>
      </c>
      <c r="Y28" s="28">
        <f t="shared" si="29"/>
        <v>30918.379999999997</v>
      </c>
      <c r="Z28" s="28">
        <f t="shared" si="29"/>
        <v>0</v>
      </c>
      <c r="AA28" s="28">
        <f t="shared" si="29"/>
        <v>0</v>
      </c>
      <c r="AB28" s="28">
        <f t="shared" si="29"/>
        <v>334765.71</v>
      </c>
      <c r="AC28" s="28">
        <f t="shared" si="29"/>
        <v>516213.64709975006</v>
      </c>
      <c r="AD28" s="28">
        <f t="shared" si="29"/>
        <v>0</v>
      </c>
      <c r="AE28" s="28">
        <f t="shared" si="29"/>
        <v>0</v>
      </c>
      <c r="AF28" s="28">
        <f t="shared" si="29"/>
        <v>0</v>
      </c>
      <c r="AG28" s="28">
        <f t="shared" si="29"/>
        <v>37831.26000000001</v>
      </c>
      <c r="AH28" s="28">
        <f t="shared" si="29"/>
        <v>12730.900544200002</v>
      </c>
      <c r="AI28" s="28">
        <f t="shared" si="29"/>
        <v>53046.987110500006</v>
      </c>
      <c r="AJ28" s="28">
        <f>AJ12+AJ26</f>
        <v>9548.45767989</v>
      </c>
      <c r="AK28" s="28">
        <f t="shared" si="29"/>
        <v>53674.13445977999</v>
      </c>
      <c r="AL28" s="28">
        <f t="shared" si="29"/>
        <v>9661.3442027604</v>
      </c>
      <c r="AM28" s="28">
        <f t="shared" si="29"/>
        <v>117544.12722565678</v>
      </c>
      <c r="AN28" s="28">
        <f t="shared" si="29"/>
        <v>21157.942900618218</v>
      </c>
      <c r="AO28" s="28">
        <f t="shared" si="29"/>
        <v>0</v>
      </c>
      <c r="AP28" s="28">
        <f t="shared" si="29"/>
        <v>0</v>
      </c>
      <c r="AQ28" s="146">
        <f t="shared" si="29"/>
        <v>0</v>
      </c>
      <c r="AR28" s="146">
        <f t="shared" si="29"/>
        <v>0</v>
      </c>
      <c r="AS28" s="147">
        <f t="shared" si="29"/>
        <v>91345.41</v>
      </c>
      <c r="AT28" s="147">
        <f t="shared" si="29"/>
        <v>0</v>
      </c>
      <c r="AU28" s="147">
        <f t="shared" si="29"/>
        <v>16442.183800000003</v>
      </c>
      <c r="AV28" s="28">
        <f t="shared" si="29"/>
        <v>4400</v>
      </c>
      <c r="AW28" s="28">
        <f t="shared" si="29"/>
        <v>33</v>
      </c>
      <c r="AX28" s="28">
        <f t="shared" si="29"/>
        <v>15991.358</v>
      </c>
      <c r="AY28" s="28">
        <f t="shared" si="29"/>
        <v>0</v>
      </c>
      <c r="AZ28" s="28">
        <f t="shared" si="29"/>
        <v>0</v>
      </c>
      <c r="BA28" s="28">
        <f t="shared" si="29"/>
        <v>0</v>
      </c>
      <c r="BB28" s="28">
        <f t="shared" si="29"/>
        <v>438974.1059234054</v>
      </c>
      <c r="BC28" s="28">
        <f t="shared" si="29"/>
        <v>0</v>
      </c>
      <c r="BD28" s="28">
        <f t="shared" si="29"/>
        <v>393535.4615249254</v>
      </c>
      <c r="BE28" s="28">
        <f t="shared" si="29"/>
        <v>77239.54117634462</v>
      </c>
      <c r="BF28" s="28">
        <f t="shared" si="29"/>
        <v>-41570.51999999999</v>
      </c>
    </row>
    <row r="29" spans="1:58" ht="15" customHeight="1" hidden="1">
      <c r="A29" s="8" t="s">
        <v>91</v>
      </c>
      <c r="B29" s="79"/>
      <c r="C29" s="120"/>
      <c r="D29" s="120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  <c r="P29" s="123"/>
      <c r="Q29" s="124"/>
      <c r="R29" s="124"/>
      <c r="S29" s="124"/>
      <c r="T29" s="124"/>
      <c r="U29" s="125"/>
      <c r="V29" s="125"/>
      <c r="W29" s="125"/>
      <c r="X29" s="125"/>
      <c r="Y29" s="125"/>
      <c r="Z29" s="125"/>
      <c r="AA29" s="126"/>
      <c r="AB29" s="126"/>
      <c r="AC29" s="127"/>
      <c r="AD29" s="128"/>
      <c r="AE29" s="128"/>
      <c r="AF29" s="61"/>
      <c r="AG29" s="61"/>
      <c r="AH29" s="61"/>
      <c r="AI29" s="61"/>
      <c r="AJ29" s="61"/>
      <c r="AK29" s="61"/>
      <c r="AL29" s="61"/>
      <c r="AM29" s="61"/>
      <c r="AN29" s="80"/>
      <c r="AO29" s="80"/>
      <c r="AP29" s="80"/>
      <c r="AQ29" s="129"/>
      <c r="AR29" s="130"/>
      <c r="AS29" s="131"/>
      <c r="AT29" s="131"/>
      <c r="AU29" s="132"/>
      <c r="AV29" s="61"/>
      <c r="AW29" s="61"/>
      <c r="AX29" s="62"/>
      <c r="AY29" s="1"/>
      <c r="AZ29" s="1"/>
      <c r="BA29" s="1"/>
      <c r="BB29" s="1"/>
      <c r="BC29" s="1"/>
      <c r="BD29" s="1"/>
      <c r="BE29" s="1"/>
      <c r="BF29" s="111"/>
    </row>
    <row r="30" spans="1:58" ht="12.75" hidden="1">
      <c r="A30" s="14" t="s">
        <v>43</v>
      </c>
      <c r="B30" s="92">
        <v>4329.2</v>
      </c>
      <c r="C30" s="148">
        <f aca="true" t="shared" si="30" ref="C30:C41">B30*8.65</f>
        <v>37447.58</v>
      </c>
      <c r="D30" s="149">
        <f aca="true" t="shared" si="31" ref="D30:D41">C30-E30-F30-G30-H30-I30-J30-K30-L30-M30-N30</f>
        <v>3355.720000000004</v>
      </c>
      <c r="E30" s="93">
        <v>3099.81</v>
      </c>
      <c r="F30" s="93">
        <v>835.1</v>
      </c>
      <c r="G30" s="93">
        <v>4198.43</v>
      </c>
      <c r="H30" s="93">
        <v>1131.97</v>
      </c>
      <c r="I30" s="93">
        <v>10088.19</v>
      </c>
      <c r="J30" s="93">
        <v>2718.56</v>
      </c>
      <c r="K30" s="93">
        <v>6988.36</v>
      </c>
      <c r="L30" s="93">
        <v>1883.53</v>
      </c>
      <c r="M30" s="90">
        <v>2479.88</v>
      </c>
      <c r="N30" s="94">
        <v>668.03</v>
      </c>
      <c r="O30" s="100">
        <v>0</v>
      </c>
      <c r="P30" s="100">
        <v>0</v>
      </c>
      <c r="Q30" s="100"/>
      <c r="R30" s="100"/>
      <c r="S30" s="93">
        <f aca="true" t="shared" si="32" ref="S30:S41">E30+G30+I30+K30+M30+O30+Q30</f>
        <v>26854.670000000002</v>
      </c>
      <c r="T30" s="150">
        <f aca="true" t="shared" si="33" ref="T30:T41">P30+N30+L30+J30+H30+F30+R30</f>
        <v>7237.1900000000005</v>
      </c>
      <c r="U30" s="93">
        <v>2394.82</v>
      </c>
      <c r="V30" s="93">
        <v>3243.91</v>
      </c>
      <c r="W30" s="93">
        <v>7793.06</v>
      </c>
      <c r="X30" s="93">
        <v>5399.31</v>
      </c>
      <c r="Y30" s="93">
        <v>1915.92</v>
      </c>
      <c r="Z30" s="93">
        <v>0</v>
      </c>
      <c r="AA30" s="100">
        <v>0</v>
      </c>
      <c r="AB30" s="100">
        <f>SUM(U30:AA30)</f>
        <v>20747.020000000004</v>
      </c>
      <c r="AC30" s="151">
        <f aca="true" t="shared" si="34" ref="AC30:AC41">D30+T30+AB30</f>
        <v>31339.930000000008</v>
      </c>
      <c r="AD30" s="152">
        <f aca="true" t="shared" si="35" ref="AD30:AD41">P30+Z30</f>
        <v>0</v>
      </c>
      <c r="AE30" s="152">
        <f aca="true" t="shared" si="36" ref="AE30:AE41">R30+AA30</f>
        <v>0</v>
      </c>
      <c r="AF30" s="152"/>
      <c r="AG30" s="25">
        <f aca="true" t="shared" si="37" ref="AG30:AG41">0.6*B30</f>
        <v>2597.52</v>
      </c>
      <c r="AH30" s="25">
        <f aca="true" t="shared" si="38" ref="AH30:AH41">B30*0.2</f>
        <v>865.84</v>
      </c>
      <c r="AI30" s="25">
        <f aca="true" t="shared" si="39" ref="AI30:AI41">1*B30</f>
        <v>4329.2</v>
      </c>
      <c r="AJ30" s="25">
        <v>0</v>
      </c>
      <c r="AK30" s="25">
        <f aca="true" t="shared" si="40" ref="AK30:AK41">0.98*B30</f>
        <v>4242.616</v>
      </c>
      <c r="AL30" s="25">
        <v>0</v>
      </c>
      <c r="AM30" s="25">
        <f aca="true" t="shared" si="41" ref="AM30:AM41">2.25*B30</f>
        <v>9740.699999999999</v>
      </c>
      <c r="AN30" s="25">
        <v>0</v>
      </c>
      <c r="AO30" s="25"/>
      <c r="AP30" s="25">
        <v>0</v>
      </c>
      <c r="AQ30" s="153"/>
      <c r="AR30" s="153"/>
      <c r="AS30" s="98">
        <v>36815</v>
      </c>
      <c r="AT30" s="98"/>
      <c r="AU30" s="98">
        <f aca="true" t="shared" si="42" ref="AU30:AU41">AT30*0.18</f>
        <v>0</v>
      </c>
      <c r="AV30" s="154">
        <v>508</v>
      </c>
      <c r="AW30" s="155">
        <v>2.75</v>
      </c>
      <c r="AX30" s="25">
        <f aca="true" t="shared" si="43" ref="AX30:AX41">AV30*AW30*1.4</f>
        <v>1955.8</v>
      </c>
      <c r="AY30" s="156"/>
      <c r="AZ30" s="157"/>
      <c r="BA30" s="157">
        <f aca="true" t="shared" si="44" ref="BA30:BA41">AZ30*0.18</f>
        <v>0</v>
      </c>
      <c r="BB30" s="157">
        <f aca="true" t="shared" si="45" ref="BB30:BB41">SUM(AG30:BA30)-AV30-AW30</f>
        <v>60546.676</v>
      </c>
      <c r="BC30" s="158"/>
      <c r="BD30" s="133"/>
      <c r="BE30" s="115">
        <f>(AC30-BB30)+(AF30-BC30)</f>
        <v>-29206.745999999992</v>
      </c>
      <c r="BF30" s="115">
        <f>AB30-S30</f>
        <v>-6107.649999999998</v>
      </c>
    </row>
    <row r="31" spans="1:58" ht="12.75" hidden="1">
      <c r="A31" s="14" t="s">
        <v>44</v>
      </c>
      <c r="B31" s="159">
        <v>4316.2</v>
      </c>
      <c r="C31" s="148">
        <f t="shared" si="30"/>
        <v>37335.13</v>
      </c>
      <c r="D31" s="149">
        <f t="shared" si="31"/>
        <v>3326.680000000001</v>
      </c>
      <c r="E31" s="175">
        <v>3089.95</v>
      </c>
      <c r="F31" s="176">
        <v>835.1</v>
      </c>
      <c r="G31" s="176">
        <v>4185.75</v>
      </c>
      <c r="H31" s="176">
        <v>1131.97</v>
      </c>
      <c r="I31" s="176">
        <v>10056.79</v>
      </c>
      <c r="J31" s="176">
        <v>2718.56</v>
      </c>
      <c r="K31" s="176">
        <v>6966.82</v>
      </c>
      <c r="L31" s="176">
        <v>1883.53</v>
      </c>
      <c r="M31" s="177">
        <v>2471.95</v>
      </c>
      <c r="N31" s="178">
        <v>668.03</v>
      </c>
      <c r="O31" s="179">
        <v>0</v>
      </c>
      <c r="P31" s="179">
        <v>0</v>
      </c>
      <c r="Q31" s="179">
        <v>0</v>
      </c>
      <c r="R31" s="179">
        <v>0</v>
      </c>
      <c r="S31" s="93">
        <f t="shared" si="32"/>
        <v>26771.260000000002</v>
      </c>
      <c r="T31" s="150">
        <f t="shared" si="33"/>
        <v>7237.1900000000005</v>
      </c>
      <c r="U31" s="93">
        <v>2613.47</v>
      </c>
      <c r="V31" s="93">
        <v>3539.34</v>
      </c>
      <c r="W31" s="93">
        <v>8504.36</v>
      </c>
      <c r="X31" s="93">
        <v>5891.46</v>
      </c>
      <c r="Y31" s="93">
        <v>2090.79</v>
      </c>
      <c r="Z31" s="93">
        <v>0</v>
      </c>
      <c r="AA31" s="100">
        <v>0</v>
      </c>
      <c r="AB31" s="100">
        <f>SUM(U31:AA31)</f>
        <v>22639.420000000002</v>
      </c>
      <c r="AC31" s="151">
        <f t="shared" si="34"/>
        <v>33203.29000000001</v>
      </c>
      <c r="AD31" s="152">
        <f t="shared" si="35"/>
        <v>0</v>
      </c>
      <c r="AE31" s="152">
        <f t="shared" si="36"/>
        <v>0</v>
      </c>
      <c r="AF31" s="152"/>
      <c r="AG31" s="25">
        <f t="shared" si="37"/>
        <v>2589.72</v>
      </c>
      <c r="AH31" s="25">
        <f t="shared" si="38"/>
        <v>863.24</v>
      </c>
      <c r="AI31" s="25">
        <f t="shared" si="39"/>
        <v>4316.2</v>
      </c>
      <c r="AJ31" s="25">
        <v>0</v>
      </c>
      <c r="AK31" s="25">
        <f t="shared" si="40"/>
        <v>4229.875999999999</v>
      </c>
      <c r="AL31" s="25">
        <v>0</v>
      </c>
      <c r="AM31" s="25">
        <f t="shared" si="41"/>
        <v>9711.449999999999</v>
      </c>
      <c r="AN31" s="25">
        <v>0</v>
      </c>
      <c r="AO31" s="25">
        <f>865.8*5.4</f>
        <v>4675.32</v>
      </c>
      <c r="AP31" s="25"/>
      <c r="AQ31" s="153"/>
      <c r="AR31" s="153"/>
      <c r="AS31" s="98">
        <v>1110</v>
      </c>
      <c r="AT31" s="98"/>
      <c r="AU31" s="98">
        <f t="shared" si="42"/>
        <v>0</v>
      </c>
      <c r="AV31" s="154">
        <v>407</v>
      </c>
      <c r="AW31" s="155">
        <v>2.75</v>
      </c>
      <c r="AX31" s="25">
        <f t="shared" si="43"/>
        <v>1566.9499999999998</v>
      </c>
      <c r="AY31" s="156"/>
      <c r="AZ31" s="157"/>
      <c r="BA31" s="157">
        <f t="shared" si="44"/>
        <v>0</v>
      </c>
      <c r="BB31" s="157">
        <f t="shared" si="45"/>
        <v>29062.755999999998</v>
      </c>
      <c r="BC31" s="158"/>
      <c r="BD31" s="133"/>
      <c r="BE31" s="115">
        <f aca="true" t="shared" si="46" ref="BE31:BE41">(AC31-BB31)+(AF31-BC31)</f>
        <v>4140.534000000011</v>
      </c>
      <c r="BF31" s="115">
        <f aca="true" t="shared" si="47" ref="BF31:BF41">AB31-S31</f>
        <v>-4131.84</v>
      </c>
    </row>
    <row r="32" spans="1:58" ht="13.5" hidden="1" thickBot="1">
      <c r="A32" s="134" t="s">
        <v>45</v>
      </c>
      <c r="B32" s="92">
        <v>4316.2</v>
      </c>
      <c r="C32" s="148">
        <f t="shared" si="30"/>
        <v>37335.13</v>
      </c>
      <c r="D32" s="149">
        <f t="shared" si="31"/>
        <v>3291.26</v>
      </c>
      <c r="E32" s="93">
        <v>3094.17</v>
      </c>
      <c r="F32" s="93">
        <v>835.1</v>
      </c>
      <c r="G32" s="93">
        <v>4191.08</v>
      </c>
      <c r="H32" s="93">
        <v>1131.97</v>
      </c>
      <c r="I32" s="93">
        <v>10070.13</v>
      </c>
      <c r="J32" s="93">
        <v>2718.56</v>
      </c>
      <c r="K32" s="93">
        <v>6975.94</v>
      </c>
      <c r="L32" s="93">
        <v>1883.53</v>
      </c>
      <c r="M32" s="90">
        <v>2475.36</v>
      </c>
      <c r="N32" s="94">
        <v>668.03</v>
      </c>
      <c r="O32" s="100">
        <v>0</v>
      </c>
      <c r="P32" s="100">
        <v>0</v>
      </c>
      <c r="Q32" s="100">
        <v>0</v>
      </c>
      <c r="R32" s="100">
        <v>0</v>
      </c>
      <c r="S32" s="93">
        <f t="shared" si="32"/>
        <v>26806.679999999997</v>
      </c>
      <c r="T32" s="150">
        <f t="shared" si="33"/>
        <v>7237.1900000000005</v>
      </c>
      <c r="U32" s="93">
        <v>2987.95</v>
      </c>
      <c r="V32" s="93">
        <v>4047.19</v>
      </c>
      <c r="W32" s="93">
        <v>9724.44</v>
      </c>
      <c r="X32" s="93">
        <v>6736.43</v>
      </c>
      <c r="Y32" s="93">
        <v>2390.4</v>
      </c>
      <c r="Z32" s="93">
        <v>0</v>
      </c>
      <c r="AA32" s="100">
        <v>0</v>
      </c>
      <c r="AB32" s="100">
        <f>SUM(U32:AA32)</f>
        <v>25886.410000000003</v>
      </c>
      <c r="AC32" s="151">
        <f t="shared" si="34"/>
        <v>36414.86</v>
      </c>
      <c r="AD32" s="152">
        <f t="shared" si="35"/>
        <v>0</v>
      </c>
      <c r="AE32" s="152">
        <f t="shared" si="36"/>
        <v>0</v>
      </c>
      <c r="AF32" s="152"/>
      <c r="AG32" s="25">
        <f t="shared" si="37"/>
        <v>2589.72</v>
      </c>
      <c r="AH32" s="25">
        <f t="shared" si="38"/>
        <v>863.24</v>
      </c>
      <c r="AI32" s="25">
        <f t="shared" si="39"/>
        <v>4316.2</v>
      </c>
      <c r="AJ32" s="25">
        <v>0</v>
      </c>
      <c r="AK32" s="25">
        <f t="shared" si="40"/>
        <v>4229.875999999999</v>
      </c>
      <c r="AL32" s="25">
        <v>0</v>
      </c>
      <c r="AM32" s="25">
        <f t="shared" si="41"/>
        <v>9711.449999999999</v>
      </c>
      <c r="AN32" s="25">
        <v>0</v>
      </c>
      <c r="AO32" s="25"/>
      <c r="AP32" s="25"/>
      <c r="AQ32" s="153"/>
      <c r="AR32" s="153"/>
      <c r="AS32" s="98">
        <v>922</v>
      </c>
      <c r="AT32" s="98"/>
      <c r="AU32" s="98">
        <f t="shared" si="42"/>
        <v>0</v>
      </c>
      <c r="AV32" s="154">
        <v>383</v>
      </c>
      <c r="AW32" s="155">
        <v>2.75</v>
      </c>
      <c r="AX32" s="25">
        <f t="shared" si="43"/>
        <v>1474.55</v>
      </c>
      <c r="AY32" s="156"/>
      <c r="AZ32" s="157"/>
      <c r="BA32" s="157">
        <f t="shared" si="44"/>
        <v>0</v>
      </c>
      <c r="BB32" s="157">
        <f t="shared" si="45"/>
        <v>24107.035999999996</v>
      </c>
      <c r="BC32" s="158"/>
      <c r="BD32" s="135"/>
      <c r="BE32" s="115">
        <f t="shared" si="46"/>
        <v>12307.824000000004</v>
      </c>
      <c r="BF32" s="115">
        <f t="shared" si="47"/>
        <v>-920.2699999999932</v>
      </c>
    </row>
    <row r="33" spans="1:58" ht="12.75" hidden="1">
      <c r="A33" s="137" t="s">
        <v>46</v>
      </c>
      <c r="B33" s="92">
        <v>4316.2</v>
      </c>
      <c r="C33" s="148">
        <f t="shared" si="30"/>
        <v>37335.13</v>
      </c>
      <c r="D33" s="149">
        <f t="shared" si="31"/>
        <v>3292.4699999999984</v>
      </c>
      <c r="E33" s="93">
        <v>3107.35</v>
      </c>
      <c r="F33" s="93">
        <v>821.78</v>
      </c>
      <c r="G33" s="93">
        <v>4208.96</v>
      </c>
      <c r="H33" s="93">
        <v>1113.91</v>
      </c>
      <c r="I33" s="93">
        <v>10113.03</v>
      </c>
      <c r="J33" s="93">
        <v>2675.2</v>
      </c>
      <c r="K33" s="93">
        <v>7005.66</v>
      </c>
      <c r="L33" s="93">
        <v>1853.49</v>
      </c>
      <c r="M33" s="90">
        <v>2485.91</v>
      </c>
      <c r="N33" s="94">
        <v>657.37</v>
      </c>
      <c r="O33" s="100">
        <v>0</v>
      </c>
      <c r="P33" s="100">
        <v>0</v>
      </c>
      <c r="Q33" s="100"/>
      <c r="R33" s="100"/>
      <c r="S33" s="93">
        <f t="shared" si="32"/>
        <v>26920.91</v>
      </c>
      <c r="T33" s="150">
        <f t="shared" si="33"/>
        <v>7121.749999999999</v>
      </c>
      <c r="U33" s="93">
        <v>2139.85</v>
      </c>
      <c r="V33" s="93">
        <v>2888.79</v>
      </c>
      <c r="W33" s="93">
        <v>7035.66</v>
      </c>
      <c r="X33" s="93">
        <v>4814.33</v>
      </c>
      <c r="Y33" s="93">
        <v>1711.54</v>
      </c>
      <c r="Z33" s="93">
        <v>0</v>
      </c>
      <c r="AA33" s="100">
        <v>0</v>
      </c>
      <c r="AB33" s="100">
        <f>SUM(U33:AA33)</f>
        <v>18590.17</v>
      </c>
      <c r="AC33" s="151">
        <f t="shared" si="34"/>
        <v>29004.389999999996</v>
      </c>
      <c r="AD33" s="152">
        <f t="shared" si="35"/>
        <v>0</v>
      </c>
      <c r="AE33" s="152">
        <f t="shared" si="36"/>
        <v>0</v>
      </c>
      <c r="AF33" s="152"/>
      <c r="AG33" s="25">
        <f t="shared" si="37"/>
        <v>2589.72</v>
      </c>
      <c r="AH33" s="25">
        <f t="shared" si="38"/>
        <v>863.24</v>
      </c>
      <c r="AI33" s="25">
        <f t="shared" si="39"/>
        <v>4316.2</v>
      </c>
      <c r="AJ33" s="25">
        <v>0</v>
      </c>
      <c r="AK33" s="25">
        <f t="shared" si="40"/>
        <v>4229.875999999999</v>
      </c>
      <c r="AL33" s="25">
        <v>0</v>
      </c>
      <c r="AM33" s="25">
        <f t="shared" si="41"/>
        <v>9711.449999999999</v>
      </c>
      <c r="AN33" s="25">
        <v>0</v>
      </c>
      <c r="AO33" s="25"/>
      <c r="AP33" s="25"/>
      <c r="AQ33" s="153"/>
      <c r="AR33" s="153"/>
      <c r="AS33" s="98">
        <v>12392</v>
      </c>
      <c r="AT33" s="98">
        <f>119+1476+292+850</f>
        <v>2737</v>
      </c>
      <c r="AU33" s="98"/>
      <c r="AV33" s="154">
        <v>307</v>
      </c>
      <c r="AW33" s="155">
        <v>2.75</v>
      </c>
      <c r="AX33" s="25">
        <f t="shared" si="43"/>
        <v>1181.9499999999998</v>
      </c>
      <c r="AY33" s="156"/>
      <c r="AZ33" s="157"/>
      <c r="BA33" s="157">
        <f t="shared" si="44"/>
        <v>0</v>
      </c>
      <c r="BB33" s="157">
        <f t="shared" si="45"/>
        <v>38021.435999999994</v>
      </c>
      <c r="BC33" s="158"/>
      <c r="BD33" s="91"/>
      <c r="BE33" s="115">
        <f t="shared" si="46"/>
        <v>-9017.045999999998</v>
      </c>
      <c r="BF33" s="115">
        <f t="shared" si="47"/>
        <v>-8330.740000000002</v>
      </c>
    </row>
    <row r="34" spans="1:58" ht="12.75" hidden="1">
      <c r="A34" s="14" t="s">
        <v>47</v>
      </c>
      <c r="B34" s="92">
        <v>4334.82</v>
      </c>
      <c r="C34" s="148">
        <f t="shared" si="30"/>
        <v>37496.193</v>
      </c>
      <c r="D34" s="149">
        <f t="shared" si="31"/>
        <v>3380.593000000002</v>
      </c>
      <c r="E34" s="93">
        <v>3127.45</v>
      </c>
      <c r="F34" s="93">
        <v>810.19</v>
      </c>
      <c r="G34" s="93">
        <v>4235.93</v>
      </c>
      <c r="H34" s="93">
        <v>1098.21</v>
      </c>
      <c r="I34" s="93">
        <v>10178.23</v>
      </c>
      <c r="J34" s="93">
        <v>2637.48</v>
      </c>
      <c r="K34" s="93">
        <v>7050.64</v>
      </c>
      <c r="L34" s="93">
        <v>1827.37</v>
      </c>
      <c r="M34" s="90">
        <v>2501.99</v>
      </c>
      <c r="N34" s="94">
        <v>648.11</v>
      </c>
      <c r="O34" s="100">
        <v>0</v>
      </c>
      <c r="P34" s="100">
        <v>0</v>
      </c>
      <c r="Q34" s="100"/>
      <c r="R34" s="100"/>
      <c r="S34" s="93">
        <f t="shared" si="32"/>
        <v>27094.239999999998</v>
      </c>
      <c r="T34" s="150">
        <f t="shared" si="33"/>
        <v>7021.360000000001</v>
      </c>
      <c r="U34" s="160">
        <v>3047.39</v>
      </c>
      <c r="V34" s="160">
        <v>4072.46</v>
      </c>
      <c r="W34" s="160">
        <v>9918.18</v>
      </c>
      <c r="X34" s="160">
        <v>6871.06</v>
      </c>
      <c r="Y34" s="160">
        <v>2438.13</v>
      </c>
      <c r="Z34" s="160">
        <v>0</v>
      </c>
      <c r="AA34" s="161">
        <v>0</v>
      </c>
      <c r="AB34" s="100">
        <f aca="true" t="shared" si="48" ref="AB34:AB41">SUM(U34:AA34)</f>
        <v>26347.22</v>
      </c>
      <c r="AC34" s="151">
        <f t="shared" si="34"/>
        <v>36749.173</v>
      </c>
      <c r="AD34" s="152">
        <f t="shared" si="35"/>
        <v>0</v>
      </c>
      <c r="AE34" s="152">
        <f t="shared" si="36"/>
        <v>0</v>
      </c>
      <c r="AF34" s="152"/>
      <c r="AG34" s="25">
        <f t="shared" si="37"/>
        <v>2600.892</v>
      </c>
      <c r="AH34" s="25">
        <f t="shared" si="38"/>
        <v>866.9639999999999</v>
      </c>
      <c r="AI34" s="25">
        <f t="shared" si="39"/>
        <v>4334.82</v>
      </c>
      <c r="AJ34" s="25">
        <v>0</v>
      </c>
      <c r="AK34" s="25">
        <f t="shared" si="40"/>
        <v>4248.1236</v>
      </c>
      <c r="AL34" s="25">
        <v>0</v>
      </c>
      <c r="AM34" s="25">
        <f t="shared" si="41"/>
        <v>9753.345</v>
      </c>
      <c r="AN34" s="25">
        <v>0</v>
      </c>
      <c r="AO34" s="25"/>
      <c r="AP34" s="25"/>
      <c r="AQ34" s="153"/>
      <c r="AR34" s="153"/>
      <c r="AS34" s="98">
        <v>3729</v>
      </c>
      <c r="AT34" s="98">
        <v>766.27</v>
      </c>
      <c r="AU34" s="98"/>
      <c r="AV34" s="154">
        <v>263</v>
      </c>
      <c r="AW34" s="155">
        <v>2.75</v>
      </c>
      <c r="AX34" s="25">
        <f t="shared" si="43"/>
        <v>1012.55</v>
      </c>
      <c r="AY34" s="156"/>
      <c r="AZ34" s="157"/>
      <c r="BA34" s="157">
        <f t="shared" si="44"/>
        <v>0</v>
      </c>
      <c r="BB34" s="157">
        <f t="shared" si="45"/>
        <v>27311.9646</v>
      </c>
      <c r="BC34" s="158"/>
      <c r="BD34" s="18"/>
      <c r="BE34" s="115">
        <f t="shared" si="46"/>
        <v>9437.208400000003</v>
      </c>
      <c r="BF34" s="115">
        <f t="shared" si="47"/>
        <v>-747.0199999999968</v>
      </c>
    </row>
    <row r="35" spans="1:58" ht="13.5" hidden="1" thickBot="1">
      <c r="A35" s="134" t="s">
        <v>48</v>
      </c>
      <c r="B35" s="92">
        <v>4334.82</v>
      </c>
      <c r="C35" s="148">
        <f t="shared" si="30"/>
        <v>37496.193</v>
      </c>
      <c r="D35" s="149">
        <f t="shared" si="31"/>
        <v>3380.9929999999968</v>
      </c>
      <c r="E35" s="93">
        <v>3133.76</v>
      </c>
      <c r="F35" s="93">
        <v>803.83</v>
      </c>
      <c r="G35" s="93">
        <v>4244.5</v>
      </c>
      <c r="H35" s="93">
        <v>1089.57</v>
      </c>
      <c r="I35" s="93">
        <v>10198.8</v>
      </c>
      <c r="J35" s="93">
        <v>2616.76</v>
      </c>
      <c r="K35" s="93">
        <v>7064.92</v>
      </c>
      <c r="L35" s="93">
        <v>1812.99</v>
      </c>
      <c r="M35" s="90">
        <v>2507.06</v>
      </c>
      <c r="N35" s="94">
        <v>643.01</v>
      </c>
      <c r="O35" s="100">
        <v>0</v>
      </c>
      <c r="P35" s="100">
        <v>0</v>
      </c>
      <c r="Q35" s="100">
        <v>0</v>
      </c>
      <c r="R35" s="100">
        <v>0</v>
      </c>
      <c r="S35" s="93">
        <f t="shared" si="32"/>
        <v>27149.039999999997</v>
      </c>
      <c r="T35" s="150">
        <f t="shared" si="33"/>
        <v>6966.16</v>
      </c>
      <c r="U35" s="93">
        <v>2527.78</v>
      </c>
      <c r="V35" s="93">
        <v>3367.93</v>
      </c>
      <c r="W35" s="93">
        <v>9890.67</v>
      </c>
      <c r="X35" s="93">
        <v>5698.11</v>
      </c>
      <c r="Y35" s="93">
        <v>2022.26</v>
      </c>
      <c r="Z35" s="93">
        <v>0</v>
      </c>
      <c r="AA35" s="100">
        <v>0</v>
      </c>
      <c r="AB35" s="100">
        <f t="shared" si="48"/>
        <v>23506.75</v>
      </c>
      <c r="AC35" s="151">
        <f t="shared" si="34"/>
        <v>33853.903</v>
      </c>
      <c r="AD35" s="152">
        <f t="shared" si="35"/>
        <v>0</v>
      </c>
      <c r="AE35" s="152">
        <f t="shared" si="36"/>
        <v>0</v>
      </c>
      <c r="AF35" s="152"/>
      <c r="AG35" s="25">
        <f t="shared" si="37"/>
        <v>2600.892</v>
      </c>
      <c r="AH35" s="25">
        <f t="shared" si="38"/>
        <v>866.9639999999999</v>
      </c>
      <c r="AI35" s="25">
        <f t="shared" si="39"/>
        <v>4334.82</v>
      </c>
      <c r="AJ35" s="25">
        <v>0</v>
      </c>
      <c r="AK35" s="25">
        <f t="shared" si="40"/>
        <v>4248.1236</v>
      </c>
      <c r="AL35" s="25">
        <v>0</v>
      </c>
      <c r="AM35" s="25">
        <f t="shared" si="41"/>
        <v>9753.345</v>
      </c>
      <c r="AN35" s="25">
        <v>0</v>
      </c>
      <c r="AO35" s="25"/>
      <c r="AP35" s="25"/>
      <c r="AQ35" s="153"/>
      <c r="AR35" s="153"/>
      <c r="AS35" s="98">
        <v>5936</v>
      </c>
      <c r="AT35" s="98"/>
      <c r="AU35" s="98">
        <f t="shared" si="42"/>
        <v>0</v>
      </c>
      <c r="AV35" s="154">
        <v>233</v>
      </c>
      <c r="AW35" s="155">
        <v>2.75</v>
      </c>
      <c r="AX35" s="25">
        <f t="shared" si="43"/>
        <v>897.05</v>
      </c>
      <c r="AY35" s="156"/>
      <c r="AZ35" s="157"/>
      <c r="BA35" s="157">
        <f t="shared" si="44"/>
        <v>0</v>
      </c>
      <c r="BB35" s="157">
        <f t="shared" si="45"/>
        <v>28637.1946</v>
      </c>
      <c r="BC35" s="158"/>
      <c r="BD35" s="139"/>
      <c r="BE35" s="115">
        <f t="shared" si="46"/>
        <v>5216.7083999999995</v>
      </c>
      <c r="BF35" s="115">
        <f t="shared" si="47"/>
        <v>-3642.2899999999972</v>
      </c>
    </row>
    <row r="36" spans="1:58" ht="12.75" hidden="1">
      <c r="A36" s="137" t="s">
        <v>49</v>
      </c>
      <c r="B36" s="92">
        <v>4334.82</v>
      </c>
      <c r="C36" s="148">
        <f t="shared" si="30"/>
        <v>37496.193</v>
      </c>
      <c r="D36" s="149">
        <f t="shared" si="31"/>
        <v>3336.2529999999997</v>
      </c>
      <c r="E36" s="99">
        <v>3942.86</v>
      </c>
      <c r="F36" s="93">
        <v>0</v>
      </c>
      <c r="G36" s="93">
        <v>5340.91</v>
      </c>
      <c r="H36" s="93">
        <v>0</v>
      </c>
      <c r="I36" s="93">
        <v>12832.4</v>
      </c>
      <c r="J36" s="93">
        <v>0</v>
      </c>
      <c r="K36" s="93">
        <v>8889.48</v>
      </c>
      <c r="L36" s="93">
        <v>0</v>
      </c>
      <c r="M36" s="90">
        <v>3154.29</v>
      </c>
      <c r="N36" s="94">
        <v>0</v>
      </c>
      <c r="O36" s="100">
        <v>0</v>
      </c>
      <c r="P36" s="100">
        <v>0</v>
      </c>
      <c r="Q36" s="100"/>
      <c r="R36" s="100"/>
      <c r="S36" s="93">
        <f t="shared" si="32"/>
        <v>34159.939999999995</v>
      </c>
      <c r="T36" s="150">
        <f t="shared" si="33"/>
        <v>0</v>
      </c>
      <c r="U36" s="99">
        <v>2867.94</v>
      </c>
      <c r="V36" s="93">
        <v>1975.51</v>
      </c>
      <c r="W36" s="93">
        <v>9334.09</v>
      </c>
      <c r="X36" s="93">
        <v>6466.09</v>
      </c>
      <c r="Y36" s="93">
        <v>2294.02</v>
      </c>
      <c r="Z36" s="93">
        <v>0</v>
      </c>
      <c r="AA36" s="100">
        <v>0</v>
      </c>
      <c r="AB36" s="100">
        <f t="shared" si="48"/>
        <v>22937.65</v>
      </c>
      <c r="AC36" s="151">
        <f t="shared" si="34"/>
        <v>26273.903000000002</v>
      </c>
      <c r="AD36" s="152">
        <f t="shared" si="35"/>
        <v>0</v>
      </c>
      <c r="AE36" s="152">
        <f t="shared" si="36"/>
        <v>0</v>
      </c>
      <c r="AF36" s="152"/>
      <c r="AG36" s="25">
        <f t="shared" si="37"/>
        <v>2600.892</v>
      </c>
      <c r="AH36" s="25">
        <f t="shared" si="38"/>
        <v>866.9639999999999</v>
      </c>
      <c r="AI36" s="25">
        <f t="shared" si="39"/>
        <v>4334.82</v>
      </c>
      <c r="AJ36" s="25">
        <v>0</v>
      </c>
      <c r="AK36" s="25">
        <f t="shared" si="40"/>
        <v>4248.1236</v>
      </c>
      <c r="AL36" s="25">
        <v>0</v>
      </c>
      <c r="AM36" s="25">
        <f t="shared" si="41"/>
        <v>9753.345</v>
      </c>
      <c r="AN36" s="25">
        <v>0</v>
      </c>
      <c r="AO36" s="25"/>
      <c r="AP36" s="25"/>
      <c r="AQ36" s="153"/>
      <c r="AR36" s="153"/>
      <c r="AS36" s="98"/>
      <c r="AT36" s="98"/>
      <c r="AU36" s="98">
        <f t="shared" si="42"/>
        <v>0</v>
      </c>
      <c r="AV36" s="154">
        <v>248</v>
      </c>
      <c r="AW36" s="155">
        <v>2.75</v>
      </c>
      <c r="AX36" s="25">
        <f t="shared" si="43"/>
        <v>954.8</v>
      </c>
      <c r="AY36" s="156"/>
      <c r="AZ36" s="157"/>
      <c r="BA36" s="157">
        <f t="shared" si="44"/>
        <v>0</v>
      </c>
      <c r="BB36" s="157">
        <f t="shared" si="45"/>
        <v>22758.9446</v>
      </c>
      <c r="BC36" s="158"/>
      <c r="BD36" s="18"/>
      <c r="BE36" s="115">
        <f t="shared" si="46"/>
        <v>3514.958400000003</v>
      </c>
      <c r="BF36" s="115">
        <f t="shared" si="47"/>
        <v>-11222.289999999994</v>
      </c>
    </row>
    <row r="37" spans="1:58" ht="12.75" hidden="1">
      <c r="A37" s="14" t="s">
        <v>50</v>
      </c>
      <c r="B37" s="92">
        <v>4334.82</v>
      </c>
      <c r="C37" s="148">
        <f t="shared" si="30"/>
        <v>37496.193</v>
      </c>
      <c r="D37" s="149">
        <f t="shared" si="31"/>
        <v>3361.512999999997</v>
      </c>
      <c r="E37" s="99">
        <v>3939.9</v>
      </c>
      <c r="F37" s="93">
        <v>0</v>
      </c>
      <c r="G37" s="93">
        <v>5337.04</v>
      </c>
      <c r="H37" s="93">
        <v>0</v>
      </c>
      <c r="I37" s="93">
        <v>12822.9</v>
      </c>
      <c r="J37" s="93">
        <v>0</v>
      </c>
      <c r="K37" s="93">
        <v>8882.93</v>
      </c>
      <c r="L37" s="93">
        <v>0</v>
      </c>
      <c r="M37" s="90">
        <v>3151.91</v>
      </c>
      <c r="N37" s="94">
        <v>0</v>
      </c>
      <c r="O37" s="100">
        <v>0</v>
      </c>
      <c r="P37" s="100">
        <v>0</v>
      </c>
      <c r="Q37" s="100"/>
      <c r="R37" s="100"/>
      <c r="S37" s="93">
        <f t="shared" si="32"/>
        <v>34134.68</v>
      </c>
      <c r="T37" s="150">
        <f t="shared" si="33"/>
        <v>0</v>
      </c>
      <c r="U37" s="160">
        <v>3635.69</v>
      </c>
      <c r="V37" s="160">
        <v>4924.82</v>
      </c>
      <c r="W37" s="160">
        <v>11832.38</v>
      </c>
      <c r="X37" s="160">
        <v>8196.59</v>
      </c>
      <c r="Y37" s="160">
        <v>2908.98</v>
      </c>
      <c r="Z37" s="160">
        <v>0</v>
      </c>
      <c r="AA37" s="161">
        <v>0</v>
      </c>
      <c r="AB37" s="100">
        <f t="shared" si="48"/>
        <v>31498.46</v>
      </c>
      <c r="AC37" s="151">
        <f t="shared" si="34"/>
        <v>34859.973</v>
      </c>
      <c r="AD37" s="152">
        <f t="shared" si="35"/>
        <v>0</v>
      </c>
      <c r="AE37" s="152">
        <f t="shared" si="36"/>
        <v>0</v>
      </c>
      <c r="AF37" s="152"/>
      <c r="AG37" s="25">
        <f t="shared" si="37"/>
        <v>2600.892</v>
      </c>
      <c r="AH37" s="25">
        <f t="shared" si="38"/>
        <v>866.9639999999999</v>
      </c>
      <c r="AI37" s="25">
        <f t="shared" si="39"/>
        <v>4334.82</v>
      </c>
      <c r="AJ37" s="25">
        <v>0</v>
      </c>
      <c r="AK37" s="25">
        <f t="shared" si="40"/>
        <v>4248.1236</v>
      </c>
      <c r="AL37" s="25">
        <v>0</v>
      </c>
      <c r="AM37" s="25">
        <f t="shared" si="41"/>
        <v>9753.345</v>
      </c>
      <c r="AN37" s="25">
        <v>0</v>
      </c>
      <c r="AO37" s="25"/>
      <c r="AP37" s="25"/>
      <c r="AQ37" s="153"/>
      <c r="AR37" s="153"/>
      <c r="AS37" s="98">
        <v>8014</v>
      </c>
      <c r="AT37" s="98">
        <f>47.8+210</f>
        <v>257.8</v>
      </c>
      <c r="AU37" s="98"/>
      <c r="AV37" s="154">
        <v>293</v>
      </c>
      <c r="AW37" s="155">
        <v>2.75</v>
      </c>
      <c r="AX37" s="25">
        <f t="shared" si="43"/>
        <v>1128.05</v>
      </c>
      <c r="AY37" s="156"/>
      <c r="AZ37" s="157"/>
      <c r="BA37" s="157">
        <f t="shared" si="44"/>
        <v>0</v>
      </c>
      <c r="BB37" s="157">
        <f t="shared" si="45"/>
        <v>31203.994599999998</v>
      </c>
      <c r="BC37" s="158"/>
      <c r="BD37" s="18"/>
      <c r="BE37" s="115">
        <f t="shared" si="46"/>
        <v>3655.9784</v>
      </c>
      <c r="BF37" s="115">
        <f t="shared" si="47"/>
        <v>-2636.220000000001</v>
      </c>
    </row>
    <row r="38" spans="1:58" ht="15" hidden="1" thickBot="1">
      <c r="A38" s="134" t="s">
        <v>51</v>
      </c>
      <c r="B38" s="180">
        <v>4374.12</v>
      </c>
      <c r="C38" s="148">
        <f t="shared" si="30"/>
        <v>37836.138</v>
      </c>
      <c r="D38" s="149">
        <f t="shared" si="31"/>
        <v>2975.078000000003</v>
      </c>
      <c r="E38" s="93">
        <v>4023.95</v>
      </c>
      <c r="F38" s="93">
        <v>0</v>
      </c>
      <c r="G38" s="93">
        <v>5450.3</v>
      </c>
      <c r="H38" s="93">
        <v>0</v>
      </c>
      <c r="I38" s="93">
        <v>13095.81</v>
      </c>
      <c r="J38" s="93">
        <v>0</v>
      </c>
      <c r="K38" s="93">
        <v>9071.84</v>
      </c>
      <c r="L38" s="93">
        <v>0</v>
      </c>
      <c r="M38" s="90">
        <v>3219.16</v>
      </c>
      <c r="N38" s="94">
        <v>0</v>
      </c>
      <c r="O38" s="100">
        <v>0</v>
      </c>
      <c r="P38" s="100">
        <v>0</v>
      </c>
      <c r="Q38" s="100"/>
      <c r="R38" s="100"/>
      <c r="S38" s="93">
        <f t="shared" si="32"/>
        <v>34861.06</v>
      </c>
      <c r="T38" s="150">
        <f t="shared" si="33"/>
        <v>0</v>
      </c>
      <c r="U38" s="93">
        <v>4137.68</v>
      </c>
      <c r="V38" s="93">
        <v>5603.47</v>
      </c>
      <c r="W38" s="93">
        <v>13464.95</v>
      </c>
      <c r="X38" s="93">
        <v>9327.36</v>
      </c>
      <c r="Y38" s="93">
        <v>3310.04</v>
      </c>
      <c r="Z38" s="93">
        <v>0</v>
      </c>
      <c r="AA38" s="100">
        <v>0</v>
      </c>
      <c r="AB38" s="100">
        <f t="shared" si="48"/>
        <v>35843.5</v>
      </c>
      <c r="AC38" s="151">
        <f t="shared" si="34"/>
        <v>38818.578</v>
      </c>
      <c r="AD38" s="152">
        <f t="shared" si="35"/>
        <v>0</v>
      </c>
      <c r="AE38" s="152">
        <f t="shared" si="36"/>
        <v>0</v>
      </c>
      <c r="AF38" s="152"/>
      <c r="AG38" s="25">
        <f t="shared" si="37"/>
        <v>2624.4719999999998</v>
      </c>
      <c r="AH38" s="25">
        <f t="shared" si="38"/>
        <v>874.8240000000001</v>
      </c>
      <c r="AI38" s="25">
        <f t="shared" si="39"/>
        <v>4374.12</v>
      </c>
      <c r="AJ38" s="25">
        <v>0</v>
      </c>
      <c r="AK38" s="25">
        <f t="shared" si="40"/>
        <v>4286.6376</v>
      </c>
      <c r="AL38" s="25">
        <v>0</v>
      </c>
      <c r="AM38" s="25">
        <f t="shared" si="41"/>
        <v>9841.77</v>
      </c>
      <c r="AN38" s="25">
        <v>0</v>
      </c>
      <c r="AO38" s="25"/>
      <c r="AP38" s="25"/>
      <c r="AQ38" s="153"/>
      <c r="AR38" s="153"/>
      <c r="AS38" s="98">
        <v>12625</v>
      </c>
      <c r="AT38" s="98"/>
      <c r="AU38" s="162">
        <f t="shared" si="42"/>
        <v>0</v>
      </c>
      <c r="AV38" s="154">
        <v>349</v>
      </c>
      <c r="AW38" s="155">
        <v>2.75</v>
      </c>
      <c r="AX38" s="25">
        <f t="shared" si="43"/>
        <v>1343.6499999999999</v>
      </c>
      <c r="AY38" s="156"/>
      <c r="AZ38" s="157"/>
      <c r="BA38" s="157">
        <f t="shared" si="44"/>
        <v>0</v>
      </c>
      <c r="BB38" s="157">
        <f t="shared" si="45"/>
        <v>35970.473600000005</v>
      </c>
      <c r="BC38" s="158"/>
      <c r="BD38" s="139"/>
      <c r="BE38" s="115">
        <f t="shared" si="46"/>
        <v>2848.1043999999965</v>
      </c>
      <c r="BF38" s="115">
        <f t="shared" si="47"/>
        <v>982.4400000000023</v>
      </c>
    </row>
    <row r="39" spans="1:58" ht="12.75" hidden="1">
      <c r="A39" s="140" t="s">
        <v>39</v>
      </c>
      <c r="B39" s="92">
        <v>4374.12</v>
      </c>
      <c r="C39" s="148">
        <f t="shared" si="30"/>
        <v>37836.138</v>
      </c>
      <c r="D39" s="149">
        <f t="shared" si="31"/>
        <v>3318.2880000000005</v>
      </c>
      <c r="E39" s="95">
        <v>3984.28</v>
      </c>
      <c r="F39" s="95">
        <v>0</v>
      </c>
      <c r="G39" s="95">
        <v>5396.72</v>
      </c>
      <c r="H39" s="95">
        <v>0</v>
      </c>
      <c r="I39" s="95">
        <v>12966.89</v>
      </c>
      <c r="J39" s="95">
        <v>0</v>
      </c>
      <c r="K39" s="95">
        <v>8982.55</v>
      </c>
      <c r="L39" s="95">
        <v>0</v>
      </c>
      <c r="M39" s="96">
        <v>3187.41</v>
      </c>
      <c r="N39" s="97">
        <v>0</v>
      </c>
      <c r="O39" s="163">
        <v>0</v>
      </c>
      <c r="P39" s="163">
        <v>0</v>
      </c>
      <c r="Q39" s="163"/>
      <c r="R39" s="163"/>
      <c r="S39" s="93">
        <f t="shared" si="32"/>
        <v>34517.85</v>
      </c>
      <c r="T39" s="150">
        <f t="shared" si="33"/>
        <v>0</v>
      </c>
      <c r="U39" s="93">
        <v>3821.39</v>
      </c>
      <c r="V39" s="93">
        <v>5132.64</v>
      </c>
      <c r="W39" s="93">
        <v>14331.26</v>
      </c>
      <c r="X39" s="93">
        <v>8542.95</v>
      </c>
      <c r="Y39" s="93">
        <v>3037.13</v>
      </c>
      <c r="Z39" s="93">
        <v>0</v>
      </c>
      <c r="AA39" s="100">
        <v>0</v>
      </c>
      <c r="AB39" s="100">
        <f t="shared" si="48"/>
        <v>34865.37</v>
      </c>
      <c r="AC39" s="151">
        <f t="shared" si="34"/>
        <v>38183.658</v>
      </c>
      <c r="AD39" s="152">
        <f t="shared" si="35"/>
        <v>0</v>
      </c>
      <c r="AE39" s="152">
        <f t="shared" si="36"/>
        <v>0</v>
      </c>
      <c r="AF39" s="152">
        <v>100</v>
      </c>
      <c r="AG39" s="25">
        <f t="shared" si="37"/>
        <v>2624.4719999999998</v>
      </c>
      <c r="AH39" s="25">
        <f t="shared" si="38"/>
        <v>874.8240000000001</v>
      </c>
      <c r="AI39" s="25">
        <f t="shared" si="39"/>
        <v>4374.12</v>
      </c>
      <c r="AJ39" s="25">
        <v>0</v>
      </c>
      <c r="AK39" s="25">
        <f t="shared" si="40"/>
        <v>4286.6376</v>
      </c>
      <c r="AL39" s="25">
        <v>0</v>
      </c>
      <c r="AM39" s="25">
        <f t="shared" si="41"/>
        <v>9841.77</v>
      </c>
      <c r="AN39" s="25">
        <v>0</v>
      </c>
      <c r="AO39" s="25"/>
      <c r="AP39" s="25"/>
      <c r="AQ39" s="153"/>
      <c r="AR39" s="153"/>
      <c r="AS39" s="98">
        <v>746</v>
      </c>
      <c r="AT39" s="98"/>
      <c r="AU39" s="98">
        <f t="shared" si="42"/>
        <v>0</v>
      </c>
      <c r="AV39" s="154">
        <v>425</v>
      </c>
      <c r="AW39" s="155">
        <v>2.75</v>
      </c>
      <c r="AX39" s="25">
        <f t="shared" si="43"/>
        <v>1636.25</v>
      </c>
      <c r="AY39" s="156"/>
      <c r="AZ39" s="157"/>
      <c r="BA39" s="157">
        <f t="shared" si="44"/>
        <v>0</v>
      </c>
      <c r="BB39" s="157">
        <f t="shared" si="45"/>
        <v>24384.0736</v>
      </c>
      <c r="BC39" s="158">
        <v>25</v>
      </c>
      <c r="BD39" s="141"/>
      <c r="BE39" s="115">
        <f t="shared" si="46"/>
        <v>13874.584400000003</v>
      </c>
      <c r="BF39" s="115">
        <f t="shared" si="47"/>
        <v>347.5200000000041</v>
      </c>
    </row>
    <row r="40" spans="1:58" ht="12.75" hidden="1">
      <c r="A40" s="14" t="s">
        <v>40</v>
      </c>
      <c r="B40" s="92">
        <v>4374.12</v>
      </c>
      <c r="C40" s="148">
        <f t="shared" si="30"/>
        <v>37836.138</v>
      </c>
      <c r="D40" s="149">
        <f t="shared" si="31"/>
        <v>3288.9879999999994</v>
      </c>
      <c r="E40" s="93">
        <v>3987.72</v>
      </c>
      <c r="F40" s="93">
        <v>0</v>
      </c>
      <c r="G40" s="93">
        <v>5401.21</v>
      </c>
      <c r="H40" s="93">
        <v>0</v>
      </c>
      <c r="I40" s="93">
        <v>12977.91</v>
      </c>
      <c r="J40" s="93">
        <v>0</v>
      </c>
      <c r="K40" s="93">
        <v>8990.14</v>
      </c>
      <c r="L40" s="93">
        <v>0</v>
      </c>
      <c r="M40" s="90">
        <v>3190.17</v>
      </c>
      <c r="N40" s="94">
        <v>0</v>
      </c>
      <c r="O40" s="100">
        <v>0</v>
      </c>
      <c r="P40" s="100">
        <v>0</v>
      </c>
      <c r="Q40" s="100"/>
      <c r="R40" s="100"/>
      <c r="S40" s="93">
        <f t="shared" si="32"/>
        <v>34547.15</v>
      </c>
      <c r="T40" s="150">
        <f t="shared" si="33"/>
        <v>0</v>
      </c>
      <c r="U40" s="99">
        <v>3001.36</v>
      </c>
      <c r="V40" s="93">
        <v>4109.54</v>
      </c>
      <c r="W40" s="93">
        <v>10874.09</v>
      </c>
      <c r="X40" s="93">
        <v>6839.59</v>
      </c>
      <c r="Y40" s="93">
        <v>2421.01</v>
      </c>
      <c r="Z40" s="93">
        <v>0</v>
      </c>
      <c r="AA40" s="100">
        <v>0</v>
      </c>
      <c r="AB40" s="100">
        <f t="shared" si="48"/>
        <v>27245.589999999997</v>
      </c>
      <c r="AC40" s="151">
        <f t="shared" si="34"/>
        <v>30534.577999999994</v>
      </c>
      <c r="AD40" s="152">
        <f t="shared" si="35"/>
        <v>0</v>
      </c>
      <c r="AE40" s="152">
        <f t="shared" si="36"/>
        <v>0</v>
      </c>
      <c r="AF40" s="152">
        <f>100</f>
        <v>100</v>
      </c>
      <c r="AG40" s="25">
        <f t="shared" si="37"/>
        <v>2624.4719999999998</v>
      </c>
      <c r="AH40" s="25">
        <f t="shared" si="38"/>
        <v>874.8240000000001</v>
      </c>
      <c r="AI40" s="25">
        <f t="shared" si="39"/>
        <v>4374.12</v>
      </c>
      <c r="AJ40" s="25">
        <v>0</v>
      </c>
      <c r="AK40" s="25">
        <f t="shared" si="40"/>
        <v>4286.6376</v>
      </c>
      <c r="AL40" s="25">
        <v>0</v>
      </c>
      <c r="AM40" s="25">
        <f t="shared" si="41"/>
        <v>9841.77</v>
      </c>
      <c r="AN40" s="25">
        <v>0</v>
      </c>
      <c r="AO40" s="25"/>
      <c r="AP40" s="25"/>
      <c r="AQ40" s="153"/>
      <c r="AR40" s="153"/>
      <c r="AS40" s="98">
        <v>2850</v>
      </c>
      <c r="AT40" s="98"/>
      <c r="AU40" s="98">
        <f t="shared" si="42"/>
        <v>0</v>
      </c>
      <c r="AV40" s="154">
        <v>470</v>
      </c>
      <c r="AW40" s="155">
        <v>2.75</v>
      </c>
      <c r="AX40" s="25">
        <f t="shared" si="43"/>
        <v>1809.4999999999998</v>
      </c>
      <c r="AY40" s="156"/>
      <c r="AZ40" s="157"/>
      <c r="BA40" s="157">
        <f t="shared" si="44"/>
        <v>0</v>
      </c>
      <c r="BB40" s="157">
        <f t="shared" si="45"/>
        <v>26661.3236</v>
      </c>
      <c r="BC40" s="158">
        <f>25</f>
        <v>25</v>
      </c>
      <c r="BD40" s="62"/>
      <c r="BE40" s="115">
        <f t="shared" si="46"/>
        <v>3948.2543999999943</v>
      </c>
      <c r="BF40" s="115">
        <f t="shared" si="47"/>
        <v>-7301.560000000005</v>
      </c>
    </row>
    <row r="41" spans="1:58" s="114" customFormat="1" ht="12.75" hidden="1">
      <c r="A41" s="113" t="s">
        <v>41</v>
      </c>
      <c r="B41" s="92">
        <v>4374.12</v>
      </c>
      <c r="C41" s="148">
        <f t="shared" si="30"/>
        <v>37836.138</v>
      </c>
      <c r="D41" s="149">
        <f t="shared" si="31"/>
        <v>3299.857999999996</v>
      </c>
      <c r="E41" s="93">
        <v>3986.44</v>
      </c>
      <c r="F41" s="93">
        <v>0</v>
      </c>
      <c r="G41" s="93">
        <v>5399.54</v>
      </c>
      <c r="H41" s="93">
        <v>0</v>
      </c>
      <c r="I41" s="93">
        <v>12973.82</v>
      </c>
      <c r="J41" s="93">
        <v>0</v>
      </c>
      <c r="K41" s="93">
        <v>8987.33</v>
      </c>
      <c r="L41" s="93">
        <v>0</v>
      </c>
      <c r="M41" s="90">
        <v>3189.15</v>
      </c>
      <c r="N41" s="94">
        <v>0</v>
      </c>
      <c r="O41" s="100">
        <v>0</v>
      </c>
      <c r="P41" s="100">
        <v>0</v>
      </c>
      <c r="Q41" s="100"/>
      <c r="R41" s="100"/>
      <c r="S41" s="93">
        <f t="shared" si="32"/>
        <v>34536.28</v>
      </c>
      <c r="T41" s="150">
        <f t="shared" si="33"/>
        <v>0</v>
      </c>
      <c r="U41" s="93">
        <v>4165.4</v>
      </c>
      <c r="V41" s="93">
        <v>5642.14</v>
      </c>
      <c r="W41" s="93">
        <v>13364.09</v>
      </c>
      <c r="X41" s="93">
        <v>9391</v>
      </c>
      <c r="Y41" s="93">
        <v>3332.3</v>
      </c>
      <c r="Z41" s="93">
        <v>0</v>
      </c>
      <c r="AA41" s="100">
        <v>0</v>
      </c>
      <c r="AB41" s="100">
        <f t="shared" si="48"/>
        <v>35894.93</v>
      </c>
      <c r="AC41" s="151">
        <f t="shared" si="34"/>
        <v>39194.78799999999</v>
      </c>
      <c r="AD41" s="152">
        <f t="shared" si="35"/>
        <v>0</v>
      </c>
      <c r="AE41" s="152">
        <f t="shared" si="36"/>
        <v>0</v>
      </c>
      <c r="AF41" s="152">
        <f>100</f>
        <v>100</v>
      </c>
      <c r="AG41" s="25">
        <f t="shared" si="37"/>
        <v>2624.4719999999998</v>
      </c>
      <c r="AH41" s="25">
        <f t="shared" si="38"/>
        <v>874.8240000000001</v>
      </c>
      <c r="AI41" s="25">
        <f t="shared" si="39"/>
        <v>4374.12</v>
      </c>
      <c r="AJ41" s="25">
        <v>0</v>
      </c>
      <c r="AK41" s="25">
        <f t="shared" si="40"/>
        <v>4286.6376</v>
      </c>
      <c r="AL41" s="25">
        <v>0</v>
      </c>
      <c r="AM41" s="25">
        <f t="shared" si="41"/>
        <v>9841.77</v>
      </c>
      <c r="AN41" s="25">
        <v>0</v>
      </c>
      <c r="AO41" s="25"/>
      <c r="AP41" s="25"/>
      <c r="AQ41" s="153"/>
      <c r="AR41" s="153"/>
      <c r="AS41" s="98">
        <v>2556</v>
      </c>
      <c r="AT41" s="98">
        <f>283.91+2245.76</f>
        <v>2529.67</v>
      </c>
      <c r="AU41" s="98">
        <f t="shared" si="42"/>
        <v>455.3406</v>
      </c>
      <c r="AV41" s="154">
        <v>514</v>
      </c>
      <c r="AW41" s="155">
        <v>2.75</v>
      </c>
      <c r="AX41" s="25">
        <f t="shared" si="43"/>
        <v>1978.8999999999999</v>
      </c>
      <c r="AY41" s="156"/>
      <c r="AZ41" s="157"/>
      <c r="BA41" s="157">
        <f t="shared" si="44"/>
        <v>0</v>
      </c>
      <c r="BB41" s="157">
        <f t="shared" si="45"/>
        <v>29521.734200000003</v>
      </c>
      <c r="BC41" s="158">
        <f>25</f>
        <v>25</v>
      </c>
      <c r="BD41" s="91"/>
      <c r="BE41" s="115">
        <f t="shared" si="46"/>
        <v>9748.05379999999</v>
      </c>
      <c r="BF41" s="115">
        <f t="shared" si="47"/>
        <v>1358.6500000000015</v>
      </c>
    </row>
    <row r="42" spans="1:58" s="24" customFormat="1" ht="12.75" hidden="1">
      <c r="A42" s="19" t="s">
        <v>3</v>
      </c>
      <c r="B42" s="20"/>
      <c r="C42" s="20">
        <f>SUM(C30:C41)</f>
        <v>450782.2939999999</v>
      </c>
      <c r="D42" s="20">
        <f aca="true" t="shared" si="49" ref="D42:BF42">SUM(D30:D41)</f>
        <v>39607.69399999999</v>
      </c>
      <c r="E42" s="20">
        <f t="shared" si="49"/>
        <v>42517.64000000001</v>
      </c>
      <c r="F42" s="20">
        <f t="shared" si="49"/>
        <v>4941.1</v>
      </c>
      <c r="G42" s="20">
        <f t="shared" si="49"/>
        <v>57590.37</v>
      </c>
      <c r="H42" s="20">
        <f t="shared" si="49"/>
        <v>6697.599999999999</v>
      </c>
      <c r="I42" s="20">
        <f t="shared" si="49"/>
        <v>138374.9</v>
      </c>
      <c r="J42" s="20">
        <f t="shared" si="49"/>
        <v>16085.12</v>
      </c>
      <c r="K42" s="20">
        <f t="shared" si="49"/>
        <v>95856.61</v>
      </c>
      <c r="L42" s="20">
        <f t="shared" si="49"/>
        <v>11144.44</v>
      </c>
      <c r="M42" s="20">
        <f t="shared" si="49"/>
        <v>34014.24</v>
      </c>
      <c r="N42" s="20">
        <f t="shared" si="49"/>
        <v>3952.58</v>
      </c>
      <c r="O42" s="20">
        <f t="shared" si="49"/>
        <v>0</v>
      </c>
      <c r="P42" s="20">
        <f t="shared" si="49"/>
        <v>0</v>
      </c>
      <c r="Q42" s="20">
        <f t="shared" si="49"/>
        <v>0</v>
      </c>
      <c r="R42" s="20">
        <f t="shared" si="49"/>
        <v>0</v>
      </c>
      <c r="S42" s="20">
        <f t="shared" si="49"/>
        <v>368353.76</v>
      </c>
      <c r="T42" s="20">
        <f t="shared" si="49"/>
        <v>42820.84</v>
      </c>
      <c r="U42" s="20">
        <f t="shared" si="49"/>
        <v>37340.72</v>
      </c>
      <c r="V42" s="20">
        <f t="shared" si="49"/>
        <v>48547.74</v>
      </c>
      <c r="W42" s="20">
        <f t="shared" si="49"/>
        <v>126067.23</v>
      </c>
      <c r="X42" s="20">
        <f t="shared" si="49"/>
        <v>84174.27999999998</v>
      </c>
      <c r="Y42" s="20">
        <f t="shared" si="49"/>
        <v>29872.52</v>
      </c>
      <c r="Z42" s="20">
        <f t="shared" si="49"/>
        <v>0</v>
      </c>
      <c r="AA42" s="20">
        <f t="shared" si="49"/>
        <v>0</v>
      </c>
      <c r="AB42" s="20">
        <f t="shared" si="49"/>
        <v>326002.48999999993</v>
      </c>
      <c r="AC42" s="20">
        <f t="shared" si="49"/>
        <v>408431.024</v>
      </c>
      <c r="AD42" s="20">
        <f t="shared" si="49"/>
        <v>0</v>
      </c>
      <c r="AE42" s="20">
        <f t="shared" si="49"/>
        <v>0</v>
      </c>
      <c r="AF42" s="20">
        <f t="shared" si="49"/>
        <v>300</v>
      </c>
      <c r="AG42" s="20">
        <f t="shared" si="49"/>
        <v>31268.136000000006</v>
      </c>
      <c r="AH42" s="20">
        <f t="shared" si="49"/>
        <v>10422.712000000001</v>
      </c>
      <c r="AI42" s="20">
        <f t="shared" si="49"/>
        <v>52113.56000000001</v>
      </c>
      <c r="AJ42" s="20">
        <f t="shared" si="49"/>
        <v>0</v>
      </c>
      <c r="AK42" s="20">
        <f t="shared" si="49"/>
        <v>51071.2888</v>
      </c>
      <c r="AL42" s="20">
        <f t="shared" si="49"/>
        <v>0</v>
      </c>
      <c r="AM42" s="20">
        <f t="shared" si="49"/>
        <v>117255.51000000001</v>
      </c>
      <c r="AN42" s="20">
        <f t="shared" si="49"/>
        <v>0</v>
      </c>
      <c r="AO42" s="20">
        <f t="shared" si="49"/>
        <v>4675.32</v>
      </c>
      <c r="AP42" s="20">
        <f t="shared" si="49"/>
        <v>0</v>
      </c>
      <c r="AQ42" s="142">
        <f t="shared" si="49"/>
        <v>0</v>
      </c>
      <c r="AR42" s="142">
        <f t="shared" si="49"/>
        <v>0</v>
      </c>
      <c r="AS42" s="21">
        <f t="shared" si="49"/>
        <v>87695</v>
      </c>
      <c r="AT42" s="21">
        <f t="shared" si="49"/>
        <v>6290.74</v>
      </c>
      <c r="AU42" s="21">
        <f t="shared" si="49"/>
        <v>455.3406</v>
      </c>
      <c r="AV42" s="20">
        <f t="shared" si="49"/>
        <v>4400</v>
      </c>
      <c r="AW42" s="20">
        <f t="shared" si="49"/>
        <v>33</v>
      </c>
      <c r="AX42" s="20">
        <f t="shared" si="49"/>
        <v>16940</v>
      </c>
      <c r="AY42" s="20">
        <f t="shared" si="49"/>
        <v>0</v>
      </c>
      <c r="AZ42" s="20">
        <f t="shared" si="49"/>
        <v>0</v>
      </c>
      <c r="BA42" s="20">
        <f t="shared" si="49"/>
        <v>0</v>
      </c>
      <c r="BB42" s="20">
        <f t="shared" si="49"/>
        <v>378187.6074</v>
      </c>
      <c r="BC42" s="20">
        <f t="shared" si="49"/>
        <v>75</v>
      </c>
      <c r="BD42" s="20">
        <f t="shared" si="49"/>
        <v>0</v>
      </c>
      <c r="BE42" s="20">
        <f t="shared" si="49"/>
        <v>30468.416600000015</v>
      </c>
      <c r="BF42" s="143">
        <f t="shared" si="49"/>
        <v>-42351.269999999975</v>
      </c>
    </row>
    <row r="43" spans="1:58" s="24" customFormat="1" ht="12.75" hidden="1">
      <c r="A43" s="19"/>
      <c r="B43" s="20"/>
      <c r="C43" s="20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22"/>
      <c r="W43" s="22"/>
      <c r="X43" s="22"/>
      <c r="Y43" s="22"/>
      <c r="Z43" s="22"/>
      <c r="AA43" s="22"/>
      <c r="AB43" s="22"/>
      <c r="AC43" s="22"/>
      <c r="AD43" s="103"/>
      <c r="AE43" s="10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86"/>
      <c r="AQ43" s="144"/>
      <c r="AR43" s="144"/>
      <c r="AS43" s="86"/>
      <c r="AT43" s="86"/>
      <c r="AU43" s="86"/>
      <c r="AV43" s="23"/>
      <c r="AW43" s="23"/>
      <c r="AX43" s="102"/>
      <c r="AY43" s="58"/>
      <c r="AZ43" s="58"/>
      <c r="BA43" s="58"/>
      <c r="BB43" s="58"/>
      <c r="BC43" s="58"/>
      <c r="BD43" s="58"/>
      <c r="BE43" s="58"/>
      <c r="BF43" s="145"/>
    </row>
    <row r="44" spans="1:58" s="24" customFormat="1" ht="13.5" thickBot="1">
      <c r="A44" s="27" t="s">
        <v>52</v>
      </c>
      <c r="B44" s="28"/>
      <c r="C44" s="28">
        <f>C28+C42</f>
        <v>1011118.0489999999</v>
      </c>
      <c r="D44" s="28">
        <f aca="true" t="shared" si="50" ref="D44:BF44">D28+D42</f>
        <v>111608.68109975</v>
      </c>
      <c r="E44" s="28">
        <f t="shared" si="50"/>
        <v>85987.87000000001</v>
      </c>
      <c r="F44" s="28">
        <f t="shared" si="50"/>
        <v>17580.89</v>
      </c>
      <c r="G44" s="28">
        <f t="shared" si="50"/>
        <v>116385.01999999999</v>
      </c>
      <c r="H44" s="28">
        <f t="shared" si="50"/>
        <v>23799.559999999998</v>
      </c>
      <c r="I44" s="28">
        <f t="shared" si="50"/>
        <v>279770.24</v>
      </c>
      <c r="J44" s="28">
        <f t="shared" si="50"/>
        <v>57201.66</v>
      </c>
      <c r="K44" s="28">
        <f t="shared" si="50"/>
        <v>193775.06</v>
      </c>
      <c r="L44" s="28">
        <f t="shared" si="50"/>
        <v>39621.84</v>
      </c>
      <c r="M44" s="28">
        <f t="shared" si="50"/>
        <v>68771.8</v>
      </c>
      <c r="N44" s="28">
        <f t="shared" si="50"/>
        <v>14063.84</v>
      </c>
      <c r="O44" s="28">
        <f t="shared" si="50"/>
        <v>0</v>
      </c>
      <c r="P44" s="28">
        <f t="shared" si="50"/>
        <v>0</v>
      </c>
      <c r="Q44" s="28">
        <f t="shared" si="50"/>
        <v>0</v>
      </c>
      <c r="R44" s="28">
        <f t="shared" si="50"/>
        <v>0</v>
      </c>
      <c r="S44" s="28">
        <f t="shared" si="50"/>
        <v>744689.99</v>
      </c>
      <c r="T44" s="28">
        <f t="shared" si="50"/>
        <v>152267.78999999998</v>
      </c>
      <c r="U44" s="28">
        <f t="shared" si="50"/>
        <v>76011.93000000001</v>
      </c>
      <c r="V44" s="28">
        <f t="shared" si="50"/>
        <v>100843.01000000001</v>
      </c>
      <c r="W44" s="28">
        <f t="shared" si="50"/>
        <v>251848.45</v>
      </c>
      <c r="X44" s="28">
        <f t="shared" si="50"/>
        <v>171273.90999999997</v>
      </c>
      <c r="Y44" s="28">
        <f t="shared" si="50"/>
        <v>60790.899999999994</v>
      </c>
      <c r="Z44" s="28">
        <f t="shared" si="50"/>
        <v>0</v>
      </c>
      <c r="AA44" s="28">
        <f t="shared" si="50"/>
        <v>0</v>
      </c>
      <c r="AB44" s="28">
        <f t="shared" si="50"/>
        <v>660768.2</v>
      </c>
      <c r="AC44" s="28">
        <f t="shared" si="50"/>
        <v>924644.6710997501</v>
      </c>
      <c r="AD44" s="28">
        <f t="shared" si="50"/>
        <v>0</v>
      </c>
      <c r="AE44" s="28">
        <f t="shared" si="50"/>
        <v>0</v>
      </c>
      <c r="AF44" s="28">
        <f t="shared" si="50"/>
        <v>300</v>
      </c>
      <c r="AG44" s="28">
        <f t="shared" si="50"/>
        <v>69099.39600000001</v>
      </c>
      <c r="AH44" s="28">
        <f t="shared" si="50"/>
        <v>23153.612544200005</v>
      </c>
      <c r="AI44" s="28">
        <f t="shared" si="50"/>
        <v>105160.54711050002</v>
      </c>
      <c r="AJ44" s="28">
        <f t="shared" si="50"/>
        <v>9548.45767989</v>
      </c>
      <c r="AK44" s="28">
        <f t="shared" si="50"/>
        <v>104745.42325977999</v>
      </c>
      <c r="AL44" s="28">
        <f t="shared" si="50"/>
        <v>9661.3442027604</v>
      </c>
      <c r="AM44" s="28">
        <f t="shared" si="50"/>
        <v>234799.63722565677</v>
      </c>
      <c r="AN44" s="28">
        <f t="shared" si="50"/>
        <v>21157.942900618218</v>
      </c>
      <c r="AO44" s="28">
        <f t="shared" si="50"/>
        <v>4675.32</v>
      </c>
      <c r="AP44" s="28">
        <f t="shared" si="50"/>
        <v>0</v>
      </c>
      <c r="AQ44" s="146">
        <f t="shared" si="50"/>
        <v>0</v>
      </c>
      <c r="AR44" s="146">
        <f t="shared" si="50"/>
        <v>0</v>
      </c>
      <c r="AS44" s="147">
        <f t="shared" si="50"/>
        <v>179040.41</v>
      </c>
      <c r="AT44" s="147">
        <f t="shared" si="50"/>
        <v>6290.74</v>
      </c>
      <c r="AU44" s="147">
        <f t="shared" si="50"/>
        <v>16897.524400000002</v>
      </c>
      <c r="AV44" s="28">
        <f t="shared" si="50"/>
        <v>8800</v>
      </c>
      <c r="AW44" s="28">
        <f t="shared" si="50"/>
        <v>66</v>
      </c>
      <c r="AX44" s="28">
        <f t="shared" si="50"/>
        <v>32931.358</v>
      </c>
      <c r="AY44" s="28">
        <f t="shared" si="50"/>
        <v>0</v>
      </c>
      <c r="AZ44" s="28">
        <f t="shared" si="50"/>
        <v>0</v>
      </c>
      <c r="BA44" s="28">
        <f t="shared" si="50"/>
        <v>0</v>
      </c>
      <c r="BB44" s="28">
        <f t="shared" si="50"/>
        <v>817161.7133234054</v>
      </c>
      <c r="BC44" s="28">
        <f t="shared" si="50"/>
        <v>75</v>
      </c>
      <c r="BD44" s="28">
        <f t="shared" si="50"/>
        <v>393535.4615249254</v>
      </c>
      <c r="BE44" s="28">
        <f t="shared" si="50"/>
        <v>107707.95777634463</v>
      </c>
      <c r="BF44" s="28">
        <f t="shared" si="50"/>
        <v>-83921.78999999996</v>
      </c>
    </row>
  </sheetData>
  <sheetProtection/>
  <mergeCells count="67">
    <mergeCell ref="AM5:AM6"/>
    <mergeCell ref="AN5:AN6"/>
    <mergeCell ref="BE3:BE6"/>
    <mergeCell ref="AQ5:AQ6"/>
    <mergeCell ref="AR5:AR6"/>
    <mergeCell ref="AS5:AS6"/>
    <mergeCell ref="AT5:AT6"/>
    <mergeCell ref="AO5:AO6"/>
    <mergeCell ref="AP5:AP6"/>
    <mergeCell ref="BF3:BF6"/>
    <mergeCell ref="BC4:BC6"/>
    <mergeCell ref="BD4:BD6"/>
    <mergeCell ref="AV5:AX5"/>
    <mergeCell ref="AY5:AY6"/>
    <mergeCell ref="AZ5:AZ6"/>
    <mergeCell ref="BA5:BA6"/>
    <mergeCell ref="BB5:BB6"/>
    <mergeCell ref="AG3:BB4"/>
    <mergeCell ref="BC3:BD3"/>
    <mergeCell ref="I3:J4"/>
    <mergeCell ref="K3:L4"/>
    <mergeCell ref="M3:N4"/>
    <mergeCell ref="O3:P4"/>
    <mergeCell ref="Q3:R4"/>
    <mergeCell ref="AF3:AF6"/>
    <mergeCell ref="Z5:Z6"/>
    <mergeCell ref="AA5:AA6"/>
    <mergeCell ref="AB5:AB6"/>
    <mergeCell ref="AE3:AE6"/>
    <mergeCell ref="AH5:AH6"/>
    <mergeCell ref="AI5:AI6"/>
    <mergeCell ref="AJ5:AJ6"/>
    <mergeCell ref="AK5:AK6"/>
    <mergeCell ref="P5:P6"/>
    <mergeCell ref="Q5:Q6"/>
    <mergeCell ref="R5:R6"/>
    <mergeCell ref="S5:S6"/>
    <mergeCell ref="AG5:AG6"/>
    <mergeCell ref="Y5:Y6"/>
    <mergeCell ref="E5:E6"/>
    <mergeCell ref="F5:F6"/>
    <mergeCell ref="G5:G6"/>
    <mergeCell ref="H5:H6"/>
    <mergeCell ref="L5:L6"/>
    <mergeCell ref="M5:M6"/>
    <mergeCell ref="N5:N6"/>
    <mergeCell ref="O5:O6"/>
    <mergeCell ref="AL5:AL6"/>
    <mergeCell ref="S3:T4"/>
    <mergeCell ref="U3:AB4"/>
    <mergeCell ref="AC3:AC6"/>
    <mergeCell ref="AD3:AD6"/>
    <mergeCell ref="T5:T6"/>
    <mergeCell ref="U5:U6"/>
    <mergeCell ref="V5:V6"/>
    <mergeCell ref="W5:W6"/>
    <mergeCell ref="X5:X6"/>
    <mergeCell ref="A1:N1"/>
    <mergeCell ref="A3:A6"/>
    <mergeCell ref="B3:B6"/>
    <mergeCell ref="C3:C6"/>
    <mergeCell ref="D3:D6"/>
    <mergeCell ref="I5:I6"/>
    <mergeCell ref="J5:J6"/>
    <mergeCell ref="K5:K6"/>
    <mergeCell ref="E3:F4"/>
    <mergeCell ref="G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11">
      <selection activeCell="A62" sqref="A62"/>
    </sheetView>
  </sheetViews>
  <sheetFormatPr defaultColWidth="9.00390625" defaultRowHeight="12.75"/>
  <cols>
    <col min="1" max="1" width="10.125" style="2" bestFit="1" customWidth="1"/>
    <col min="2" max="2" width="10.375" style="2" customWidth="1"/>
    <col min="3" max="3" width="12.00390625" style="2" customWidth="1"/>
    <col min="4" max="4" width="10.625" style="2" customWidth="1"/>
    <col min="5" max="5" width="10.125" style="2" bestFit="1" customWidth="1"/>
    <col min="6" max="6" width="9.875" style="2" customWidth="1"/>
    <col min="7" max="7" width="10.875" style="2" customWidth="1"/>
    <col min="8" max="8" width="10.125" style="2" customWidth="1"/>
    <col min="9" max="9" width="9.25390625" style="2" customWidth="1"/>
    <col min="10" max="10" width="10.25390625" style="2" customWidth="1"/>
    <col min="11" max="11" width="10.375" style="2" customWidth="1"/>
    <col min="12" max="12" width="10.125" style="2" customWidth="1"/>
    <col min="13" max="13" width="8.875" style="2" customWidth="1"/>
    <col min="14" max="14" width="10.375" style="2" customWidth="1"/>
    <col min="15" max="15" width="10.75390625" style="2" customWidth="1"/>
    <col min="16" max="16" width="14.00390625" style="2" customWidth="1"/>
    <col min="17" max="16384" width="9.125" style="2" customWidth="1"/>
  </cols>
  <sheetData>
    <row r="1" ht="18.75">
      <c r="E1" s="29" t="s">
        <v>53</v>
      </c>
    </row>
    <row r="2" ht="18.75">
      <c r="E2" s="29" t="s">
        <v>54</v>
      </c>
    </row>
    <row r="6" spans="1:15" ht="12.75">
      <c r="A6" s="256" t="s">
        <v>77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</row>
    <row r="7" spans="1:15" ht="12.75">
      <c r="A7" s="281" t="s">
        <v>93</v>
      </c>
      <c r="B7" s="281"/>
      <c r="C7" s="281"/>
      <c r="D7" s="281"/>
      <c r="E7" s="281"/>
      <c r="F7" s="281"/>
      <c r="G7" s="281"/>
      <c r="H7" s="104"/>
      <c r="I7" s="104"/>
      <c r="J7" s="104"/>
      <c r="K7" s="104"/>
      <c r="L7" s="104"/>
      <c r="M7" s="104"/>
      <c r="N7" s="104"/>
      <c r="O7" s="104"/>
    </row>
    <row r="8" spans="1:15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5" ht="13.5" thickBot="1">
      <c r="A9" s="31" t="s">
        <v>55</v>
      </c>
      <c r="D9" s="4"/>
      <c r="E9" s="31">
        <v>8.65</v>
      </c>
    </row>
    <row r="10" spans="1:16" ht="12.75" customHeight="1">
      <c r="A10" s="257" t="s">
        <v>56</v>
      </c>
      <c r="B10" s="260" t="s">
        <v>0</v>
      </c>
      <c r="C10" s="263" t="s">
        <v>57</v>
      </c>
      <c r="D10" s="266" t="s">
        <v>2</v>
      </c>
      <c r="E10" s="269" t="s">
        <v>58</v>
      </c>
      <c r="F10" s="199"/>
      <c r="G10" s="296" t="s">
        <v>74</v>
      </c>
      <c r="H10" s="296"/>
      <c r="I10" s="272" t="s">
        <v>8</v>
      </c>
      <c r="J10" s="273"/>
      <c r="K10" s="273"/>
      <c r="L10" s="273"/>
      <c r="M10" s="273"/>
      <c r="N10" s="274"/>
      <c r="O10" s="278" t="s">
        <v>59</v>
      </c>
      <c r="P10" s="278" t="s">
        <v>10</v>
      </c>
    </row>
    <row r="11" spans="1:16" ht="12.75">
      <c r="A11" s="258"/>
      <c r="B11" s="261"/>
      <c r="C11" s="264"/>
      <c r="D11" s="267"/>
      <c r="E11" s="270"/>
      <c r="F11" s="271"/>
      <c r="G11" s="297"/>
      <c r="H11" s="297"/>
      <c r="I11" s="275"/>
      <c r="J11" s="276"/>
      <c r="K11" s="276"/>
      <c r="L11" s="276"/>
      <c r="M11" s="276"/>
      <c r="N11" s="277"/>
      <c r="O11" s="279"/>
      <c r="P11" s="279"/>
    </row>
    <row r="12" spans="1:16" ht="26.25" customHeight="1">
      <c r="A12" s="258"/>
      <c r="B12" s="261"/>
      <c r="C12" s="264"/>
      <c r="D12" s="267"/>
      <c r="E12" s="291" t="s">
        <v>60</v>
      </c>
      <c r="F12" s="227"/>
      <c r="G12" s="33" t="s">
        <v>61</v>
      </c>
      <c r="H12" s="292" t="s">
        <v>5</v>
      </c>
      <c r="I12" s="294" t="s">
        <v>62</v>
      </c>
      <c r="J12" s="284" t="s">
        <v>30</v>
      </c>
      <c r="K12" s="284" t="s">
        <v>63</v>
      </c>
      <c r="L12" s="284" t="s">
        <v>35</v>
      </c>
      <c r="M12" s="284" t="s">
        <v>64</v>
      </c>
      <c r="N12" s="286" t="s">
        <v>37</v>
      </c>
      <c r="O12" s="279"/>
      <c r="P12" s="279"/>
    </row>
    <row r="13" spans="1:16" ht="66.75" customHeight="1" thickBot="1">
      <c r="A13" s="259"/>
      <c r="B13" s="262"/>
      <c r="C13" s="265"/>
      <c r="D13" s="268"/>
      <c r="E13" s="34" t="s">
        <v>65</v>
      </c>
      <c r="F13" s="35" t="s">
        <v>19</v>
      </c>
      <c r="G13" s="36" t="s">
        <v>75</v>
      </c>
      <c r="H13" s="293"/>
      <c r="I13" s="295"/>
      <c r="J13" s="285"/>
      <c r="K13" s="285"/>
      <c r="L13" s="285"/>
      <c r="M13" s="285"/>
      <c r="N13" s="287"/>
      <c r="O13" s="280"/>
      <c r="P13" s="280"/>
    </row>
    <row r="14" spans="1:16" ht="13.5" thickBot="1">
      <c r="A14" s="37">
        <v>1</v>
      </c>
      <c r="B14" s="38">
        <v>2</v>
      </c>
      <c r="C14" s="37">
        <v>3</v>
      </c>
      <c r="D14" s="38">
        <v>4</v>
      </c>
      <c r="E14" s="37">
        <v>5</v>
      </c>
      <c r="F14" s="38">
        <v>6</v>
      </c>
      <c r="G14" s="37">
        <v>7</v>
      </c>
      <c r="H14" s="38">
        <v>8</v>
      </c>
      <c r="I14" s="37">
        <v>9</v>
      </c>
      <c r="J14" s="38">
        <v>10</v>
      </c>
      <c r="K14" s="37">
        <v>11</v>
      </c>
      <c r="L14" s="38">
        <v>12</v>
      </c>
      <c r="M14" s="37">
        <v>13</v>
      </c>
      <c r="N14" s="38">
        <v>14</v>
      </c>
      <c r="O14" s="37">
        <v>15</v>
      </c>
      <c r="P14" s="39">
        <v>16</v>
      </c>
    </row>
    <row r="15" spans="1:16" ht="12.75" hidden="1">
      <c r="A15" s="8" t="s">
        <v>38</v>
      </c>
      <c r="B15" s="9"/>
      <c r="C15" s="32"/>
      <c r="D15" s="8"/>
      <c r="E15" s="9"/>
      <c r="F15" s="11"/>
      <c r="G15" s="40"/>
      <c r="H15" s="32"/>
      <c r="I15" s="8"/>
      <c r="J15" s="9"/>
      <c r="K15" s="9"/>
      <c r="L15" s="9"/>
      <c r="M15" s="9"/>
      <c r="N15" s="11"/>
      <c r="O15" s="41"/>
      <c r="P15" s="42"/>
    </row>
    <row r="16" spans="1:16" ht="12.75" hidden="1">
      <c r="A16" s="14" t="s">
        <v>39</v>
      </c>
      <c r="B16" s="15">
        <f>Лист1!B9</f>
        <v>4316.5</v>
      </c>
      <c r="C16" s="43">
        <f>Лист1!C9</f>
        <v>37337.725</v>
      </c>
      <c r="D16" s="44">
        <f>Лист1!D9</f>
        <v>8993.911198</v>
      </c>
      <c r="E16" s="16">
        <f>Лист1!S9</f>
        <v>23757.73</v>
      </c>
      <c r="F16" s="18">
        <f>Лист1!T9</f>
        <v>7071.760000000001</v>
      </c>
      <c r="G16" s="45">
        <f>Лист1!AB9</f>
        <v>0</v>
      </c>
      <c r="H16" s="45">
        <f>Лист1!AC9</f>
        <v>16065.671198</v>
      </c>
      <c r="I16" s="46">
        <f>Лист1!AG9</f>
        <v>2589.9</v>
      </c>
      <c r="J16" s="16">
        <f>Лист1!AI9</f>
        <v>3676.7846999999997</v>
      </c>
      <c r="K16" s="16">
        <f>Лист1!AH9+Лист1!AK9+Лист1!AL9+Лист1!AM9+Лист1!AN9+Лист1!AQ9+Лист1!AP9+Лист1!AR9+Лист1!AO9</f>
        <v>15234.625316149999</v>
      </c>
      <c r="L16" s="17">
        <f>Лист1!AS9+Лист1!AT9+Лист1!AU9</f>
        <v>6384.4372</v>
      </c>
      <c r="M16" s="17">
        <f>Лист1!AX9</f>
        <v>0</v>
      </c>
      <c r="N16" s="18">
        <f>Лист1!BB9</f>
        <v>28547.56846215</v>
      </c>
      <c r="O16" s="47">
        <f>Лист1!BE9</f>
        <v>-12481.89726415</v>
      </c>
      <c r="P16" s="47">
        <f>Лист1!BF9</f>
        <v>-23757.73</v>
      </c>
    </row>
    <row r="17" spans="1:16" ht="12.75" hidden="1">
      <c r="A17" s="14" t="s">
        <v>40</v>
      </c>
      <c r="B17" s="15">
        <f>Лист1!B10</f>
        <v>4316.5</v>
      </c>
      <c r="C17" s="43">
        <f>Лист1!C10</f>
        <v>37337.725</v>
      </c>
      <c r="D17" s="44">
        <f>Лист1!D10</f>
        <v>8993.911198</v>
      </c>
      <c r="E17" s="16">
        <f>Лист1!S10</f>
        <v>23551.660000000003</v>
      </c>
      <c r="F17" s="18">
        <f>Лист1!T10</f>
        <v>6886.22</v>
      </c>
      <c r="G17" s="45">
        <f>Лист1!AB10</f>
        <v>15806.630000000001</v>
      </c>
      <c r="H17" s="45">
        <f>Лист1!AC10</f>
        <v>31686.761198</v>
      </c>
      <c r="I17" s="46">
        <f>Лист1!AG10</f>
        <v>2589.9</v>
      </c>
      <c r="J17" s="16">
        <f>Лист1!AI10</f>
        <v>3676.7846999999997</v>
      </c>
      <c r="K17" s="16">
        <f>Лист1!AH10+Лист1!AK10+Лист1!AL10+Лист1!AM10+Лист1!AN10+Лист1!AQ10+Лист1!AP10+Лист1!AR10+Лист1!AO10</f>
        <v>15188.645958149998</v>
      </c>
      <c r="L17" s="17">
        <f>Лист1!AS10+Лист1!AT10+Лист1!AU10</f>
        <v>3327.6</v>
      </c>
      <c r="M17" s="17">
        <f>Лист1!AX10</f>
        <v>0</v>
      </c>
      <c r="N17" s="18">
        <f>Лист1!BB10</f>
        <v>25444.751904149998</v>
      </c>
      <c r="O17" s="47">
        <f>Лист1!BE10</f>
        <v>6242.009293850002</v>
      </c>
      <c r="P17" s="47">
        <f>Лист1!BF10</f>
        <v>-7745.0300000000025</v>
      </c>
    </row>
    <row r="18" spans="1:18" ht="13.5" hidden="1" thickBot="1">
      <c r="A18" s="48" t="s">
        <v>41</v>
      </c>
      <c r="B18" s="74">
        <f>Лист1!B11</f>
        <v>4316.5</v>
      </c>
      <c r="C18" s="49">
        <f>Лист1!C11</f>
        <v>37337.725</v>
      </c>
      <c r="D18" s="75">
        <f>Лист1!D11</f>
        <v>8974.12220375</v>
      </c>
      <c r="E18" s="76">
        <f>Лист1!S11</f>
        <v>23432.29</v>
      </c>
      <c r="F18" s="78">
        <f>Лист1!T11</f>
        <v>7160.31</v>
      </c>
      <c r="G18" s="77">
        <f>Лист1!AB11</f>
        <v>25944.370000000003</v>
      </c>
      <c r="H18" s="77">
        <f>Лист1!AC11</f>
        <v>42078.802203750005</v>
      </c>
      <c r="I18" s="46">
        <f>Лист1!AG11</f>
        <v>2589.9</v>
      </c>
      <c r="J18" s="16">
        <f>Лист1!AI11</f>
        <v>3666.08978</v>
      </c>
      <c r="K18" s="16">
        <f>Лист1!AH11+Лист1!AK11+Лист1!AL11+Лист1!AM11+Лист1!AN11+Лист1!AQ11+Лист1!AP11+Лист1!AR11+Лист1!AO11</f>
        <v>15164.379860045</v>
      </c>
      <c r="L18" s="17">
        <f>Лист1!AS11+Лист1!AT11+Лист1!AU11</f>
        <v>17259.86</v>
      </c>
      <c r="M18" s="17">
        <f>Лист1!AX11</f>
        <v>0</v>
      </c>
      <c r="N18" s="18">
        <f>Лист1!BB11</f>
        <v>39340.12580044499</v>
      </c>
      <c r="O18" s="47">
        <f>Лист1!BE11</f>
        <v>2738.676403305013</v>
      </c>
      <c r="P18" s="47">
        <f>Лист1!BF11</f>
        <v>2512.0800000000017</v>
      </c>
      <c r="Q18" s="1"/>
      <c r="R18" s="1"/>
    </row>
    <row r="19" spans="1:18" s="24" customFormat="1" ht="13.5" hidden="1" thickBot="1">
      <c r="A19" s="50" t="s">
        <v>3</v>
      </c>
      <c r="B19" s="82"/>
      <c r="C19" s="83">
        <f>SUM(C16:C18)</f>
        <v>112013.17499999999</v>
      </c>
      <c r="D19" s="89">
        <f aca="true" t="shared" si="0" ref="D19:P19">SUM(D16:D18)</f>
        <v>26961.94459975</v>
      </c>
      <c r="E19" s="83">
        <f t="shared" si="0"/>
        <v>70741.68</v>
      </c>
      <c r="F19" s="84">
        <f t="shared" si="0"/>
        <v>21118.29</v>
      </c>
      <c r="G19" s="88">
        <f t="shared" si="0"/>
        <v>41751</v>
      </c>
      <c r="H19" s="83">
        <f t="shared" si="0"/>
        <v>89831.23459975001</v>
      </c>
      <c r="I19" s="83">
        <f t="shared" si="0"/>
        <v>7769.700000000001</v>
      </c>
      <c r="J19" s="83">
        <f t="shared" si="0"/>
        <v>11019.659179999999</v>
      </c>
      <c r="K19" s="83">
        <f t="shared" si="0"/>
        <v>45587.651134345</v>
      </c>
      <c r="L19" s="83">
        <f t="shared" si="0"/>
        <v>26971.8972</v>
      </c>
      <c r="M19" s="83">
        <f t="shared" si="0"/>
        <v>0</v>
      </c>
      <c r="N19" s="83">
        <f t="shared" si="0"/>
        <v>93332.446166745</v>
      </c>
      <c r="O19" s="83">
        <f t="shared" si="0"/>
        <v>-3501.2115669949853</v>
      </c>
      <c r="P19" s="84">
        <f t="shared" si="0"/>
        <v>-28990.68</v>
      </c>
      <c r="Q19" s="57"/>
      <c r="R19" s="58"/>
    </row>
    <row r="20" spans="1:18" ht="12.75" hidden="1">
      <c r="A20" s="8" t="s">
        <v>42</v>
      </c>
      <c r="B20" s="79"/>
      <c r="C20" s="59"/>
      <c r="D20" s="60"/>
      <c r="E20" s="61"/>
      <c r="F20" s="62"/>
      <c r="G20" s="63"/>
      <c r="H20" s="63"/>
      <c r="I20" s="64"/>
      <c r="J20" s="61"/>
      <c r="K20" s="61"/>
      <c r="L20" s="80"/>
      <c r="M20" s="80"/>
      <c r="N20" s="62"/>
      <c r="O20" s="81"/>
      <c r="P20" s="81"/>
      <c r="Q20" s="1"/>
      <c r="R20" s="1"/>
    </row>
    <row r="21" spans="1:18" ht="12.75" hidden="1">
      <c r="A21" s="14" t="s">
        <v>43</v>
      </c>
      <c r="B21" s="15">
        <f>Лист1!B14</f>
        <v>4316.5</v>
      </c>
      <c r="C21" s="43">
        <f>Лист1!C14</f>
        <v>37337.725</v>
      </c>
      <c r="D21" s="44">
        <f>Лист1!D14</f>
        <v>4667.215625</v>
      </c>
      <c r="E21" s="16">
        <f>Лист1!S14</f>
        <v>22915.829999999998</v>
      </c>
      <c r="F21" s="18">
        <f>Лист1!T14</f>
        <v>7084.71</v>
      </c>
      <c r="G21" s="45">
        <f>Лист1!AB14</f>
        <v>16406.000000000004</v>
      </c>
      <c r="H21" s="45">
        <f>Лист1!AC14</f>
        <v>28157.925625000003</v>
      </c>
      <c r="I21" s="46">
        <f>Лист1!AG14</f>
        <v>2330.9100000000003</v>
      </c>
      <c r="J21" s="16">
        <f>Лист1!AI14</f>
        <v>3181.024675</v>
      </c>
      <c r="K21" s="16">
        <f>Лист1!AH14+Лист1!AK14+Лист1!AL14+Лист1!AM14+Лист1!AN14+Лист1!AO14+Лист1!AP14+Лист1!AR14+Лист1!AQ14</f>
        <v>12891.052777070001</v>
      </c>
      <c r="L21" s="17">
        <f>Лист1!AS14+Лист1!AT14+Лист1!AU14</f>
        <v>21363.91</v>
      </c>
      <c r="M21" s="17">
        <f>Лист1!AX14</f>
        <v>0</v>
      </c>
      <c r="N21" s="18">
        <f>Лист1!BB14</f>
        <v>40339.48189357</v>
      </c>
      <c r="O21" s="47">
        <f>Лист1!BE14</f>
        <v>-12181.556268569999</v>
      </c>
      <c r="P21" s="47">
        <f>Лист1!BF14</f>
        <v>-6509.8299999999945</v>
      </c>
      <c r="Q21" s="1"/>
      <c r="R21" s="1"/>
    </row>
    <row r="22" spans="1:18" ht="12.75" hidden="1">
      <c r="A22" s="14" t="s">
        <v>44</v>
      </c>
      <c r="B22" s="15">
        <f>Лист1!B15</f>
        <v>4316.5</v>
      </c>
      <c r="C22" s="43">
        <f>Лист1!C15</f>
        <v>37337.725</v>
      </c>
      <c r="D22" s="44">
        <f>Лист1!D15</f>
        <v>4667.215625</v>
      </c>
      <c r="E22" s="16">
        <f>Лист1!S15</f>
        <v>23760.38</v>
      </c>
      <c r="F22" s="18">
        <f>Лист1!T15</f>
        <v>6947.840000000001</v>
      </c>
      <c r="G22" s="45">
        <f>Лист1!AB15</f>
        <v>18121.68</v>
      </c>
      <c r="H22" s="45">
        <f>Лист1!AC15</f>
        <v>29736.735625</v>
      </c>
      <c r="I22" s="46">
        <f>Лист1!AG15</f>
        <v>2330.9100000000003</v>
      </c>
      <c r="J22" s="16">
        <f>Лист1!AI15</f>
        <v>3181.044675</v>
      </c>
      <c r="K22" s="16">
        <f>Лист1!AH15+Лист1!AK15+Лист1!AL15+Лист1!AM15+Лист1!AN15+Лист1!AO15+Лист1!AP15+Лист1!AR15+Лист1!AQ15</f>
        <v>12909.66250352</v>
      </c>
      <c r="L22" s="17">
        <f>Лист1!AS15+Лист1!AT15+Лист1!AU15</f>
        <v>11437.74</v>
      </c>
      <c r="M22" s="17">
        <f>Лист1!AX15</f>
        <v>0</v>
      </c>
      <c r="N22" s="18">
        <f>Лист1!BB15</f>
        <v>30431.94522002</v>
      </c>
      <c r="O22" s="47">
        <f>Лист1!BE15</f>
        <v>-695.2095950199982</v>
      </c>
      <c r="P22" s="47">
        <f>Лист1!BF15</f>
        <v>-5638.700000000001</v>
      </c>
      <c r="Q22" s="1"/>
      <c r="R22" s="1"/>
    </row>
    <row r="23" spans="1:18" ht="12.75" hidden="1">
      <c r="A23" s="14" t="s">
        <v>45</v>
      </c>
      <c r="B23" s="15">
        <f>Лист1!B16</f>
        <v>4316.5</v>
      </c>
      <c r="C23" s="43">
        <f>Лист1!C16</f>
        <v>37337.725</v>
      </c>
      <c r="D23" s="44">
        <f>Лист1!D16</f>
        <v>4667.215625</v>
      </c>
      <c r="E23" s="16">
        <f>Лист1!S16</f>
        <v>22971.29</v>
      </c>
      <c r="F23" s="18">
        <f>Лист1!T16</f>
        <v>6937.31</v>
      </c>
      <c r="G23" s="45">
        <f>Лист1!AB16</f>
        <v>25777.89</v>
      </c>
      <c r="H23" s="45">
        <f>Лист1!AC16</f>
        <v>37382.415625</v>
      </c>
      <c r="I23" s="46">
        <f>Лист1!AG16</f>
        <v>2330.9100000000003</v>
      </c>
      <c r="J23" s="16">
        <f>Лист1!AI16</f>
        <v>3182.8791875</v>
      </c>
      <c r="K23" s="16">
        <f>Лист1!AH16+Лист1!AK16+Лист1!AL16+Лист1!AM16+Лист1!AN16+Лист1!AO16+Лист1!AP16+Лист1!AR16+Лист1!AQ16</f>
        <v>12480.240249169998</v>
      </c>
      <c r="L23" s="17">
        <f>Лист1!AS16+Лист1!AT16+Лист1!AU16</f>
        <v>3636.76</v>
      </c>
      <c r="M23" s="17">
        <f>Лист1!AX16</f>
        <v>0</v>
      </c>
      <c r="N23" s="18">
        <f>Лист1!BB16</f>
        <v>22203.70769042</v>
      </c>
      <c r="O23" s="47">
        <f>Лист1!BE16</f>
        <v>15178.707934580001</v>
      </c>
      <c r="P23" s="47">
        <f>Лист1!BF16</f>
        <v>2806.5999999999985</v>
      </c>
      <c r="Q23" s="1"/>
      <c r="R23" s="1"/>
    </row>
    <row r="24" spans="1:18" ht="12.75" hidden="1">
      <c r="A24" s="14" t="s">
        <v>46</v>
      </c>
      <c r="B24" s="15">
        <f>Лист1!B17</f>
        <v>4316.5</v>
      </c>
      <c r="C24" s="43">
        <f>Лист1!C17</f>
        <v>37337.725</v>
      </c>
      <c r="D24" s="44">
        <f>Лист1!D17</f>
        <v>4667.215625</v>
      </c>
      <c r="E24" s="16">
        <f>Лист1!S17</f>
        <v>23860.38</v>
      </c>
      <c r="F24" s="18">
        <f>Лист1!T17</f>
        <v>6843.97</v>
      </c>
      <c r="G24" s="45">
        <f>Лист1!AB17</f>
        <v>18590.17</v>
      </c>
      <c r="H24" s="45">
        <f>Лист1!AC17</f>
        <v>30101.355624999997</v>
      </c>
      <c r="I24" s="46">
        <f>Лист1!AG17</f>
        <v>2330.9100000000003</v>
      </c>
      <c r="J24" s="16">
        <f>Лист1!AI17</f>
        <v>3277.906935</v>
      </c>
      <c r="K24" s="16">
        <f>Лист1!AH17+Лист1!AK17+Лист1!AL17+Лист1!AM17+Лист1!AN17+Лист1!AO17+Лист1!AP17+Лист1!AR17+Лист1!AQ17</f>
        <v>12657.071628439999</v>
      </c>
      <c r="L24" s="17">
        <f>Лист1!AS17+Лист1!AT17+Лист1!AU17</f>
        <v>13080.8782</v>
      </c>
      <c r="M24" s="17">
        <f>Лист1!AX17</f>
        <v>5833.21</v>
      </c>
      <c r="N24" s="18">
        <f>Лист1!BB17</f>
        <v>37770.00001174</v>
      </c>
      <c r="O24" s="47">
        <f>Лист1!BE17</f>
        <v>-7668.644386740001</v>
      </c>
      <c r="P24" s="47">
        <f>Лист1!BF17</f>
        <v>-5270.210000000003</v>
      </c>
      <c r="Q24" s="1"/>
      <c r="R24" s="1"/>
    </row>
    <row r="25" spans="1:18" ht="12.75" hidden="1">
      <c r="A25" s="14" t="s">
        <v>47</v>
      </c>
      <c r="B25" s="15">
        <f>Лист1!B18</f>
        <v>4316.5</v>
      </c>
      <c r="C25" s="43">
        <f>Лист1!C18</f>
        <v>37337.725</v>
      </c>
      <c r="D25" s="44">
        <f>Лист1!D18</f>
        <v>3240.495000000001</v>
      </c>
      <c r="E25" s="16">
        <f>Лист1!S18</f>
        <v>26547.47</v>
      </c>
      <c r="F25" s="18">
        <f>Лист1!T18</f>
        <v>7549.76</v>
      </c>
      <c r="G25" s="45">
        <f>Лист1!AB18</f>
        <v>23481.16</v>
      </c>
      <c r="H25" s="45">
        <f>Лист1!AC18</f>
        <v>34271.415</v>
      </c>
      <c r="I25" s="46">
        <f>Лист1!AG18</f>
        <v>2589.9</v>
      </c>
      <c r="J25" s="16">
        <f>Лист1!AI18</f>
        <v>3669.025</v>
      </c>
      <c r="K25" s="16">
        <f>Лист1!AH18+Лист1!AK18+Лист1!AL18+Лист1!AM18+Лист1!AN18+Лист1!AO18+Лист1!AP18+Лист1!AR18+Лист1!AQ18</f>
        <v>14828.040799999999</v>
      </c>
      <c r="L25" s="17">
        <f>Лист1!AS18+Лист1!AT18+Лист1!AU18</f>
        <v>2628.6859999999997</v>
      </c>
      <c r="M25" s="17">
        <f>Лист1!AX18</f>
        <v>955.8472</v>
      </c>
      <c r="N25" s="18">
        <f>Лист1!BB18</f>
        <v>25331.9235</v>
      </c>
      <c r="O25" s="47">
        <f>Лист1!BE18</f>
        <v>8939.4915</v>
      </c>
      <c r="P25" s="47">
        <f>Лист1!BF18</f>
        <v>-3066.3100000000013</v>
      </c>
      <c r="Q25" s="1"/>
      <c r="R25" s="1"/>
    </row>
    <row r="26" spans="1:18" ht="12.75" hidden="1">
      <c r="A26" s="14" t="s">
        <v>48</v>
      </c>
      <c r="B26" s="15">
        <f>Лист1!B19</f>
        <v>4316.5</v>
      </c>
      <c r="C26" s="43">
        <f>Лист1!C19</f>
        <v>37337.725</v>
      </c>
      <c r="D26" s="44">
        <f>Лист1!D19</f>
        <v>3282.8250000000035</v>
      </c>
      <c r="E26" s="16">
        <f>Лист1!S19</f>
        <v>26550.81</v>
      </c>
      <c r="F26" s="18">
        <f>Лист1!T19</f>
        <v>7504.09</v>
      </c>
      <c r="G26" s="45">
        <f>Лист1!AB19</f>
        <v>23219.24</v>
      </c>
      <c r="H26" s="45">
        <f>Лист1!AC19</f>
        <v>34006.155000000006</v>
      </c>
      <c r="I26" s="46">
        <f>Лист1!AG19</f>
        <v>2589.9</v>
      </c>
      <c r="J26" s="16">
        <f>Лист1!AI19</f>
        <v>3669.025</v>
      </c>
      <c r="K26" s="16">
        <f>Лист1!AH19+Лист1!AK19+Лист1!AL19+Лист1!AM19+Лист1!AN19+Лист1!AO19+Лист1!AP19+Лист1!AR19+Лист1!AQ19</f>
        <v>14828.429284999998</v>
      </c>
      <c r="L26" s="17">
        <f>Лист1!AS19+Лист1!AT19+Лист1!AU19</f>
        <v>299.13</v>
      </c>
      <c r="M26" s="17">
        <f>Лист1!AX19</f>
        <v>846.8152000000001</v>
      </c>
      <c r="N26" s="18">
        <f>Лист1!BB19</f>
        <v>22893.723985</v>
      </c>
      <c r="O26" s="47">
        <f>Лист1!BE19</f>
        <v>11112.431015000006</v>
      </c>
      <c r="P26" s="47">
        <f>Лист1!BF19</f>
        <v>-3331.5699999999997</v>
      </c>
      <c r="Q26" s="1"/>
      <c r="R26" s="1"/>
    </row>
    <row r="27" spans="1:18" ht="12.75" hidden="1">
      <c r="A27" s="14" t="s">
        <v>49</v>
      </c>
      <c r="B27" s="15">
        <f>Лист1!B20</f>
        <v>4317.6</v>
      </c>
      <c r="C27" s="43">
        <f>Лист1!C20</f>
        <v>37347.240000000005</v>
      </c>
      <c r="D27" s="44">
        <f>Лист1!D20</f>
        <v>3299.01000000001</v>
      </c>
      <c r="E27" s="16">
        <f>Лист1!S20</f>
        <v>25939.559999999998</v>
      </c>
      <c r="F27" s="18">
        <f>Лист1!T20</f>
        <v>8108.669999999999</v>
      </c>
      <c r="G27" s="45">
        <f>Лист1!AB20</f>
        <v>28811.670000000002</v>
      </c>
      <c r="H27" s="45">
        <f>Лист1!AC20</f>
        <v>40219.35000000001</v>
      </c>
      <c r="I27" s="46">
        <f>Лист1!AG20</f>
        <v>2590.56</v>
      </c>
      <c r="J27" s="16">
        <f>Лист1!AI20</f>
        <v>3617.479572</v>
      </c>
      <c r="K27" s="16">
        <f>Лист1!AH20+Лист1!AK20+Лист1!AL20+Лист1!AM20+Лист1!AN20+Лист1!AO20+Лист1!AP20+Лист1!AR20+Лист1!AQ20</f>
        <v>14685.61090416</v>
      </c>
      <c r="L27" s="17">
        <f>Лист1!AS20+Лист1!AT20+Лист1!AU20</f>
        <v>561.9159999999999</v>
      </c>
      <c r="M27" s="17">
        <f>Лист1!AX20</f>
        <v>901.3312</v>
      </c>
      <c r="N27" s="18">
        <f>Лист1!BB20</f>
        <v>23008.043999120004</v>
      </c>
      <c r="O27" s="47">
        <f>Лист1!BE20</f>
        <v>17211.30600088001</v>
      </c>
      <c r="P27" s="47">
        <f>Лист1!BF20</f>
        <v>2872.110000000004</v>
      </c>
      <c r="Q27" s="1"/>
      <c r="R27" s="1"/>
    </row>
    <row r="28" spans="1:18" ht="12.75" hidden="1">
      <c r="A28" s="14" t="s">
        <v>50</v>
      </c>
      <c r="B28" s="15">
        <f>Лист1!B21</f>
        <v>4317.6</v>
      </c>
      <c r="C28" s="43">
        <f>Лист1!C21</f>
        <v>37347.240000000005</v>
      </c>
      <c r="D28" s="44">
        <f>Лист1!D21</f>
        <v>3280.1300000000024</v>
      </c>
      <c r="E28" s="16">
        <f>Лист1!S21</f>
        <v>26224.769999999997</v>
      </c>
      <c r="F28" s="18">
        <f>Лист1!T21</f>
        <v>7842.34</v>
      </c>
      <c r="G28" s="45">
        <f>Лист1!AB21</f>
        <v>24152.89</v>
      </c>
      <c r="H28" s="45">
        <f>Лист1!AC21</f>
        <v>35275.36</v>
      </c>
      <c r="I28" s="46">
        <f>Лист1!AG21</f>
        <v>2590.56</v>
      </c>
      <c r="J28" s="16">
        <f>Лист1!AI21</f>
        <v>3615.8647896</v>
      </c>
      <c r="K28" s="16">
        <f>Лист1!AH21+Лист1!AK21+Лист1!AL21+Лист1!AM21+Лист1!AN21+Лист1!AO21+Лист1!AP21+Лист1!AR21+Лист1!AQ21</f>
        <v>14682.5082768</v>
      </c>
      <c r="L28" s="17">
        <f>Лист1!AS21+Лист1!AT21+Лист1!AU21</f>
        <v>19608.9214</v>
      </c>
      <c r="M28" s="17">
        <f>Лист1!AX21</f>
        <v>1064.8792</v>
      </c>
      <c r="N28" s="18">
        <f>Лист1!BB21</f>
        <v>42213.58932852801</v>
      </c>
      <c r="O28" s="47">
        <f>Лист1!BE21</f>
        <v>-6938.22932852801</v>
      </c>
      <c r="P28" s="47">
        <f>Лист1!BF21</f>
        <v>-2071.8799999999974</v>
      </c>
      <c r="Q28" s="1"/>
      <c r="R28" s="1"/>
    </row>
    <row r="29" spans="1:18" ht="12.75" hidden="1">
      <c r="A29" s="14" t="s">
        <v>51</v>
      </c>
      <c r="B29" s="15">
        <f>Лист1!B22</f>
        <v>4317.6</v>
      </c>
      <c r="C29" s="43">
        <f>Лист1!C22</f>
        <v>37347.240000000005</v>
      </c>
      <c r="D29" s="44">
        <f>Лист1!D22</f>
        <v>3270.310000000002</v>
      </c>
      <c r="E29" s="16">
        <f>Лист1!S22</f>
        <v>26363.81</v>
      </c>
      <c r="F29" s="18">
        <f>Лист1!T22</f>
        <v>7713.12</v>
      </c>
      <c r="G29" s="45">
        <f>Лист1!AB22</f>
        <v>22419.510000000002</v>
      </c>
      <c r="H29" s="45">
        <f>Лист1!AC22</f>
        <v>33402.94</v>
      </c>
      <c r="I29" s="46">
        <f>Лист1!AG22</f>
        <v>2590.56</v>
      </c>
      <c r="J29" s="16">
        <f>Лист1!AI22</f>
        <v>3615.2408964</v>
      </c>
      <c r="K29" s="16">
        <f>Лист1!AH22+Лист1!AK22+Лист1!AL22+Лист1!AM22+Лист1!AN22+Лист1!AO22+Лист1!AP22+Лист1!AR22+Лист1!AQ22</f>
        <v>14680.5789745104</v>
      </c>
      <c r="L29" s="17">
        <f>Лист1!AS22+Лист1!AT22+Лист1!AU22</f>
        <v>0</v>
      </c>
      <c r="M29" s="17">
        <f>Лист1!AX22</f>
        <v>1268.4056</v>
      </c>
      <c r="N29" s="18">
        <f>Лист1!BB22</f>
        <v>22805.528832262396</v>
      </c>
      <c r="O29" s="47">
        <f>Лист1!BE22</f>
        <v>10597.411167737606</v>
      </c>
      <c r="P29" s="47">
        <f>Лист1!BF22</f>
        <v>-3944.2999999999993</v>
      </c>
      <c r="Q29" s="1"/>
      <c r="R29" s="1"/>
    </row>
    <row r="30" spans="1:18" ht="12.75" hidden="1">
      <c r="A30" s="14" t="s">
        <v>39</v>
      </c>
      <c r="B30" s="15">
        <f>Лист1!B23</f>
        <v>4317.6</v>
      </c>
      <c r="C30" s="43">
        <f>Лист1!C23</f>
        <v>37347.240000000005</v>
      </c>
      <c r="D30" s="44">
        <f>Лист1!D23</f>
        <v>3264.620000000006</v>
      </c>
      <c r="E30" s="16">
        <f>Лист1!S23</f>
        <v>26777.829999999998</v>
      </c>
      <c r="F30" s="18">
        <f>Лист1!T23</f>
        <v>7304.79</v>
      </c>
      <c r="G30" s="45">
        <f>Лист1!AB23</f>
        <v>31593.839999999997</v>
      </c>
      <c r="H30" s="45">
        <f>Лист1!AC23</f>
        <v>42163.25</v>
      </c>
      <c r="I30" s="46">
        <f>Лист1!AG23</f>
        <v>2590.56</v>
      </c>
      <c r="J30" s="16">
        <f>Лист1!AI23</f>
        <v>3657.0072</v>
      </c>
      <c r="K30" s="16">
        <f>Лист1!AH23+Лист1!AK23+Лист1!AL23+Лист1!AM23+Лист1!AN23+Лист1!AO23+Лист1!AP23+Лист1!AR23+Лист1!AQ23</f>
        <v>14806.777440000002</v>
      </c>
      <c r="L30" s="17">
        <f>Лист1!AS23+Лист1!AT23+Лист1!AU23</f>
        <v>295.295</v>
      </c>
      <c r="M30" s="17">
        <f>Лист1!AX23</f>
        <v>1544.6200000000001</v>
      </c>
      <c r="N30" s="18">
        <f>Лист1!BB23</f>
        <v>23552.520935999997</v>
      </c>
      <c r="O30" s="47">
        <f>Лист1!BE23</f>
        <v>18610.729064000003</v>
      </c>
      <c r="P30" s="47">
        <f>Лист1!BF23</f>
        <v>4816.009999999998</v>
      </c>
      <c r="Q30" s="1"/>
      <c r="R30" s="1"/>
    </row>
    <row r="31" spans="1:18" ht="12.75" hidden="1">
      <c r="A31" s="14" t="s">
        <v>40</v>
      </c>
      <c r="B31" s="15">
        <f>Лист1!B24</f>
        <v>4330.6</v>
      </c>
      <c r="C31" s="43">
        <f>Лист1!C24</f>
        <v>37459.69</v>
      </c>
      <c r="D31" s="44">
        <f>Лист1!D24</f>
        <v>3377.069999999994</v>
      </c>
      <c r="E31" s="16">
        <f>Лист1!S24</f>
        <v>26827.75</v>
      </c>
      <c r="F31" s="18">
        <f>Лист1!T24</f>
        <v>7254.87</v>
      </c>
      <c r="G31" s="45">
        <f>Лист1!AB24</f>
        <v>31629.58</v>
      </c>
      <c r="H31" s="45">
        <f>Лист1!AC24</f>
        <v>42261.52</v>
      </c>
      <c r="I31" s="46">
        <f>Лист1!AG24</f>
        <v>2598.36</v>
      </c>
      <c r="J31" s="16">
        <f>Лист1!AI24</f>
        <v>3681.01</v>
      </c>
      <c r="K31" s="16">
        <f>Лист1!AH24+Лист1!AK24+Лист1!AL24+Лист1!AM24+Лист1!AN24+Лист1!AO24+Лист1!AP24+Лист1!AR24+Лист1!AQ24</f>
        <v>14867.815920000001</v>
      </c>
      <c r="L31" s="17">
        <f>Лист1!AS24+Лист1!AT24+Лист1!AU24</f>
        <v>1485.62</v>
      </c>
      <c r="M31" s="17">
        <f>Лист1!AX24</f>
        <v>1708.1680000000001</v>
      </c>
      <c r="N31" s="18">
        <f>Лист1!BB24</f>
        <v>25003.555720000004</v>
      </c>
      <c r="O31" s="47">
        <f>Лист1!BE24</f>
        <v>17257.964279999993</v>
      </c>
      <c r="P31" s="47">
        <f>Лист1!BF24</f>
        <v>4801.830000000002</v>
      </c>
      <c r="Q31" s="1"/>
      <c r="R31" s="1"/>
    </row>
    <row r="32" spans="1:18" ht="13.5" hidden="1" thickBot="1">
      <c r="A32" s="48" t="s">
        <v>41</v>
      </c>
      <c r="B32" s="15">
        <f>Лист1!B25</f>
        <v>4329.2</v>
      </c>
      <c r="C32" s="43">
        <f>Лист1!C25</f>
        <v>37447.58</v>
      </c>
      <c r="D32" s="44">
        <f>Лист1!D25</f>
        <v>3355.720000000004</v>
      </c>
      <c r="E32" s="16">
        <f>Лист1!S25</f>
        <v>26854.670000000002</v>
      </c>
      <c r="F32" s="18">
        <f>Лист1!T25</f>
        <v>7237.1900000000005</v>
      </c>
      <c r="G32" s="45">
        <f>Лист1!AB25</f>
        <v>28811.08</v>
      </c>
      <c r="H32" s="45">
        <f>Лист1!AC25</f>
        <v>39403.990000000005</v>
      </c>
      <c r="I32" s="46">
        <f>Лист1!AG25</f>
        <v>2597.52</v>
      </c>
      <c r="J32" s="16">
        <f>Лист1!AI25</f>
        <v>3679.8199999999997</v>
      </c>
      <c r="K32" s="16">
        <f>Лист1!AH25+Лист1!AK25+Лист1!AL25+Лист1!AM25+Лист1!AN25+Лист1!AO25+Лист1!AP25+Лист1!AR25+Лист1!AQ25</f>
        <v>14863.00944</v>
      </c>
      <c r="L32" s="17">
        <f>Лист1!AS25+Лист1!AT25+Лист1!AU25</f>
        <v>6416.84</v>
      </c>
      <c r="M32" s="17">
        <f>Лист1!AX25</f>
        <v>1868.0816</v>
      </c>
      <c r="N32" s="18">
        <f>Лист1!BB25</f>
        <v>30087.638639999997</v>
      </c>
      <c r="O32" s="47">
        <f>Лист1!BE25</f>
        <v>9316.351360000008</v>
      </c>
      <c r="P32" s="47">
        <f>Лист1!BF25</f>
        <v>1956.4099999999999</v>
      </c>
      <c r="Q32" s="1"/>
      <c r="R32" s="1"/>
    </row>
    <row r="33" spans="1:18" s="24" customFormat="1" ht="13.5" hidden="1" thickBot="1">
      <c r="A33" s="50" t="s">
        <v>3</v>
      </c>
      <c r="B33" s="51"/>
      <c r="C33" s="52">
        <f aca="true" t="shared" si="1" ref="C33:P33">SUM(C21:C32)</f>
        <v>448322.58</v>
      </c>
      <c r="D33" s="53">
        <f t="shared" si="1"/>
        <v>45039.04250000001</v>
      </c>
      <c r="E33" s="52">
        <f t="shared" si="1"/>
        <v>305594.55</v>
      </c>
      <c r="F33" s="54">
        <f t="shared" si="1"/>
        <v>88328.65999999999</v>
      </c>
      <c r="G33" s="55">
        <f t="shared" si="1"/>
        <v>293014.71</v>
      </c>
      <c r="H33" s="52">
        <f t="shared" si="1"/>
        <v>426382.41250000003</v>
      </c>
      <c r="I33" s="53">
        <f t="shared" si="1"/>
        <v>30061.560000000005</v>
      </c>
      <c r="J33" s="52">
        <f t="shared" si="1"/>
        <v>42027.3279305</v>
      </c>
      <c r="K33" s="52">
        <f t="shared" si="1"/>
        <v>169180.79819867038</v>
      </c>
      <c r="L33" s="52">
        <f t="shared" si="1"/>
        <v>80815.69659999998</v>
      </c>
      <c r="M33" s="52">
        <f t="shared" si="1"/>
        <v>15991.358</v>
      </c>
      <c r="N33" s="54">
        <f t="shared" si="1"/>
        <v>345641.6597566604</v>
      </c>
      <c r="O33" s="56">
        <f t="shared" si="1"/>
        <v>80740.7527433396</v>
      </c>
      <c r="P33" s="56">
        <f t="shared" si="1"/>
        <v>-12579.839999999993</v>
      </c>
      <c r="Q33" s="58"/>
      <c r="R33" s="58"/>
    </row>
    <row r="34" spans="1:18" ht="13.5" thickBot="1">
      <c r="A34" s="282" t="s">
        <v>94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65"/>
      <c r="Q34" s="1"/>
      <c r="R34" s="1"/>
    </row>
    <row r="35" spans="1:18" s="24" customFormat="1" ht="13.5" thickBot="1">
      <c r="A35" s="66" t="s">
        <v>52</v>
      </c>
      <c r="B35" s="67"/>
      <c r="C35" s="68">
        <f>C19+C33</f>
        <v>560335.755</v>
      </c>
      <c r="D35" s="69">
        <f aca="true" t="shared" si="2" ref="D35:P35">D19+D33</f>
        <v>72000.98709975001</v>
      </c>
      <c r="E35" s="67">
        <f t="shared" si="2"/>
        <v>376336.23</v>
      </c>
      <c r="F35" s="68">
        <f t="shared" si="2"/>
        <v>109446.94999999998</v>
      </c>
      <c r="G35" s="69">
        <f t="shared" si="2"/>
        <v>334765.71</v>
      </c>
      <c r="H35" s="68">
        <f t="shared" si="2"/>
        <v>516213.64709975006</v>
      </c>
      <c r="I35" s="69">
        <f t="shared" si="2"/>
        <v>37831.26000000001</v>
      </c>
      <c r="J35" s="67">
        <f t="shared" si="2"/>
        <v>53046.987110500006</v>
      </c>
      <c r="K35" s="67">
        <f t="shared" si="2"/>
        <v>214768.44933301536</v>
      </c>
      <c r="L35" s="67">
        <f t="shared" si="2"/>
        <v>107787.59379999997</v>
      </c>
      <c r="M35" s="67">
        <f t="shared" si="2"/>
        <v>15991.358</v>
      </c>
      <c r="N35" s="70">
        <f t="shared" si="2"/>
        <v>438974.1059234054</v>
      </c>
      <c r="O35" s="71">
        <f t="shared" si="2"/>
        <v>77239.54117634462</v>
      </c>
      <c r="P35" s="71">
        <f t="shared" si="2"/>
        <v>-41570.51999999999</v>
      </c>
      <c r="Q35" s="72"/>
      <c r="R35" s="58"/>
    </row>
    <row r="36" spans="1:18" ht="12.75">
      <c r="A36" s="8" t="s">
        <v>91</v>
      </c>
      <c r="B36" s="79"/>
      <c r="C36" s="59"/>
      <c r="D36" s="60"/>
      <c r="E36" s="61"/>
      <c r="F36" s="62"/>
      <c r="G36" s="63"/>
      <c r="H36" s="63"/>
      <c r="I36" s="64"/>
      <c r="J36" s="61"/>
      <c r="K36" s="61"/>
      <c r="L36" s="80"/>
      <c r="M36" s="80"/>
      <c r="N36" s="62"/>
      <c r="O36" s="81"/>
      <c r="P36" s="81"/>
      <c r="Q36" s="1"/>
      <c r="R36" s="1"/>
    </row>
    <row r="37" spans="1:18" ht="12.75">
      <c r="A37" s="14" t="s">
        <v>43</v>
      </c>
      <c r="B37" s="15">
        <f>Лист1!B30</f>
        <v>4329.2</v>
      </c>
      <c r="C37" s="43">
        <f>Лист1!C30</f>
        <v>37447.58</v>
      </c>
      <c r="D37" s="44">
        <f>Лист1!D30</f>
        <v>3355.720000000004</v>
      </c>
      <c r="E37" s="16">
        <f>Лист1!S30</f>
        <v>26854.670000000002</v>
      </c>
      <c r="F37" s="18">
        <f>Лист1!T30</f>
        <v>7237.1900000000005</v>
      </c>
      <c r="G37" s="45">
        <f>Лист1!AB30</f>
        <v>20747.020000000004</v>
      </c>
      <c r="H37" s="45">
        <f>Лист1!AC30</f>
        <v>31339.930000000008</v>
      </c>
      <c r="I37" s="46">
        <f>Лист1!AG30</f>
        <v>2597.52</v>
      </c>
      <c r="J37" s="16">
        <f>Лист1!AI30</f>
        <v>4329.2</v>
      </c>
      <c r="K37" s="16">
        <f>Лист1!AH30+Лист1!AK30+Лист1!AL30+Лист1!AM30+Лист1!AN30+Лист1!AO30+Лист1!AP30+Лист1!AR30+Лист1!AQ30</f>
        <v>14849.155999999999</v>
      </c>
      <c r="L37" s="17">
        <f>Лист1!AS30+Лист1!AT30+Лист1!AU30</f>
        <v>36815</v>
      </c>
      <c r="M37" s="17">
        <f>Лист1!AX30</f>
        <v>1955.8</v>
      </c>
      <c r="N37" s="18">
        <f>Лист1!BB30</f>
        <v>60546.676</v>
      </c>
      <c r="O37" s="47">
        <f>Лист1!BE30</f>
        <v>-29206.745999999992</v>
      </c>
      <c r="P37" s="47">
        <f>Лист1!BF30</f>
        <v>-6107.649999999998</v>
      </c>
      <c r="Q37" s="1"/>
      <c r="R37" s="1"/>
    </row>
    <row r="38" spans="1:18" ht="12.75">
      <c r="A38" s="14" t="s">
        <v>44</v>
      </c>
      <c r="B38" s="15">
        <f>Лист1!B31</f>
        <v>4316.2</v>
      </c>
      <c r="C38" s="43">
        <f>Лист1!C31</f>
        <v>37335.13</v>
      </c>
      <c r="D38" s="44">
        <f>Лист1!D31</f>
        <v>3326.680000000001</v>
      </c>
      <c r="E38" s="16">
        <f>Лист1!S31</f>
        <v>26771.260000000002</v>
      </c>
      <c r="F38" s="18">
        <f>Лист1!T31</f>
        <v>7237.1900000000005</v>
      </c>
      <c r="G38" s="45">
        <f>Лист1!AB31</f>
        <v>22639.420000000002</v>
      </c>
      <c r="H38" s="45">
        <f>Лист1!AC31</f>
        <v>33203.29000000001</v>
      </c>
      <c r="I38" s="46">
        <f>Лист1!AG31</f>
        <v>2589.72</v>
      </c>
      <c r="J38" s="16">
        <f>Лист1!AI31</f>
        <v>4316.2</v>
      </c>
      <c r="K38" s="16">
        <f>Лист1!AH31+Лист1!AK31+Лист1!AL31+Лист1!AM31+Лист1!AN31+Лист1!AO31+Лист1!AP31+Лист1!AR31+Лист1!AQ31</f>
        <v>19479.886</v>
      </c>
      <c r="L38" s="17">
        <f>Лист1!AS31+Лист1!AT31+Лист1!AU31</f>
        <v>1110</v>
      </c>
      <c r="M38" s="17">
        <f>Лист1!AX31</f>
        <v>1566.9499999999998</v>
      </c>
      <c r="N38" s="18">
        <f>Лист1!BB31</f>
        <v>29062.755999999998</v>
      </c>
      <c r="O38" s="47">
        <f>Лист1!BE31</f>
        <v>4140.534000000011</v>
      </c>
      <c r="P38" s="47">
        <f>Лист1!BF31</f>
        <v>-4131.84</v>
      </c>
      <c r="Q38" s="1"/>
      <c r="R38" s="1"/>
    </row>
    <row r="39" spans="1:18" ht="12.75">
      <c r="A39" s="14" t="s">
        <v>45</v>
      </c>
      <c r="B39" s="15">
        <f>Лист1!B32</f>
        <v>4316.2</v>
      </c>
      <c r="C39" s="43">
        <f>Лист1!C32</f>
        <v>37335.13</v>
      </c>
      <c r="D39" s="44">
        <f>Лист1!D32</f>
        <v>3291.26</v>
      </c>
      <c r="E39" s="16">
        <f>Лист1!S32</f>
        <v>26806.679999999997</v>
      </c>
      <c r="F39" s="18">
        <f>Лист1!T32</f>
        <v>7237.1900000000005</v>
      </c>
      <c r="G39" s="45">
        <f>Лист1!AB32</f>
        <v>25886.410000000003</v>
      </c>
      <c r="H39" s="45">
        <f>Лист1!AC32</f>
        <v>36414.86</v>
      </c>
      <c r="I39" s="46">
        <f>Лист1!AG32</f>
        <v>2589.72</v>
      </c>
      <c r="J39" s="16">
        <f>Лист1!AI32</f>
        <v>4316.2</v>
      </c>
      <c r="K39" s="16">
        <f>Лист1!AH32+Лист1!AK32+Лист1!AL32+Лист1!AM32+Лист1!AN32+Лист1!AO32+Лист1!AP32+Лист1!AR32+Лист1!AQ32</f>
        <v>14804.565999999999</v>
      </c>
      <c r="L39" s="17">
        <f>Лист1!AS32+Лист1!AT32+Лист1!AU32</f>
        <v>922</v>
      </c>
      <c r="M39" s="17">
        <f>Лист1!AX32</f>
        <v>1474.55</v>
      </c>
      <c r="N39" s="18">
        <f>Лист1!BB32</f>
        <v>24107.035999999996</v>
      </c>
      <c r="O39" s="47">
        <f>Лист1!BE32</f>
        <v>12307.824000000004</v>
      </c>
      <c r="P39" s="47">
        <f>Лист1!BF32</f>
        <v>-920.2699999999932</v>
      </c>
      <c r="Q39" s="1"/>
      <c r="R39" s="1"/>
    </row>
    <row r="40" spans="1:18" ht="12.75">
      <c r="A40" s="14" t="s">
        <v>46</v>
      </c>
      <c r="B40" s="15">
        <f>Лист1!B33</f>
        <v>4316.2</v>
      </c>
      <c r="C40" s="43">
        <f>Лист1!C33</f>
        <v>37335.13</v>
      </c>
      <c r="D40" s="44">
        <f>Лист1!D33</f>
        <v>3292.4699999999984</v>
      </c>
      <c r="E40" s="16">
        <f>Лист1!S33</f>
        <v>26920.91</v>
      </c>
      <c r="F40" s="18">
        <f>Лист1!T33</f>
        <v>7121.749999999999</v>
      </c>
      <c r="G40" s="45">
        <f>Лист1!AB33</f>
        <v>18590.17</v>
      </c>
      <c r="H40" s="45">
        <f>Лист1!AC33</f>
        <v>29004.389999999996</v>
      </c>
      <c r="I40" s="46">
        <f>Лист1!AG33</f>
        <v>2589.72</v>
      </c>
      <c r="J40" s="16">
        <f>Лист1!AI33</f>
        <v>4316.2</v>
      </c>
      <c r="K40" s="16">
        <f>Лист1!AH33+Лист1!AK33+Лист1!AL33+Лист1!AM33+Лист1!AN33+Лист1!AO33+Лист1!AP33+Лист1!AR33+Лист1!AQ33</f>
        <v>14804.565999999999</v>
      </c>
      <c r="L40" s="17">
        <f>Лист1!AS33+Лист1!AT33+Лист1!AU33</f>
        <v>15129</v>
      </c>
      <c r="M40" s="17">
        <f>Лист1!AX33</f>
        <v>1181.9499999999998</v>
      </c>
      <c r="N40" s="18">
        <f>Лист1!BB33</f>
        <v>38021.435999999994</v>
      </c>
      <c r="O40" s="47">
        <f>Лист1!BE33</f>
        <v>-9017.045999999998</v>
      </c>
      <c r="P40" s="47">
        <f>Лист1!BF33</f>
        <v>-8330.740000000002</v>
      </c>
      <c r="Q40" s="1"/>
      <c r="R40" s="1"/>
    </row>
    <row r="41" spans="1:18" ht="12.75">
      <c r="A41" s="14" t="s">
        <v>47</v>
      </c>
      <c r="B41" s="15">
        <f>Лист1!B34</f>
        <v>4334.82</v>
      </c>
      <c r="C41" s="43">
        <f>Лист1!C34</f>
        <v>37496.193</v>
      </c>
      <c r="D41" s="44">
        <f>Лист1!D34</f>
        <v>3380.593000000002</v>
      </c>
      <c r="E41" s="16">
        <f>Лист1!S34</f>
        <v>27094.239999999998</v>
      </c>
      <c r="F41" s="18">
        <f>Лист1!T34</f>
        <v>7021.360000000001</v>
      </c>
      <c r="G41" s="45">
        <f>Лист1!AB34</f>
        <v>26347.22</v>
      </c>
      <c r="H41" s="45">
        <f>Лист1!AC34</f>
        <v>36749.173</v>
      </c>
      <c r="I41" s="46">
        <f>Лист1!AG34</f>
        <v>2600.892</v>
      </c>
      <c r="J41" s="16">
        <f>Лист1!AI34</f>
        <v>4334.82</v>
      </c>
      <c r="K41" s="16">
        <f>Лист1!AH34+Лист1!AK34+Лист1!AL34+Лист1!AM34+Лист1!AN34+Лист1!AO34+Лист1!AP34+Лист1!AR34+Лист1!AQ34</f>
        <v>14868.4326</v>
      </c>
      <c r="L41" s="17">
        <f>Лист1!AS34+Лист1!AT34+Лист1!AU34</f>
        <v>4495.27</v>
      </c>
      <c r="M41" s="17">
        <f>Лист1!AX34</f>
        <v>1012.55</v>
      </c>
      <c r="N41" s="18">
        <f>Лист1!BB34</f>
        <v>27311.9646</v>
      </c>
      <c r="O41" s="47">
        <f>Лист1!BE34</f>
        <v>9437.208400000003</v>
      </c>
      <c r="P41" s="47">
        <f>Лист1!BF34</f>
        <v>-747.0199999999968</v>
      </c>
      <c r="Q41" s="1"/>
      <c r="R41" s="1"/>
    </row>
    <row r="42" spans="1:18" ht="12.75">
      <c r="A42" s="14" t="s">
        <v>48</v>
      </c>
      <c r="B42" s="15">
        <f>Лист1!B35</f>
        <v>4334.82</v>
      </c>
      <c r="C42" s="43">
        <f>Лист1!C35</f>
        <v>37496.193</v>
      </c>
      <c r="D42" s="44">
        <f>Лист1!D35</f>
        <v>3380.9929999999968</v>
      </c>
      <c r="E42" s="16">
        <f>Лист1!S35</f>
        <v>27149.039999999997</v>
      </c>
      <c r="F42" s="18">
        <f>Лист1!T35</f>
        <v>6966.16</v>
      </c>
      <c r="G42" s="45">
        <f>Лист1!AB35</f>
        <v>23506.75</v>
      </c>
      <c r="H42" s="45">
        <f>Лист1!AC35</f>
        <v>33853.903</v>
      </c>
      <c r="I42" s="46">
        <f>Лист1!AG35</f>
        <v>2600.892</v>
      </c>
      <c r="J42" s="16">
        <f>Лист1!AI35</f>
        <v>4334.82</v>
      </c>
      <c r="K42" s="16">
        <f>Лист1!AH35+Лист1!AK35+Лист1!AL35+Лист1!AM35+Лист1!AN35+Лист1!AO35+Лист1!AP35+Лист1!AR35+Лист1!AQ35</f>
        <v>14868.4326</v>
      </c>
      <c r="L42" s="17">
        <f>Лист1!AS35+Лист1!AT35+Лист1!AU35</f>
        <v>5936</v>
      </c>
      <c r="M42" s="17">
        <f>Лист1!AX35</f>
        <v>897.05</v>
      </c>
      <c r="N42" s="18">
        <f>Лист1!BB35</f>
        <v>28637.1946</v>
      </c>
      <c r="O42" s="47">
        <f>Лист1!BE35</f>
        <v>5216.7083999999995</v>
      </c>
      <c r="P42" s="47">
        <f>Лист1!BF35</f>
        <v>-3642.2899999999972</v>
      </c>
      <c r="Q42" s="1"/>
      <c r="R42" s="1"/>
    </row>
    <row r="43" spans="1:18" ht="12.75">
      <c r="A43" s="14" t="s">
        <v>49</v>
      </c>
      <c r="B43" s="15">
        <f>Лист1!B36</f>
        <v>4334.82</v>
      </c>
      <c r="C43" s="43">
        <f>Лист1!C36</f>
        <v>37496.193</v>
      </c>
      <c r="D43" s="44">
        <f>Лист1!D36</f>
        <v>3336.2529999999997</v>
      </c>
      <c r="E43" s="16">
        <f>Лист1!S36</f>
        <v>34159.939999999995</v>
      </c>
      <c r="F43" s="18">
        <f>Лист1!T36</f>
        <v>0</v>
      </c>
      <c r="G43" s="45">
        <f>Лист1!AB36</f>
        <v>22937.65</v>
      </c>
      <c r="H43" s="45">
        <f>Лист1!AC36</f>
        <v>26273.903000000002</v>
      </c>
      <c r="I43" s="46">
        <f>Лист1!AG36</f>
        <v>2600.892</v>
      </c>
      <c r="J43" s="16">
        <f>Лист1!AI36</f>
        <v>4334.82</v>
      </c>
      <c r="K43" s="16">
        <f>Лист1!AH36+Лист1!AK36+Лист1!AL36+Лист1!AM36+Лист1!AN36+Лист1!AO36+Лист1!AP36+Лист1!AR36+Лист1!AQ36</f>
        <v>14868.4326</v>
      </c>
      <c r="L43" s="17">
        <f>Лист1!AS36+Лист1!AT36+Лист1!AU36</f>
        <v>0</v>
      </c>
      <c r="M43" s="17">
        <f>Лист1!AX36</f>
        <v>954.8</v>
      </c>
      <c r="N43" s="18">
        <f>Лист1!BB36</f>
        <v>22758.9446</v>
      </c>
      <c r="O43" s="47">
        <f>Лист1!BE36</f>
        <v>3514.958400000003</v>
      </c>
      <c r="P43" s="47">
        <f>Лист1!BF36</f>
        <v>-11222.289999999994</v>
      </c>
      <c r="Q43" s="1"/>
      <c r="R43" s="1"/>
    </row>
    <row r="44" spans="1:18" ht="12.75">
      <c r="A44" s="14" t="s">
        <v>50</v>
      </c>
      <c r="B44" s="15">
        <f>Лист1!B37</f>
        <v>4334.82</v>
      </c>
      <c r="C44" s="43">
        <f>Лист1!C37</f>
        <v>37496.193</v>
      </c>
      <c r="D44" s="44">
        <f>Лист1!D37</f>
        <v>3361.512999999997</v>
      </c>
      <c r="E44" s="16">
        <f>Лист1!S37</f>
        <v>34134.68</v>
      </c>
      <c r="F44" s="18">
        <f>Лист1!T37</f>
        <v>0</v>
      </c>
      <c r="G44" s="45">
        <f>Лист1!AB37</f>
        <v>31498.46</v>
      </c>
      <c r="H44" s="45">
        <f>Лист1!AC37</f>
        <v>34859.973</v>
      </c>
      <c r="I44" s="46">
        <f>Лист1!AG37</f>
        <v>2600.892</v>
      </c>
      <c r="J44" s="16">
        <f>Лист1!AI37</f>
        <v>4334.82</v>
      </c>
      <c r="K44" s="16">
        <f>Лист1!AH37+Лист1!AK37+Лист1!AL37+Лист1!AM37+Лист1!AN37+Лист1!AO37+Лист1!AP37+Лист1!AR37+Лист1!AQ37</f>
        <v>14868.4326</v>
      </c>
      <c r="L44" s="17">
        <f>Лист1!AS37+Лист1!AT37+Лист1!AU37</f>
        <v>8271.8</v>
      </c>
      <c r="M44" s="17">
        <f>Лист1!AX37</f>
        <v>1128.05</v>
      </c>
      <c r="N44" s="18">
        <f>Лист1!BB37</f>
        <v>31203.994599999998</v>
      </c>
      <c r="O44" s="47">
        <f>Лист1!BE37</f>
        <v>3655.9784</v>
      </c>
      <c r="P44" s="47">
        <f>Лист1!BF37</f>
        <v>-2636.220000000001</v>
      </c>
      <c r="Q44" s="1"/>
      <c r="R44" s="1"/>
    </row>
    <row r="45" spans="1:18" ht="12.75">
      <c r="A45" s="14" t="s">
        <v>51</v>
      </c>
      <c r="B45" s="15">
        <f>Лист1!B38</f>
        <v>4374.12</v>
      </c>
      <c r="C45" s="43">
        <f>Лист1!C38</f>
        <v>37836.138</v>
      </c>
      <c r="D45" s="44">
        <f>Лист1!D38</f>
        <v>2975.078000000003</v>
      </c>
      <c r="E45" s="16">
        <f>Лист1!S38</f>
        <v>34861.06</v>
      </c>
      <c r="F45" s="18">
        <f>Лист1!T38</f>
        <v>0</v>
      </c>
      <c r="G45" s="45">
        <f>Лист1!AB38</f>
        <v>35843.5</v>
      </c>
      <c r="H45" s="45">
        <f>Лист1!AC38</f>
        <v>38818.578</v>
      </c>
      <c r="I45" s="46">
        <f>Лист1!AG38</f>
        <v>2624.4719999999998</v>
      </c>
      <c r="J45" s="16">
        <f>Лист1!AI38</f>
        <v>4374.12</v>
      </c>
      <c r="K45" s="16">
        <f>Лист1!AH38+Лист1!AK38+Лист1!AL38+Лист1!AM38+Лист1!AN38+Лист1!AO38+Лист1!AP38+Лист1!AR38+Лист1!AQ38</f>
        <v>15003.231600000001</v>
      </c>
      <c r="L45" s="17">
        <f>Лист1!AS38+Лист1!AT38+Лист1!AU38</f>
        <v>12625</v>
      </c>
      <c r="M45" s="17">
        <f>Лист1!AX38</f>
        <v>1343.6499999999999</v>
      </c>
      <c r="N45" s="18">
        <f>Лист1!BB38</f>
        <v>35970.473600000005</v>
      </c>
      <c r="O45" s="47">
        <f>Лист1!BE38</f>
        <v>2848.1043999999965</v>
      </c>
      <c r="P45" s="47">
        <f>Лист1!BF38</f>
        <v>982.4400000000023</v>
      </c>
      <c r="Q45" s="1"/>
      <c r="R45" s="1"/>
    </row>
    <row r="46" spans="1:18" ht="12.75">
      <c r="A46" s="14" t="s">
        <v>39</v>
      </c>
      <c r="B46" s="15">
        <f>Лист1!B39</f>
        <v>4374.12</v>
      </c>
      <c r="C46" s="43">
        <f>Лист1!C39</f>
        <v>37836.138</v>
      </c>
      <c r="D46" s="44">
        <f>Лист1!D39</f>
        <v>3318.2880000000005</v>
      </c>
      <c r="E46" s="16">
        <f>Лист1!S39</f>
        <v>34517.85</v>
      </c>
      <c r="F46" s="18">
        <f>Лист1!T39</f>
        <v>0</v>
      </c>
      <c r="G46" s="45">
        <f>Лист1!AB39</f>
        <v>34865.37</v>
      </c>
      <c r="H46" s="45">
        <f>Лист1!AC39</f>
        <v>38183.658</v>
      </c>
      <c r="I46" s="46">
        <f>Лист1!AG39</f>
        <v>2624.4719999999998</v>
      </c>
      <c r="J46" s="16">
        <f>Лист1!AI39</f>
        <v>4374.12</v>
      </c>
      <c r="K46" s="16">
        <f>Лист1!AH39+Лист1!AK39+Лист1!AL39+Лист1!AM39+Лист1!AN39+Лист1!AO39+Лист1!AP39+Лист1!AR39+Лист1!AQ39</f>
        <v>15003.231600000001</v>
      </c>
      <c r="L46" s="17">
        <f>Лист1!AS39+Лист1!AT39+Лист1!AU39</f>
        <v>746</v>
      </c>
      <c r="M46" s="17">
        <f>Лист1!AX39</f>
        <v>1636.25</v>
      </c>
      <c r="N46" s="18">
        <f>Лист1!BB39</f>
        <v>24384.0736</v>
      </c>
      <c r="O46" s="47">
        <f>Лист1!BE39</f>
        <v>13874.584400000003</v>
      </c>
      <c r="P46" s="47">
        <f>Лист1!BF39</f>
        <v>347.5200000000041</v>
      </c>
      <c r="Q46" s="1"/>
      <c r="R46" s="1"/>
    </row>
    <row r="47" spans="1:18" ht="12.75">
      <c r="A47" s="14" t="s">
        <v>40</v>
      </c>
      <c r="B47" s="15">
        <f>Лист1!B40</f>
        <v>4374.12</v>
      </c>
      <c r="C47" s="43">
        <f>Лист1!C40</f>
        <v>37836.138</v>
      </c>
      <c r="D47" s="44">
        <f>Лист1!D40</f>
        <v>3288.9879999999994</v>
      </c>
      <c r="E47" s="16">
        <f>Лист1!S40</f>
        <v>34547.15</v>
      </c>
      <c r="F47" s="18">
        <f>Лист1!T40</f>
        <v>0</v>
      </c>
      <c r="G47" s="45">
        <f>Лист1!AB40</f>
        <v>27245.589999999997</v>
      </c>
      <c r="H47" s="45">
        <f>Лист1!AC40</f>
        <v>30534.577999999994</v>
      </c>
      <c r="I47" s="46">
        <f>Лист1!AG40</f>
        <v>2624.4719999999998</v>
      </c>
      <c r="J47" s="16">
        <f>Лист1!AI40</f>
        <v>4374.12</v>
      </c>
      <c r="K47" s="16">
        <f>Лист1!AH40+Лист1!AK40+Лист1!AL40+Лист1!AM40+Лист1!AN40+Лист1!AO40+Лист1!AP40+Лист1!AR40+Лист1!AQ40</f>
        <v>15003.231600000001</v>
      </c>
      <c r="L47" s="17">
        <f>Лист1!AS40+Лист1!AT40+Лист1!AU40</f>
        <v>2850</v>
      </c>
      <c r="M47" s="17">
        <f>Лист1!AX40</f>
        <v>1809.4999999999998</v>
      </c>
      <c r="N47" s="18">
        <f>Лист1!BB40</f>
        <v>26661.3236</v>
      </c>
      <c r="O47" s="47">
        <f>Лист1!BE40</f>
        <v>3948.2543999999943</v>
      </c>
      <c r="P47" s="47">
        <f>Лист1!BF40</f>
        <v>-7301.560000000005</v>
      </c>
      <c r="Q47" s="1"/>
      <c r="R47" s="1"/>
    </row>
    <row r="48" spans="1:18" ht="13.5" thickBot="1">
      <c r="A48" s="48" t="s">
        <v>41</v>
      </c>
      <c r="B48" s="15">
        <f>Лист1!B41</f>
        <v>4374.12</v>
      </c>
      <c r="C48" s="43">
        <f>Лист1!C41</f>
        <v>37836.138</v>
      </c>
      <c r="D48" s="44">
        <f>Лист1!D41</f>
        <v>3299.857999999996</v>
      </c>
      <c r="E48" s="16">
        <f>Лист1!S41</f>
        <v>34536.28</v>
      </c>
      <c r="F48" s="18">
        <f>Лист1!T41</f>
        <v>0</v>
      </c>
      <c r="G48" s="45">
        <f>Лист1!AB41</f>
        <v>35894.93</v>
      </c>
      <c r="H48" s="45">
        <f>Лист1!AC41</f>
        <v>39194.78799999999</v>
      </c>
      <c r="I48" s="46">
        <f>Лист1!AG41</f>
        <v>2624.4719999999998</v>
      </c>
      <c r="J48" s="16">
        <f>Лист1!AI41</f>
        <v>4374.12</v>
      </c>
      <c r="K48" s="16">
        <f>Лист1!AH41+Лист1!AK41+Лист1!AL41+Лист1!AM41+Лист1!AN41+Лист1!AO41+Лист1!AP41+Лист1!AR41+Лист1!AQ41</f>
        <v>15003.231600000001</v>
      </c>
      <c r="L48" s="17">
        <f>Лист1!AS41+Лист1!AT41+Лист1!AU41</f>
        <v>5541.0106</v>
      </c>
      <c r="M48" s="17">
        <f>Лист1!AX41</f>
        <v>1978.8999999999999</v>
      </c>
      <c r="N48" s="18">
        <f>Лист1!BB41</f>
        <v>29521.734200000003</v>
      </c>
      <c r="O48" s="47">
        <f>Лист1!BE41</f>
        <v>9748.05379999999</v>
      </c>
      <c r="P48" s="47">
        <f>Лист1!BF41</f>
        <v>1358.6500000000015</v>
      </c>
      <c r="Q48" s="1"/>
      <c r="R48" s="1"/>
    </row>
    <row r="49" spans="1:18" s="24" customFormat="1" ht="13.5" thickBot="1">
      <c r="A49" s="50" t="s">
        <v>3</v>
      </c>
      <c r="B49" s="51"/>
      <c r="C49" s="52">
        <f aca="true" t="shared" si="3" ref="C49:P49">SUM(C37:C48)</f>
        <v>450782.2939999999</v>
      </c>
      <c r="D49" s="53">
        <f t="shared" si="3"/>
        <v>39607.69399999999</v>
      </c>
      <c r="E49" s="52">
        <f t="shared" si="3"/>
        <v>368353.76</v>
      </c>
      <c r="F49" s="54">
        <f t="shared" si="3"/>
        <v>42820.84</v>
      </c>
      <c r="G49" s="55">
        <f t="shared" si="3"/>
        <v>326002.48999999993</v>
      </c>
      <c r="H49" s="52">
        <f t="shared" si="3"/>
        <v>408431.024</v>
      </c>
      <c r="I49" s="53">
        <f t="shared" si="3"/>
        <v>31268.136000000006</v>
      </c>
      <c r="J49" s="52">
        <f t="shared" si="3"/>
        <v>52113.56000000001</v>
      </c>
      <c r="K49" s="52">
        <f t="shared" si="3"/>
        <v>183424.8308</v>
      </c>
      <c r="L49" s="52">
        <f t="shared" si="3"/>
        <v>94441.0806</v>
      </c>
      <c r="M49" s="52">
        <f t="shared" si="3"/>
        <v>16940</v>
      </c>
      <c r="N49" s="54">
        <f t="shared" si="3"/>
        <v>378187.6074</v>
      </c>
      <c r="O49" s="56">
        <f t="shared" si="3"/>
        <v>30468.416600000015</v>
      </c>
      <c r="P49" s="56">
        <f t="shared" si="3"/>
        <v>-42351.269999999975</v>
      </c>
      <c r="Q49" s="58"/>
      <c r="R49" s="58"/>
    </row>
    <row r="50" spans="1:18" ht="13.5" thickBot="1">
      <c r="A50" s="282" t="s">
        <v>66</v>
      </c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65"/>
      <c r="Q50" s="1"/>
      <c r="R50" s="1"/>
    </row>
    <row r="51" spans="1:18" s="24" customFormat="1" ht="13.5" thickBot="1">
      <c r="A51" s="66" t="s">
        <v>52</v>
      </c>
      <c r="B51" s="67"/>
      <c r="C51" s="68">
        <f>C35+C49</f>
        <v>1011118.0489999999</v>
      </c>
      <c r="D51" s="69">
        <f aca="true" t="shared" si="4" ref="D51:P51">D35+D49</f>
        <v>111608.68109975</v>
      </c>
      <c r="E51" s="67">
        <f t="shared" si="4"/>
        <v>744689.99</v>
      </c>
      <c r="F51" s="68">
        <f t="shared" si="4"/>
        <v>152267.78999999998</v>
      </c>
      <c r="G51" s="69">
        <f t="shared" si="4"/>
        <v>660768.2</v>
      </c>
      <c r="H51" s="68">
        <f t="shared" si="4"/>
        <v>924644.6710997501</v>
      </c>
      <c r="I51" s="69">
        <f t="shared" si="4"/>
        <v>69099.39600000001</v>
      </c>
      <c r="J51" s="67">
        <f t="shared" si="4"/>
        <v>105160.54711050002</v>
      </c>
      <c r="K51" s="67">
        <f t="shared" si="4"/>
        <v>398193.28013301536</v>
      </c>
      <c r="L51" s="67">
        <f t="shared" si="4"/>
        <v>202228.67439999996</v>
      </c>
      <c r="M51" s="67">
        <f t="shared" si="4"/>
        <v>32931.358</v>
      </c>
      <c r="N51" s="70">
        <f t="shared" si="4"/>
        <v>817161.7133234054</v>
      </c>
      <c r="O51" s="71">
        <f t="shared" si="4"/>
        <v>107707.95777634463</v>
      </c>
      <c r="P51" s="71">
        <f t="shared" si="4"/>
        <v>-83921.78999999996</v>
      </c>
      <c r="Q51" s="72"/>
      <c r="R51" s="58"/>
    </row>
    <row r="53" spans="1:18" ht="12.75">
      <c r="A53" s="24" t="s">
        <v>67</v>
      </c>
      <c r="D53" s="2" t="s">
        <v>92</v>
      </c>
      <c r="Q53" s="1"/>
      <c r="R53" s="1"/>
    </row>
    <row r="54" spans="1:18" ht="12.75">
      <c r="A54" s="26" t="s">
        <v>68</v>
      </c>
      <c r="B54" s="26" t="s">
        <v>69</v>
      </c>
      <c r="C54" s="288" t="s">
        <v>70</v>
      </c>
      <c r="D54" s="288"/>
      <c r="Q54" s="1"/>
      <c r="R54" s="1"/>
    </row>
    <row r="55" spans="1:18" ht="12.75">
      <c r="A55" s="85">
        <v>260417.91</v>
      </c>
      <c r="B55" s="87">
        <v>122077.28</v>
      </c>
      <c r="C55" s="289">
        <f>A55-B55</f>
        <v>138340.63</v>
      </c>
      <c r="D55" s="290"/>
      <c r="Q55" s="1"/>
      <c r="R55" s="1"/>
    </row>
    <row r="56" spans="1:18" ht="12.75">
      <c r="A56" s="73"/>
      <c r="Q56" s="1"/>
      <c r="R56" s="1"/>
    </row>
    <row r="57" spans="1:18" ht="12.75">
      <c r="A57" s="73"/>
      <c r="Q57" s="1"/>
      <c r="R57" s="1"/>
    </row>
    <row r="58" spans="1:18" ht="12.75">
      <c r="A58" s="2" t="s">
        <v>71</v>
      </c>
      <c r="G58" s="2" t="s">
        <v>72</v>
      </c>
      <c r="Q58" s="1"/>
      <c r="R58" s="1"/>
    </row>
    <row r="59" ht="12.75">
      <c r="A59" s="1"/>
    </row>
    <row r="60" ht="12.75">
      <c r="A60" s="1"/>
    </row>
    <row r="61" ht="12.75">
      <c r="A61" s="1" t="s">
        <v>95</v>
      </c>
    </row>
    <row r="62" ht="12.75">
      <c r="A62" s="2" t="s">
        <v>73</v>
      </c>
    </row>
  </sheetData>
  <sheetProtection/>
  <mergeCells count="23">
    <mergeCell ref="L12:L13"/>
    <mergeCell ref="G10:H11"/>
    <mergeCell ref="A50:O50"/>
    <mergeCell ref="A34:O34"/>
    <mergeCell ref="M12:M13"/>
    <mergeCell ref="N12:N13"/>
    <mergeCell ref="C54:D54"/>
    <mergeCell ref="C55:D55"/>
    <mergeCell ref="P10:P13"/>
    <mergeCell ref="E12:F12"/>
    <mergeCell ref="H12:H13"/>
    <mergeCell ref="I12:I13"/>
    <mergeCell ref="J12:J13"/>
    <mergeCell ref="A6:O6"/>
    <mergeCell ref="A10:A13"/>
    <mergeCell ref="B10:B13"/>
    <mergeCell ref="C10:C13"/>
    <mergeCell ref="D10:D13"/>
    <mergeCell ref="E10:F11"/>
    <mergeCell ref="I10:N11"/>
    <mergeCell ref="O10:O13"/>
    <mergeCell ref="A7:G7"/>
    <mergeCell ref="K12:K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O102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6" sqref="C16"/>
    </sheetView>
  </sheetViews>
  <sheetFormatPr defaultColWidth="9.00390625" defaultRowHeight="12.75"/>
  <cols>
    <col min="1" max="1" width="8.75390625" style="299" bestFit="1" customWidth="1"/>
    <col min="2" max="2" width="9.125" style="299" customWidth="1"/>
    <col min="3" max="3" width="12.625" style="299" customWidth="1"/>
    <col min="4" max="4" width="10.375" style="299" customWidth="1"/>
    <col min="5" max="5" width="10.125" style="299" bestFit="1" customWidth="1"/>
    <col min="6" max="6" width="9.125" style="299" customWidth="1"/>
    <col min="7" max="7" width="10.25390625" style="299" customWidth="1"/>
    <col min="8" max="8" width="9.125" style="299" customWidth="1"/>
    <col min="9" max="9" width="9.875" style="299" customWidth="1"/>
    <col min="10" max="10" width="9.125" style="299" customWidth="1"/>
    <col min="11" max="11" width="10.375" style="299" customWidth="1"/>
    <col min="12" max="12" width="9.125" style="299" customWidth="1"/>
    <col min="13" max="13" width="10.125" style="299" bestFit="1" customWidth="1"/>
    <col min="14" max="14" width="9.125" style="299" customWidth="1"/>
    <col min="15" max="15" width="10.125" style="299" bestFit="1" customWidth="1"/>
    <col min="16" max="18" width="9.125" style="299" customWidth="1"/>
    <col min="19" max="19" width="10.125" style="299" bestFit="1" customWidth="1"/>
    <col min="20" max="20" width="10.125" style="299" customWidth="1"/>
    <col min="21" max="21" width="10.125" style="299" bestFit="1" customWidth="1"/>
    <col min="22" max="22" width="10.25390625" style="299" customWidth="1"/>
    <col min="23" max="23" width="10.625" style="299" customWidth="1"/>
    <col min="24" max="24" width="10.125" style="299" customWidth="1"/>
    <col min="25" max="28" width="10.125" style="299" bestFit="1" customWidth="1"/>
    <col min="29" max="30" width="11.375" style="299" customWidth="1"/>
    <col min="31" max="31" width="9.25390625" style="299" bestFit="1" customWidth="1"/>
    <col min="32" max="32" width="10.125" style="299" bestFit="1" customWidth="1"/>
    <col min="33" max="33" width="10.25390625" style="299" customWidth="1"/>
    <col min="34" max="35" width="9.25390625" style="299" bestFit="1" customWidth="1"/>
    <col min="36" max="36" width="10.75390625" style="299" customWidth="1"/>
    <col min="37" max="38" width="9.25390625" style="299" bestFit="1" customWidth="1"/>
    <col min="39" max="39" width="10.125" style="299" bestFit="1" customWidth="1"/>
    <col min="40" max="40" width="9.25390625" style="299" bestFit="1" customWidth="1"/>
    <col min="41" max="42" width="10.125" style="299" bestFit="1" customWidth="1"/>
    <col min="43" max="45" width="9.25390625" style="299" customWidth="1"/>
    <col min="46" max="46" width="10.125" style="299" bestFit="1" customWidth="1"/>
    <col min="47" max="47" width="11.625" style="299" customWidth="1"/>
    <col min="48" max="48" width="10.875" style="299" customWidth="1"/>
    <col min="49" max="49" width="10.625" style="299" customWidth="1"/>
    <col min="50" max="50" width="9.25390625" style="299" customWidth="1"/>
    <col min="51" max="51" width="10.625" style="299" customWidth="1"/>
    <col min="52" max="52" width="9.25390625" style="299" bestFit="1" customWidth="1"/>
    <col min="53" max="54" width="10.125" style="299" bestFit="1" customWidth="1"/>
    <col min="55" max="55" width="11.625" style="299" customWidth="1"/>
    <col min="56" max="56" width="11.00390625" style="299" customWidth="1"/>
    <col min="57" max="57" width="11.375" style="299" customWidth="1"/>
    <col min="58" max="58" width="14.00390625" style="299" customWidth="1"/>
    <col min="59" max="59" width="9.75390625" style="299" bestFit="1" customWidth="1"/>
    <col min="60" max="16384" width="9.125" style="299" customWidth="1"/>
  </cols>
  <sheetData>
    <row r="1" spans="1:18" ht="21" customHeight="1">
      <c r="A1" s="185" t="s">
        <v>96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298"/>
      <c r="P1" s="298"/>
      <c r="Q1" s="298"/>
      <c r="R1" s="298"/>
    </row>
    <row r="2" spans="1:18" ht="13.5" thickBot="1">
      <c r="A2" s="298"/>
      <c r="B2" s="300"/>
      <c r="C2" s="301"/>
      <c r="D2" s="301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</row>
    <row r="3" spans="1:60" ht="29.25" customHeight="1" thickBot="1">
      <c r="A3" s="186" t="s">
        <v>97</v>
      </c>
      <c r="B3" s="188" t="s">
        <v>0</v>
      </c>
      <c r="C3" s="190" t="s">
        <v>1</v>
      </c>
      <c r="D3" s="192" t="s">
        <v>2</v>
      </c>
      <c r="E3" s="186" t="s">
        <v>98</v>
      </c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199"/>
      <c r="S3" s="186"/>
      <c r="T3" s="204"/>
      <c r="U3" s="186" t="s">
        <v>3</v>
      </c>
      <c r="V3" s="204"/>
      <c r="W3" s="206" t="s">
        <v>4</v>
      </c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302"/>
      <c r="AJ3" s="303" t="s">
        <v>80</v>
      </c>
      <c r="AK3" s="245" t="s">
        <v>8</v>
      </c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7"/>
      <c r="BF3" s="233" t="s">
        <v>9</v>
      </c>
      <c r="BG3" s="304" t="s">
        <v>10</v>
      </c>
      <c r="BH3" s="305"/>
    </row>
    <row r="4" spans="1:59" ht="51.75" customHeight="1" hidden="1" thickBot="1">
      <c r="A4" s="187"/>
      <c r="B4" s="189"/>
      <c r="C4" s="191"/>
      <c r="D4" s="193"/>
      <c r="E4" s="187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7"/>
      <c r="S4" s="200"/>
      <c r="T4" s="205"/>
      <c r="U4" s="200"/>
      <c r="V4" s="205"/>
      <c r="W4" s="208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306"/>
      <c r="AJ4" s="307"/>
      <c r="AK4" s="232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9"/>
      <c r="BF4" s="234"/>
      <c r="BG4" s="308"/>
    </row>
    <row r="5" spans="1:61" ht="19.5" customHeight="1">
      <c r="A5" s="187"/>
      <c r="B5" s="189"/>
      <c r="C5" s="191"/>
      <c r="D5" s="193"/>
      <c r="E5" s="309" t="s">
        <v>11</v>
      </c>
      <c r="F5" s="310"/>
      <c r="G5" s="309" t="s">
        <v>99</v>
      </c>
      <c r="H5" s="310"/>
      <c r="I5" s="309" t="s">
        <v>12</v>
      </c>
      <c r="J5" s="310"/>
      <c r="K5" s="309" t="s">
        <v>14</v>
      </c>
      <c r="L5" s="310"/>
      <c r="M5" s="309" t="s">
        <v>13</v>
      </c>
      <c r="N5" s="310"/>
      <c r="O5" s="311" t="s">
        <v>15</v>
      </c>
      <c r="P5" s="311"/>
      <c r="Q5" s="309" t="s">
        <v>100</v>
      </c>
      <c r="R5" s="310"/>
      <c r="S5" s="311" t="s">
        <v>101</v>
      </c>
      <c r="T5" s="310"/>
      <c r="U5" s="194" t="s">
        <v>18</v>
      </c>
      <c r="V5" s="216" t="s">
        <v>19</v>
      </c>
      <c r="W5" s="312" t="s">
        <v>20</v>
      </c>
      <c r="X5" s="312" t="s">
        <v>102</v>
      </c>
      <c r="Y5" s="312" t="s">
        <v>21</v>
      </c>
      <c r="Z5" s="312" t="s">
        <v>23</v>
      </c>
      <c r="AA5" s="312" t="s">
        <v>22</v>
      </c>
      <c r="AB5" s="312" t="s">
        <v>24</v>
      </c>
      <c r="AC5" s="312" t="s">
        <v>25</v>
      </c>
      <c r="AD5" s="313" t="s">
        <v>26</v>
      </c>
      <c r="AE5" s="313" t="s">
        <v>103</v>
      </c>
      <c r="AF5" s="314" t="s">
        <v>27</v>
      </c>
      <c r="AG5" s="315" t="s">
        <v>79</v>
      </c>
      <c r="AH5" s="316" t="s">
        <v>6</v>
      </c>
      <c r="AI5" s="317" t="s">
        <v>7</v>
      </c>
      <c r="AJ5" s="307"/>
      <c r="AK5" s="318" t="s">
        <v>104</v>
      </c>
      <c r="AL5" s="319" t="s">
        <v>105</v>
      </c>
      <c r="AM5" s="319" t="s">
        <v>106</v>
      </c>
      <c r="AN5" s="239" t="s">
        <v>107</v>
      </c>
      <c r="AO5" s="319" t="s">
        <v>108</v>
      </c>
      <c r="AP5" s="239" t="s">
        <v>109</v>
      </c>
      <c r="AQ5" s="239" t="s">
        <v>110</v>
      </c>
      <c r="AR5" s="239" t="s">
        <v>111</v>
      </c>
      <c r="AS5" s="239" t="s">
        <v>112</v>
      </c>
      <c r="AT5" s="239" t="s">
        <v>34</v>
      </c>
      <c r="AU5" s="320" t="s">
        <v>113</v>
      </c>
      <c r="AV5" s="252" t="s">
        <v>114</v>
      </c>
      <c r="AW5" s="320" t="s">
        <v>115</v>
      </c>
      <c r="AX5" s="321" t="s">
        <v>116</v>
      </c>
      <c r="AY5" s="322"/>
      <c r="AZ5" s="243" t="s">
        <v>17</v>
      </c>
      <c r="BA5" s="239" t="s">
        <v>36</v>
      </c>
      <c r="BB5" s="239" t="s">
        <v>31</v>
      </c>
      <c r="BC5" s="323" t="s">
        <v>37</v>
      </c>
      <c r="BD5" s="236" t="s">
        <v>82</v>
      </c>
      <c r="BE5" s="239" t="s">
        <v>83</v>
      </c>
      <c r="BF5" s="234"/>
      <c r="BG5" s="308"/>
      <c r="BH5" s="182"/>
      <c r="BI5" s="181"/>
    </row>
    <row r="6" spans="1:61" ht="63.75" customHeight="1" thickBot="1">
      <c r="A6" s="187"/>
      <c r="B6" s="189"/>
      <c r="C6" s="191"/>
      <c r="D6" s="193"/>
      <c r="E6" s="324"/>
      <c r="F6" s="325"/>
      <c r="G6" s="324"/>
      <c r="H6" s="325"/>
      <c r="I6" s="324"/>
      <c r="J6" s="325"/>
      <c r="K6" s="324"/>
      <c r="L6" s="325"/>
      <c r="M6" s="324"/>
      <c r="N6" s="325"/>
      <c r="O6" s="326"/>
      <c r="P6" s="326"/>
      <c r="Q6" s="324"/>
      <c r="R6" s="325"/>
      <c r="S6" s="327"/>
      <c r="T6" s="325"/>
      <c r="U6" s="328"/>
      <c r="V6" s="329"/>
      <c r="W6" s="330"/>
      <c r="X6" s="330"/>
      <c r="Y6" s="330"/>
      <c r="Z6" s="330"/>
      <c r="AA6" s="330"/>
      <c r="AB6" s="330"/>
      <c r="AC6" s="330"/>
      <c r="AD6" s="331"/>
      <c r="AE6" s="331"/>
      <c r="AF6" s="332"/>
      <c r="AG6" s="333"/>
      <c r="AH6" s="334"/>
      <c r="AI6" s="335"/>
      <c r="AJ6" s="336"/>
      <c r="AK6" s="221"/>
      <c r="AL6" s="225"/>
      <c r="AM6" s="225"/>
      <c r="AN6" s="203"/>
      <c r="AO6" s="225"/>
      <c r="AP6" s="203"/>
      <c r="AQ6" s="203"/>
      <c r="AR6" s="203"/>
      <c r="AS6" s="203"/>
      <c r="AT6" s="203"/>
      <c r="AU6" s="255"/>
      <c r="AV6" s="253"/>
      <c r="AW6" s="255"/>
      <c r="AX6" s="337"/>
      <c r="AY6" s="107" t="s">
        <v>117</v>
      </c>
      <c r="AZ6" s="244"/>
      <c r="BA6" s="203"/>
      <c r="BB6" s="203"/>
      <c r="BC6" s="338"/>
      <c r="BD6" s="238"/>
      <c r="BE6" s="203"/>
      <c r="BF6" s="235"/>
      <c r="BG6" s="339"/>
      <c r="BH6" s="182"/>
      <c r="BI6" s="181"/>
    </row>
    <row r="7" spans="1:61" ht="19.5" customHeight="1" thickBot="1">
      <c r="A7" s="340">
        <v>1</v>
      </c>
      <c r="B7" s="341">
        <v>2</v>
      </c>
      <c r="C7" s="341">
        <v>3</v>
      </c>
      <c r="D7" s="340">
        <v>4</v>
      </c>
      <c r="E7" s="341">
        <v>5</v>
      </c>
      <c r="F7" s="341">
        <v>6</v>
      </c>
      <c r="G7" s="340">
        <v>7</v>
      </c>
      <c r="H7" s="341">
        <v>8</v>
      </c>
      <c r="I7" s="341">
        <v>9</v>
      </c>
      <c r="J7" s="340">
        <v>10</v>
      </c>
      <c r="K7" s="341">
        <v>11</v>
      </c>
      <c r="L7" s="341">
        <v>12</v>
      </c>
      <c r="M7" s="340">
        <v>13</v>
      </c>
      <c r="N7" s="341">
        <v>14</v>
      </c>
      <c r="O7" s="341">
        <v>15</v>
      </c>
      <c r="P7" s="341">
        <v>16</v>
      </c>
      <c r="Q7" s="341">
        <v>17</v>
      </c>
      <c r="R7" s="341">
        <v>18</v>
      </c>
      <c r="S7" s="340">
        <v>19</v>
      </c>
      <c r="T7" s="341">
        <v>20</v>
      </c>
      <c r="U7" s="341">
        <v>21</v>
      </c>
      <c r="V7" s="340">
        <v>22</v>
      </c>
      <c r="W7" s="341">
        <v>23</v>
      </c>
      <c r="X7" s="340">
        <v>24</v>
      </c>
      <c r="Y7" s="341">
        <v>25</v>
      </c>
      <c r="Z7" s="340">
        <v>26</v>
      </c>
      <c r="AA7" s="341">
        <v>27</v>
      </c>
      <c r="AB7" s="340">
        <v>28</v>
      </c>
      <c r="AC7" s="341">
        <v>29</v>
      </c>
      <c r="AD7" s="340">
        <v>30</v>
      </c>
      <c r="AE7" s="340">
        <v>31</v>
      </c>
      <c r="AF7" s="341">
        <v>32</v>
      </c>
      <c r="AG7" s="340">
        <v>33</v>
      </c>
      <c r="AH7" s="341">
        <v>34</v>
      </c>
      <c r="AI7" s="340">
        <v>35</v>
      </c>
      <c r="AJ7" s="341">
        <v>36</v>
      </c>
      <c r="AK7" s="340">
        <v>37</v>
      </c>
      <c r="AL7" s="341">
        <v>38</v>
      </c>
      <c r="AM7" s="340">
        <v>39</v>
      </c>
      <c r="AN7" s="340">
        <v>40</v>
      </c>
      <c r="AO7" s="341">
        <v>41</v>
      </c>
      <c r="AP7" s="340">
        <v>42</v>
      </c>
      <c r="AQ7" s="341">
        <v>43</v>
      </c>
      <c r="AR7" s="340">
        <v>44</v>
      </c>
      <c r="AS7" s="341">
        <v>45</v>
      </c>
      <c r="AT7" s="340">
        <v>46</v>
      </c>
      <c r="AU7" s="340">
        <v>46</v>
      </c>
      <c r="AV7" s="341">
        <v>47</v>
      </c>
      <c r="AW7" s="340">
        <v>48</v>
      </c>
      <c r="AX7" s="340">
        <v>49</v>
      </c>
      <c r="AY7" s="341"/>
      <c r="AZ7" s="341">
        <v>50</v>
      </c>
      <c r="BA7" s="341">
        <v>51</v>
      </c>
      <c r="BB7" s="341">
        <v>52</v>
      </c>
      <c r="BC7" s="341">
        <v>53</v>
      </c>
      <c r="BD7" s="341">
        <v>54</v>
      </c>
      <c r="BE7" s="341"/>
      <c r="BF7" s="341">
        <v>55</v>
      </c>
      <c r="BG7" s="341">
        <v>56</v>
      </c>
      <c r="BH7" s="181"/>
      <c r="BI7" s="181"/>
    </row>
    <row r="8" spans="1:59" s="24" customFormat="1" ht="13.5" thickBot="1">
      <c r="A8" s="27" t="s">
        <v>52</v>
      </c>
      <c r="B8" s="342"/>
      <c r="C8" s="342">
        <f>Лист1!C44</f>
        <v>1011118.0489999999</v>
      </c>
      <c r="D8" s="342">
        <f>Лист1!D44</f>
        <v>111608.68109975</v>
      </c>
      <c r="E8" s="342">
        <f>Лист1!E44</f>
        <v>85987.87000000001</v>
      </c>
      <c r="F8" s="342">
        <f>Лист1!F44</f>
        <v>17580.89</v>
      </c>
      <c r="G8" s="342">
        <f>0</f>
        <v>0</v>
      </c>
      <c r="H8" s="342">
        <f>0</f>
        <v>0</v>
      </c>
      <c r="I8" s="342">
        <f>Лист1!G44</f>
        <v>116385.01999999999</v>
      </c>
      <c r="J8" s="342">
        <f>Лист1!H44</f>
        <v>23799.559999999998</v>
      </c>
      <c r="K8" s="342">
        <f>Лист1!K44</f>
        <v>193775.06</v>
      </c>
      <c r="L8" s="342">
        <f>Лист1!L44</f>
        <v>39621.84</v>
      </c>
      <c r="M8" s="342">
        <f>Лист1!I44</f>
        <v>279770.24</v>
      </c>
      <c r="N8" s="342">
        <f>Лист1!J44</f>
        <v>57201.66</v>
      </c>
      <c r="O8" s="342">
        <f>Лист1!M44</f>
        <v>68771.8</v>
      </c>
      <c r="P8" s="342">
        <f>Лист1!N44</f>
        <v>14063.84</v>
      </c>
      <c r="Q8" s="342">
        <f>'[2]Лист1'!O44</f>
        <v>0</v>
      </c>
      <c r="R8" s="342">
        <f>'[2]Лист1'!P44</f>
        <v>0</v>
      </c>
      <c r="S8" s="342">
        <f>'[2]Лист1'!Q44</f>
        <v>0</v>
      </c>
      <c r="T8" s="342">
        <f>'[2]Лист1'!R44</f>
        <v>0</v>
      </c>
      <c r="U8" s="342">
        <f>Лист1!S44</f>
        <v>744689.99</v>
      </c>
      <c r="V8" s="342">
        <f>Лист1!T44</f>
        <v>152267.78999999998</v>
      </c>
      <c r="W8" s="342">
        <f>Лист1!U44</f>
        <v>76011.93000000001</v>
      </c>
      <c r="X8" s="342">
        <v>0</v>
      </c>
      <c r="Y8" s="342">
        <f>Лист1!V44</f>
        <v>100843.01000000001</v>
      </c>
      <c r="Z8" s="342">
        <f>Лист1!X44</f>
        <v>171273.90999999997</v>
      </c>
      <c r="AA8" s="342">
        <f>Лист1!W44</f>
        <v>251848.45</v>
      </c>
      <c r="AB8" s="342">
        <f>Лист1!Y44</f>
        <v>60790.899999999994</v>
      </c>
      <c r="AC8" s="342">
        <f>'[3]Лист1'!Z42</f>
        <v>0</v>
      </c>
      <c r="AD8" s="342">
        <f>'[3]Лист1'!AA42</f>
        <v>0</v>
      </c>
      <c r="AE8" s="342">
        <f>0</f>
        <v>0</v>
      </c>
      <c r="AF8" s="342">
        <f>Лист1!AB44</f>
        <v>660768.2</v>
      </c>
      <c r="AG8" s="342">
        <f>Лист1!AC44</f>
        <v>924644.6710997501</v>
      </c>
      <c r="AH8" s="342">
        <f>'[3]Лист1'!AD42</f>
        <v>0</v>
      </c>
      <c r="AI8" s="342">
        <f>'[3]Лист1'!AE42</f>
        <v>0</v>
      </c>
      <c r="AJ8" s="342">
        <f>'[4]Лист1'!AF44</f>
        <v>0</v>
      </c>
      <c r="AK8" s="342">
        <f>Лист1!AG44</f>
        <v>69099.39600000001</v>
      </c>
      <c r="AL8" s="342">
        <f>Лист1!AH44</f>
        <v>23153.612544200005</v>
      </c>
      <c r="AM8" s="342">
        <f>Лист1!AI44+Лист1!AJ44</f>
        <v>114709.00479039001</v>
      </c>
      <c r="AN8" s="342">
        <v>0</v>
      </c>
      <c r="AO8" s="342">
        <f>Лист1!AK44+Лист1!AL44</f>
        <v>114406.76746254039</v>
      </c>
      <c r="AP8" s="342">
        <f>Лист1!AM44+Лист1!AN44</f>
        <v>255957.580126275</v>
      </c>
      <c r="AQ8" s="342">
        <v>0</v>
      </c>
      <c r="AR8" s="342">
        <v>0</v>
      </c>
      <c r="AS8" s="342">
        <f>0</f>
        <v>0</v>
      </c>
      <c r="AT8" s="342">
        <f>Лист1!AO44+Лист1!AP44</f>
        <v>4675.32</v>
      </c>
      <c r="AU8" s="342">
        <f>Лист1!AS44+Лист1!AU44</f>
        <v>195937.9344</v>
      </c>
      <c r="AV8" s="342">
        <v>0</v>
      </c>
      <c r="AW8" s="342">
        <f>Лист1!AT44</f>
        <v>6290.74</v>
      </c>
      <c r="AX8" s="342">
        <f>'[5]Лист1'!AQ44+'[5]Лист1'!AR44</f>
        <v>0</v>
      </c>
      <c r="AY8" s="343">
        <f>Лист1!AX44</f>
        <v>32931.358</v>
      </c>
      <c r="AZ8" s="343">
        <f>'[2]Лист1'!AY44</f>
        <v>0</v>
      </c>
      <c r="BA8" s="343">
        <v>0</v>
      </c>
      <c r="BB8" s="343">
        <v>0</v>
      </c>
      <c r="BC8" s="343">
        <f>Лист1!BB44</f>
        <v>817161.7133234054</v>
      </c>
      <c r="BD8" s="342">
        <f>'[6]Лист1'!BC44</f>
        <v>0</v>
      </c>
      <c r="BE8" s="342">
        <f>BC8</f>
        <v>817161.7133234054</v>
      </c>
      <c r="BF8" s="344">
        <f>Лист1!BE44</f>
        <v>107707.95777634463</v>
      </c>
      <c r="BG8" s="344">
        <f>Лист1!BF44</f>
        <v>-83921.78999999996</v>
      </c>
    </row>
    <row r="9" spans="1:59" ht="12.75">
      <c r="A9" s="5" t="s">
        <v>118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5"/>
      <c r="BE9" s="346"/>
      <c r="BF9" s="344"/>
      <c r="BG9" s="344"/>
    </row>
    <row r="10" spans="1:70" ht="12.75">
      <c r="A10" s="347" t="s">
        <v>43</v>
      </c>
      <c r="B10" s="348">
        <v>4374.12</v>
      </c>
      <c r="C10" s="148">
        <f>B10*8.55</f>
        <v>37398.726</v>
      </c>
      <c r="D10" s="165">
        <v>318.2652</v>
      </c>
      <c r="E10" s="349">
        <v>0</v>
      </c>
      <c r="F10" s="349">
        <v>0</v>
      </c>
      <c r="G10" s="350">
        <v>22988.69</v>
      </c>
      <c r="H10" s="350">
        <v>0</v>
      </c>
      <c r="I10" s="350">
        <v>0</v>
      </c>
      <c r="J10" s="350">
        <v>0</v>
      </c>
      <c r="K10" s="350">
        <v>0</v>
      </c>
      <c r="L10" s="350">
        <v>0</v>
      </c>
      <c r="M10" s="350">
        <v>1118.46</v>
      </c>
      <c r="N10" s="350">
        <v>0</v>
      </c>
      <c r="O10" s="351">
        <v>3856.06</v>
      </c>
      <c r="P10" s="352">
        <v>0</v>
      </c>
      <c r="Q10" s="353">
        <v>0</v>
      </c>
      <c r="R10" s="354">
        <v>0</v>
      </c>
      <c r="S10" s="355">
        <v>0</v>
      </c>
      <c r="T10" s="356">
        <v>0</v>
      </c>
      <c r="U10" s="357">
        <f aca="true" t="shared" si="0" ref="U10:V21">E10+G10+I10+K10+M10+O10+Q10+S10</f>
        <v>27963.21</v>
      </c>
      <c r="V10" s="358">
        <f t="shared" si="0"/>
        <v>0</v>
      </c>
      <c r="W10" s="350">
        <v>2866.94</v>
      </c>
      <c r="X10" s="350"/>
      <c r="Y10" s="350">
        <v>3883.88</v>
      </c>
      <c r="Z10" s="350">
        <v>6464.14</v>
      </c>
      <c r="AA10" s="350">
        <v>9063.27</v>
      </c>
      <c r="AB10" s="350">
        <v>2265.08</v>
      </c>
      <c r="AC10" s="350">
        <v>0</v>
      </c>
      <c r="AD10" s="349">
        <v>0</v>
      </c>
      <c r="AE10" s="359">
        <v>0</v>
      </c>
      <c r="AF10" s="359">
        <f>SUM(W10:AE10)</f>
        <v>24543.309999999998</v>
      </c>
      <c r="AG10" s="360">
        <f>AF10+V10+D10</f>
        <v>24861.5752</v>
      </c>
      <c r="AH10" s="361">
        <f aca="true" t="shared" si="1" ref="AH10:AI21">AC10</f>
        <v>0</v>
      </c>
      <c r="AI10" s="361">
        <f t="shared" si="1"/>
        <v>0</v>
      </c>
      <c r="AJ10" s="362">
        <f>'[8]Т01'!$I$145</f>
        <v>100</v>
      </c>
      <c r="AK10" s="363">
        <f aca="true" t="shared" si="2" ref="AK10:AK21">0.67*B10</f>
        <v>2930.6604</v>
      </c>
      <c r="AL10" s="363">
        <f aca="true" t="shared" si="3" ref="AL10:AL21">B10*0.2</f>
        <v>874.8240000000001</v>
      </c>
      <c r="AM10" s="363">
        <f aca="true" t="shared" si="4" ref="AM10:AM21">B10*1</f>
        <v>4374.12</v>
      </c>
      <c r="AN10" s="363">
        <f aca="true" t="shared" si="5" ref="AN10:AN21">B10*0.21</f>
        <v>918.5651999999999</v>
      </c>
      <c r="AO10" s="363">
        <f aca="true" t="shared" si="6" ref="AO10:AO21">2.02*B10</f>
        <v>8835.7224</v>
      </c>
      <c r="AP10" s="363">
        <f aca="true" t="shared" si="7" ref="AP10:AP21">B10*1.03</f>
        <v>4505.3436</v>
      </c>
      <c r="AQ10" s="363">
        <f aca="true" t="shared" si="8" ref="AQ10:AQ21">B10*0.75</f>
        <v>3280.59</v>
      </c>
      <c r="AR10" s="363">
        <f aca="true" t="shared" si="9" ref="AR10:AR21">B10*0.75</f>
        <v>3280.59</v>
      </c>
      <c r="AS10" s="363">
        <f>B10*1.15</f>
        <v>5030.237999999999</v>
      </c>
      <c r="AT10" s="363">
        <f>0.45*865.8</f>
        <v>389.61</v>
      </c>
      <c r="AU10" s="364">
        <v>6520</v>
      </c>
      <c r="AV10" s="365">
        <v>1925</v>
      </c>
      <c r="AW10" s="364"/>
      <c r="AX10" s="364">
        <f>6.64+10+23.1+1113+829.5+12000</f>
        <v>13982.24</v>
      </c>
      <c r="AY10" s="156"/>
      <c r="AZ10" s="497"/>
      <c r="BA10" s="366"/>
      <c r="BB10" s="366">
        <f>BA10*0.18</f>
        <v>0</v>
      </c>
      <c r="BC10" s="366">
        <f>SUM(AK10:BB10)</f>
        <v>56847.5036</v>
      </c>
      <c r="BD10" s="367">
        <f>'[8]Т01'!$R$145</f>
        <v>25</v>
      </c>
      <c r="BE10" s="367">
        <f>BC10+BD10</f>
        <v>56872.5036</v>
      </c>
      <c r="BF10" s="367">
        <f>AG10+AJ10-BE10</f>
        <v>-31910.928399999997</v>
      </c>
      <c r="BG10" s="367">
        <f>AF10-U10</f>
        <v>-3419.9000000000015</v>
      </c>
      <c r="BH10" s="367"/>
      <c r="BI10" s="367"/>
      <c r="BJ10" s="366"/>
      <c r="BK10" s="368"/>
      <c r="BL10" s="343"/>
      <c r="BM10" s="343"/>
      <c r="BN10" s="369"/>
      <c r="BO10" s="342"/>
      <c r="BP10" s="370"/>
      <c r="BQ10" s="371"/>
      <c r="BR10" s="372"/>
    </row>
    <row r="11" spans="1:88" ht="12.75">
      <c r="A11" s="347" t="s">
        <v>44</v>
      </c>
      <c r="B11" s="348">
        <v>4374.12</v>
      </c>
      <c r="C11" s="148">
        <f>B11*8.55</f>
        <v>37398.726</v>
      </c>
      <c r="D11" s="165">
        <v>318.2652</v>
      </c>
      <c r="E11" s="349">
        <v>-3.39</v>
      </c>
      <c r="F11" s="349">
        <v>0</v>
      </c>
      <c r="G11" s="350">
        <v>22803.75</v>
      </c>
      <c r="H11" s="350">
        <v>0</v>
      </c>
      <c r="I11" s="350">
        <v>-4.6</v>
      </c>
      <c r="J11" s="350">
        <v>0</v>
      </c>
      <c r="K11" s="350">
        <v>-7.66</v>
      </c>
      <c r="L11" s="350">
        <v>0</v>
      </c>
      <c r="M11" s="350">
        <v>11107.4</v>
      </c>
      <c r="N11" s="350">
        <v>0</v>
      </c>
      <c r="O11" s="351">
        <v>3853.35</v>
      </c>
      <c r="P11" s="373">
        <v>0</v>
      </c>
      <c r="Q11" s="349">
        <v>0</v>
      </c>
      <c r="R11" s="349">
        <v>0</v>
      </c>
      <c r="S11" s="349">
        <v>0</v>
      </c>
      <c r="T11" s="350">
        <v>0</v>
      </c>
      <c r="U11" s="374">
        <f t="shared" si="0"/>
        <v>37748.85</v>
      </c>
      <c r="V11" s="358">
        <f t="shared" si="0"/>
        <v>0</v>
      </c>
      <c r="W11" s="350">
        <v>511.39</v>
      </c>
      <c r="X11" s="349">
        <v>16610.66</v>
      </c>
      <c r="Y11" s="350">
        <v>2503.94</v>
      </c>
      <c r="Z11" s="350">
        <v>1172.06</v>
      </c>
      <c r="AA11" s="350">
        <v>9397.79</v>
      </c>
      <c r="AB11" s="350">
        <v>3275.28</v>
      </c>
      <c r="AC11" s="350">
        <v>0</v>
      </c>
      <c r="AD11" s="349">
        <v>0</v>
      </c>
      <c r="AE11" s="349">
        <v>0</v>
      </c>
      <c r="AF11" s="359">
        <f>SUM(W11:AE11)</f>
        <v>33471.12</v>
      </c>
      <c r="AG11" s="360">
        <f>AF11+V11+D11</f>
        <v>33789.385200000004</v>
      </c>
      <c r="AH11" s="361">
        <f t="shared" si="1"/>
        <v>0</v>
      </c>
      <c r="AI11" s="361">
        <f t="shared" si="1"/>
        <v>0</v>
      </c>
      <c r="AJ11" s="362">
        <f>'[8]Т02'!$J$147</f>
        <v>100</v>
      </c>
      <c r="AK11" s="363">
        <f t="shared" si="2"/>
        <v>2930.6604</v>
      </c>
      <c r="AL11" s="363">
        <f t="shared" si="3"/>
        <v>874.8240000000001</v>
      </c>
      <c r="AM11" s="363">
        <f t="shared" si="4"/>
        <v>4374.12</v>
      </c>
      <c r="AN11" s="363">
        <f t="shared" si="5"/>
        <v>918.5651999999999</v>
      </c>
      <c r="AO11" s="363">
        <f t="shared" si="6"/>
        <v>8835.7224</v>
      </c>
      <c r="AP11" s="363">
        <f t="shared" si="7"/>
        <v>4505.3436</v>
      </c>
      <c r="AQ11" s="363">
        <f t="shared" si="8"/>
        <v>3280.59</v>
      </c>
      <c r="AR11" s="363">
        <f t="shared" si="9"/>
        <v>3280.59</v>
      </c>
      <c r="AS11" s="363">
        <f>B11*1.15</f>
        <v>5030.237999999999</v>
      </c>
      <c r="AT11" s="363"/>
      <c r="AU11" s="364">
        <v>1628</v>
      </c>
      <c r="AV11" s="365"/>
      <c r="AW11" s="364"/>
      <c r="AX11" s="364">
        <f>344+1524+33.84+532</f>
        <v>2433.84</v>
      </c>
      <c r="AY11" s="156"/>
      <c r="AZ11" s="497"/>
      <c r="BA11" s="366"/>
      <c r="BB11" s="366">
        <f>BA11*0.18</f>
        <v>0</v>
      </c>
      <c r="BC11" s="366">
        <f>SUM(AK11:BB11)</f>
        <v>38092.4936</v>
      </c>
      <c r="BD11" s="367">
        <f>'[8]Т02'!$S$146</f>
        <v>25</v>
      </c>
      <c r="BE11" s="367">
        <f aca="true" t="shared" si="10" ref="BE11:BF21">BC11+BD11</f>
        <v>38117.4936</v>
      </c>
      <c r="BF11" s="367">
        <f aca="true" t="shared" si="11" ref="BF11:BF21">AG11+AJ11-BE11</f>
        <v>-4228.108399999997</v>
      </c>
      <c r="BG11" s="367">
        <f aca="true" t="shared" si="12" ref="BG11:BG21">AF11-U11</f>
        <v>-4277.729999999996</v>
      </c>
      <c r="BH11" s="367"/>
      <c r="BI11" s="367"/>
      <c r="BJ11" s="366"/>
      <c r="BK11" s="375"/>
      <c r="BL11" s="72"/>
      <c r="BM11" s="372"/>
      <c r="BN11" s="372"/>
      <c r="BO11" s="372"/>
      <c r="BP11" s="298"/>
      <c r="BQ11" s="298"/>
      <c r="BR11" s="298"/>
      <c r="BS11" s="298"/>
      <c r="BT11" s="298"/>
      <c r="BU11" s="298"/>
      <c r="BV11" s="298"/>
      <c r="BW11" s="298"/>
      <c r="BX11" s="298"/>
      <c r="BY11" s="298"/>
      <c r="BZ11" s="298"/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</row>
    <row r="12" spans="1:88" ht="12.75">
      <c r="A12" s="347" t="s">
        <v>45</v>
      </c>
      <c r="B12" s="348">
        <v>4374.12</v>
      </c>
      <c r="C12" s="148">
        <f>B12*8.55</f>
        <v>37398.726</v>
      </c>
      <c r="D12" s="491">
        <f>318.2652+20000</f>
        <v>20318.2652</v>
      </c>
      <c r="E12" s="349">
        <v>0</v>
      </c>
      <c r="F12" s="349">
        <v>0</v>
      </c>
      <c r="G12" s="350">
        <v>22913.51</v>
      </c>
      <c r="H12" s="350">
        <v>0</v>
      </c>
      <c r="I12" s="350">
        <v>0</v>
      </c>
      <c r="J12" s="350">
        <v>0</v>
      </c>
      <c r="K12" s="350">
        <v>0</v>
      </c>
      <c r="L12" s="350">
        <v>0</v>
      </c>
      <c r="M12" s="350">
        <v>11126.96</v>
      </c>
      <c r="N12" s="350">
        <v>0</v>
      </c>
      <c r="O12" s="351">
        <v>3859.09</v>
      </c>
      <c r="P12" s="352">
        <v>0</v>
      </c>
      <c r="Q12" s="376">
        <v>0</v>
      </c>
      <c r="R12" s="376">
        <v>0</v>
      </c>
      <c r="S12" s="376">
        <v>0</v>
      </c>
      <c r="T12" s="350">
        <v>0</v>
      </c>
      <c r="U12" s="350">
        <f t="shared" si="0"/>
        <v>37899.56</v>
      </c>
      <c r="V12" s="377">
        <f t="shared" si="0"/>
        <v>0</v>
      </c>
      <c r="W12" s="378">
        <v>492.58</v>
      </c>
      <c r="X12" s="349">
        <v>17900.21</v>
      </c>
      <c r="Y12" s="350">
        <v>666.85</v>
      </c>
      <c r="Z12" s="350">
        <v>1110.28</v>
      </c>
      <c r="AA12" s="350">
        <v>9277.28</v>
      </c>
      <c r="AB12" s="350">
        <v>4963.23</v>
      </c>
      <c r="AC12" s="350">
        <v>0</v>
      </c>
      <c r="AD12" s="349">
        <v>0</v>
      </c>
      <c r="AE12" s="350">
        <v>0</v>
      </c>
      <c r="AF12" s="379">
        <f>SUM(W12:AE12)</f>
        <v>34410.42999999999</v>
      </c>
      <c r="AG12" s="360">
        <f>AF12+V12+D12</f>
        <v>54728.695199999995</v>
      </c>
      <c r="AH12" s="361">
        <f t="shared" si="1"/>
        <v>0</v>
      </c>
      <c r="AI12" s="361">
        <f t="shared" si="1"/>
        <v>0</v>
      </c>
      <c r="AJ12" s="362">
        <f>'[8]Т03'!$J$147</f>
        <v>100</v>
      </c>
      <c r="AK12" s="363">
        <f t="shared" si="2"/>
        <v>2930.6604</v>
      </c>
      <c r="AL12" s="363">
        <f t="shared" si="3"/>
        <v>874.8240000000001</v>
      </c>
      <c r="AM12" s="363">
        <f t="shared" si="4"/>
        <v>4374.12</v>
      </c>
      <c r="AN12" s="363">
        <f t="shared" si="5"/>
        <v>918.5651999999999</v>
      </c>
      <c r="AO12" s="363">
        <f t="shared" si="6"/>
        <v>8835.7224</v>
      </c>
      <c r="AP12" s="363">
        <f t="shared" si="7"/>
        <v>4505.3436</v>
      </c>
      <c r="AQ12" s="363">
        <f t="shared" si="8"/>
        <v>3280.59</v>
      </c>
      <c r="AR12" s="363">
        <f t="shared" si="9"/>
        <v>3280.59</v>
      </c>
      <c r="AS12" s="363">
        <f>B12*1.15</f>
        <v>5030.237999999999</v>
      </c>
      <c r="AT12" s="363">
        <f>0.45*865.8</f>
        <v>389.61</v>
      </c>
      <c r="AU12" s="364"/>
      <c r="AV12" s="380"/>
      <c r="AW12" s="364"/>
      <c r="AX12" s="364">
        <f>'[9]март 2011'!$F$160</f>
        <v>234</v>
      </c>
      <c r="AY12" s="156"/>
      <c r="AZ12" s="497"/>
      <c r="BA12" s="366"/>
      <c r="BB12" s="366">
        <f>BA12*0.18</f>
        <v>0</v>
      </c>
      <c r="BC12" s="366">
        <f>SUM(AK12:BB12)</f>
        <v>34654.2636</v>
      </c>
      <c r="BD12" s="367">
        <f>'[8]Т03'!$S$147</f>
        <v>25</v>
      </c>
      <c r="BE12" s="367">
        <f t="shared" si="10"/>
        <v>34679.2636</v>
      </c>
      <c r="BF12" s="367">
        <f t="shared" si="11"/>
        <v>20149.431599999996</v>
      </c>
      <c r="BG12" s="367">
        <f t="shared" si="12"/>
        <v>-3489.1300000000047</v>
      </c>
      <c r="BH12" s="367"/>
      <c r="BI12" s="367"/>
      <c r="BJ12" s="366"/>
      <c r="BK12" s="375"/>
      <c r="BL12" s="72"/>
      <c r="BM12" s="372"/>
      <c r="BN12" s="372"/>
      <c r="BO12" s="372"/>
      <c r="BP12" s="298"/>
      <c r="BQ12" s="298"/>
      <c r="BR12" s="298"/>
      <c r="BS12" s="298"/>
      <c r="BT12" s="298"/>
      <c r="BU12" s="298"/>
      <c r="BV12" s="298"/>
      <c r="BW12" s="298"/>
      <c r="BX12" s="298"/>
      <c r="BY12" s="298"/>
      <c r="BZ12" s="298"/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</row>
    <row r="13" spans="1:90" ht="12.75">
      <c r="A13" s="347" t="s">
        <v>46</v>
      </c>
      <c r="B13" s="348">
        <v>4374.12</v>
      </c>
      <c r="C13" s="148">
        <f>B13*8.55</f>
        <v>37398.726</v>
      </c>
      <c r="D13" s="381">
        <v>318.2652</v>
      </c>
      <c r="E13" s="355">
        <v>-1.24</v>
      </c>
      <c r="F13" s="349">
        <v>0</v>
      </c>
      <c r="G13" s="378">
        <v>22896.22</v>
      </c>
      <c r="H13" s="350">
        <v>0</v>
      </c>
      <c r="I13" s="350">
        <v>-1.67</v>
      </c>
      <c r="J13" s="350">
        <v>0</v>
      </c>
      <c r="K13" s="350">
        <v>-2.79</v>
      </c>
      <c r="L13" s="350">
        <v>0</v>
      </c>
      <c r="M13" s="350">
        <v>11114.43</v>
      </c>
      <c r="N13" s="350">
        <v>0</v>
      </c>
      <c r="O13" s="351">
        <v>3855.06</v>
      </c>
      <c r="P13" s="352">
        <v>0</v>
      </c>
      <c r="Q13" s="382">
        <v>0</v>
      </c>
      <c r="R13" s="352">
        <v>0</v>
      </c>
      <c r="S13" s="383">
        <v>0</v>
      </c>
      <c r="T13" s="356">
        <v>0</v>
      </c>
      <c r="U13" s="374">
        <f t="shared" si="0"/>
        <v>37860.009999999995</v>
      </c>
      <c r="V13" s="377">
        <f t="shared" si="0"/>
        <v>0</v>
      </c>
      <c r="W13" s="350">
        <v>2594.98</v>
      </c>
      <c r="X13" s="349">
        <v>21478.73</v>
      </c>
      <c r="Y13" s="350">
        <v>1076.31</v>
      </c>
      <c r="Z13" s="350">
        <v>1791.85</v>
      </c>
      <c r="AA13" s="350">
        <v>12643.1</v>
      </c>
      <c r="AB13" s="349">
        <v>4303.7</v>
      </c>
      <c r="AC13" s="350">
        <v>0</v>
      </c>
      <c r="AD13" s="349">
        <v>0</v>
      </c>
      <c r="AE13" s="349">
        <v>0</v>
      </c>
      <c r="AF13" s="359">
        <f>SUM(W13:AD13)</f>
        <v>43888.67</v>
      </c>
      <c r="AG13" s="384">
        <f>AF13+V13+D13</f>
        <v>44206.9352</v>
      </c>
      <c r="AH13" s="391">
        <f t="shared" si="1"/>
        <v>0</v>
      </c>
      <c r="AI13" s="391">
        <f t="shared" si="1"/>
        <v>0</v>
      </c>
      <c r="AJ13" s="392">
        <f>'[10]Т04'!$J$149</f>
        <v>100</v>
      </c>
      <c r="AK13" s="363">
        <f t="shared" si="2"/>
        <v>2930.6604</v>
      </c>
      <c r="AL13" s="363">
        <f t="shared" si="3"/>
        <v>874.8240000000001</v>
      </c>
      <c r="AM13" s="363">
        <f t="shared" si="4"/>
        <v>4374.12</v>
      </c>
      <c r="AN13" s="363">
        <f t="shared" si="5"/>
        <v>918.5651999999999</v>
      </c>
      <c r="AO13" s="363">
        <f t="shared" si="6"/>
        <v>8835.7224</v>
      </c>
      <c r="AP13" s="363">
        <f t="shared" si="7"/>
        <v>4505.3436</v>
      </c>
      <c r="AQ13" s="363">
        <f t="shared" si="8"/>
        <v>3280.59</v>
      </c>
      <c r="AR13" s="363">
        <f t="shared" si="9"/>
        <v>3280.59</v>
      </c>
      <c r="AS13" s="363"/>
      <c r="AT13" s="492">
        <f>0.45*865.8</f>
        <v>389.61</v>
      </c>
      <c r="AU13" s="409"/>
      <c r="AV13" s="409"/>
      <c r="AW13" s="409"/>
      <c r="AX13" s="409">
        <f>855+11999.97</f>
        <v>12854.97</v>
      </c>
      <c r="AY13" s="156"/>
      <c r="AZ13" s="492"/>
      <c r="BA13" s="492"/>
      <c r="BB13" s="492"/>
      <c r="BC13" s="376">
        <f>SUM(AK13:BB13)</f>
        <v>42244.9956</v>
      </c>
      <c r="BD13" s="493">
        <f>'[8]Т04'!$S$149</f>
        <v>25</v>
      </c>
      <c r="BE13" s="367">
        <f>BC13+BD13</f>
        <v>42269.9956</v>
      </c>
      <c r="BF13" s="367">
        <f t="shared" si="11"/>
        <v>2036.9395999999979</v>
      </c>
      <c r="BG13" s="367">
        <f t="shared" si="12"/>
        <v>6028.6600000000035</v>
      </c>
      <c r="BH13" s="367"/>
      <c r="BI13" s="367"/>
      <c r="BJ13" s="367"/>
      <c r="BK13" s="367"/>
      <c r="BL13" s="366"/>
      <c r="BM13" s="375"/>
      <c r="BN13" s="72"/>
      <c r="BO13" s="372"/>
      <c r="BP13" s="372"/>
      <c r="BQ13" s="372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</row>
    <row r="14" spans="1:88" ht="12.75">
      <c r="A14" s="347" t="s">
        <v>47</v>
      </c>
      <c r="B14" s="386">
        <v>4374.12</v>
      </c>
      <c r="C14" s="148">
        <f>B14*8.55</f>
        <v>37398.726</v>
      </c>
      <c r="D14" s="381">
        <v>318.2652</v>
      </c>
      <c r="E14" s="387">
        <v>-1.14</v>
      </c>
      <c r="F14" s="349">
        <v>0</v>
      </c>
      <c r="G14" s="350">
        <v>22896.28</v>
      </c>
      <c r="H14" s="350">
        <v>0</v>
      </c>
      <c r="I14" s="350">
        <v>-1.55</v>
      </c>
      <c r="J14" s="350">
        <v>0</v>
      </c>
      <c r="K14" s="350">
        <v>-2.57</v>
      </c>
      <c r="L14" s="350">
        <v>0</v>
      </c>
      <c r="M14" s="350">
        <v>11114.79</v>
      </c>
      <c r="N14" s="350">
        <v>0</v>
      </c>
      <c r="O14" s="351">
        <v>3855.14</v>
      </c>
      <c r="P14" s="352">
        <v>0</v>
      </c>
      <c r="Q14" s="376">
        <v>0</v>
      </c>
      <c r="R14" s="388">
        <v>0</v>
      </c>
      <c r="S14" s="376">
        <v>0</v>
      </c>
      <c r="T14" s="349">
        <v>0</v>
      </c>
      <c r="U14" s="355">
        <f t="shared" si="0"/>
        <v>37860.95</v>
      </c>
      <c r="V14" s="389">
        <f>F14+H14+J14+L14+N14++R14+T14</f>
        <v>0</v>
      </c>
      <c r="W14" s="350">
        <v>132.15</v>
      </c>
      <c r="X14" s="349">
        <v>21165.1</v>
      </c>
      <c r="Y14" s="350">
        <v>169.26</v>
      </c>
      <c r="Z14" s="350">
        <v>2081.86</v>
      </c>
      <c r="AA14" s="350">
        <v>9359.64</v>
      </c>
      <c r="AB14" s="350">
        <v>3662.3</v>
      </c>
      <c r="AC14" s="350">
        <v>0</v>
      </c>
      <c r="AD14" s="349">
        <v>0</v>
      </c>
      <c r="AE14" s="359">
        <v>0</v>
      </c>
      <c r="AF14" s="390">
        <f>SUM(W14:AE14)</f>
        <v>36570.31</v>
      </c>
      <c r="AG14" s="384">
        <f aca="true" t="shared" si="13" ref="AG14:AG21">D14+V14+AF14</f>
        <v>36888.5752</v>
      </c>
      <c r="AH14" s="391">
        <f t="shared" si="1"/>
        <v>0</v>
      </c>
      <c r="AI14" s="391">
        <f t="shared" si="1"/>
        <v>0</v>
      </c>
      <c r="AJ14" s="392">
        <f>'[8]Т05'!$J$147+'[8]Т05'!$J$206</f>
        <v>214</v>
      </c>
      <c r="AK14" s="363">
        <f t="shared" si="2"/>
        <v>2930.6604</v>
      </c>
      <c r="AL14" s="363">
        <f t="shared" si="3"/>
        <v>874.8240000000001</v>
      </c>
      <c r="AM14" s="363">
        <f t="shared" si="4"/>
        <v>4374.12</v>
      </c>
      <c r="AN14" s="363">
        <f t="shared" si="5"/>
        <v>918.5651999999999</v>
      </c>
      <c r="AO14" s="363">
        <f t="shared" si="6"/>
        <v>8835.7224</v>
      </c>
      <c r="AP14" s="363">
        <f t="shared" si="7"/>
        <v>4505.3436</v>
      </c>
      <c r="AQ14" s="363">
        <f t="shared" si="8"/>
        <v>3280.59</v>
      </c>
      <c r="AR14" s="363">
        <f t="shared" si="9"/>
        <v>3280.59</v>
      </c>
      <c r="AS14" s="363"/>
      <c r="AT14" s="492">
        <f>0.45*865.8</f>
        <v>389.61</v>
      </c>
      <c r="AU14" s="409">
        <v>438</v>
      </c>
      <c r="AV14" s="409">
        <v>125</v>
      </c>
      <c r="AW14" s="409"/>
      <c r="AX14" s="409">
        <f>8.5+20.8+7.98+79.66</f>
        <v>116.94</v>
      </c>
      <c r="AY14" s="156"/>
      <c r="AZ14" s="156"/>
      <c r="BA14" s="492"/>
      <c r="BB14" s="492"/>
      <c r="BC14" s="376">
        <f>SUM(AK14:BB14)</f>
        <v>30069.9656</v>
      </c>
      <c r="BD14" s="493">
        <f>'[8]Т05'!$S$147+'[8]Т05'!$S$206</f>
        <v>53.5</v>
      </c>
      <c r="BE14" s="367">
        <f t="shared" si="10"/>
        <v>30123.4656</v>
      </c>
      <c r="BF14" s="367">
        <f t="shared" si="11"/>
        <v>6979.1096</v>
      </c>
      <c r="BG14" s="367">
        <f t="shared" si="12"/>
        <v>-1290.6399999999994</v>
      </c>
      <c r="BH14" s="367"/>
      <c r="BI14" s="367"/>
      <c r="BJ14" s="366"/>
      <c r="BK14" s="375"/>
      <c r="BL14" s="72"/>
      <c r="BM14" s="372"/>
      <c r="BN14" s="372"/>
      <c r="BO14" s="372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</row>
    <row r="15" spans="1:89" ht="12.75">
      <c r="A15" s="347" t="s">
        <v>48</v>
      </c>
      <c r="B15" s="348">
        <v>4374.12</v>
      </c>
      <c r="C15" s="148">
        <f>B15*8.55</f>
        <v>37398.726</v>
      </c>
      <c r="D15" s="381">
        <v>318.2652</v>
      </c>
      <c r="E15" s="393">
        <v>0</v>
      </c>
      <c r="F15" s="393"/>
      <c r="G15" s="393">
        <v>22891.46</v>
      </c>
      <c r="H15" s="393"/>
      <c r="I15" s="394">
        <v>0</v>
      </c>
      <c r="J15" s="394"/>
      <c r="K15" s="394">
        <v>0</v>
      </c>
      <c r="L15" s="394"/>
      <c r="M15" s="394">
        <v>11116.11</v>
      </c>
      <c r="N15" s="394"/>
      <c r="O15" s="394">
        <v>3855.22</v>
      </c>
      <c r="P15" s="394"/>
      <c r="Q15" s="394">
        <v>0</v>
      </c>
      <c r="R15" s="395"/>
      <c r="S15" s="395">
        <v>0</v>
      </c>
      <c r="T15" s="394"/>
      <c r="U15" s="396">
        <f t="shared" si="0"/>
        <v>37862.79</v>
      </c>
      <c r="V15" s="397">
        <f t="shared" si="0"/>
        <v>0</v>
      </c>
      <c r="W15" s="398">
        <v>22.64</v>
      </c>
      <c r="X15" s="393">
        <v>15901.55</v>
      </c>
      <c r="Y15" s="393">
        <v>28.73</v>
      </c>
      <c r="Z15" s="393">
        <v>53.92</v>
      </c>
      <c r="AA15" s="393">
        <v>10005.22</v>
      </c>
      <c r="AB15" s="393">
        <v>2759.05</v>
      </c>
      <c r="AC15" s="393">
        <v>0</v>
      </c>
      <c r="AD15" s="393">
        <v>0</v>
      </c>
      <c r="AE15" s="399">
        <v>0</v>
      </c>
      <c r="AF15" s="400">
        <f aca="true" t="shared" si="14" ref="AF15:AF21">SUM(W15:AE15)</f>
        <v>28771.109999999997</v>
      </c>
      <c r="AG15" s="384">
        <f t="shared" si="13"/>
        <v>29089.3752</v>
      </c>
      <c r="AH15" s="391">
        <f t="shared" si="1"/>
        <v>0</v>
      </c>
      <c r="AI15" s="391">
        <f t="shared" si="1"/>
        <v>0</v>
      </c>
      <c r="AJ15" s="392">
        <f>'[8]Т06'!$J$147+'[8]Т06'!$J$206</f>
        <v>214</v>
      </c>
      <c r="AK15" s="363">
        <f t="shared" si="2"/>
        <v>2930.6604</v>
      </c>
      <c r="AL15" s="363">
        <f t="shared" si="3"/>
        <v>874.8240000000001</v>
      </c>
      <c r="AM15" s="363">
        <f t="shared" si="4"/>
        <v>4374.12</v>
      </c>
      <c r="AN15" s="363">
        <f t="shared" si="5"/>
        <v>918.5651999999999</v>
      </c>
      <c r="AO15" s="363">
        <f t="shared" si="6"/>
        <v>8835.7224</v>
      </c>
      <c r="AP15" s="363">
        <f t="shared" si="7"/>
        <v>4505.3436</v>
      </c>
      <c r="AQ15" s="363">
        <f t="shared" si="8"/>
        <v>3280.59</v>
      </c>
      <c r="AR15" s="363">
        <f t="shared" si="9"/>
        <v>3280.59</v>
      </c>
      <c r="AS15" s="363"/>
      <c r="AT15" s="492">
        <f>0.45*865.8</f>
        <v>389.61</v>
      </c>
      <c r="AU15" s="409"/>
      <c r="AV15" s="409"/>
      <c r="AW15" s="409">
        <v>65302</v>
      </c>
      <c r="AX15" s="409">
        <f>34</f>
        <v>34</v>
      </c>
      <c r="AY15" s="363"/>
      <c r="AZ15" s="363"/>
      <c r="BA15" s="492"/>
      <c r="BB15" s="492"/>
      <c r="BC15" s="401">
        <f>SUM(AK15:BB15)</f>
        <v>94726.0256</v>
      </c>
      <c r="BD15" s="493">
        <f>'[8]Т06'!$S$147+'[8]Т06'!$S$206</f>
        <v>53.5</v>
      </c>
      <c r="BE15" s="367">
        <f t="shared" si="10"/>
        <v>94779.5256</v>
      </c>
      <c r="BF15" s="367">
        <f t="shared" si="11"/>
        <v>-65476.1504</v>
      </c>
      <c r="BG15" s="367">
        <f t="shared" si="12"/>
        <v>-9091.680000000004</v>
      </c>
      <c r="BH15" s="367"/>
      <c r="BI15" s="367"/>
      <c r="BJ15" s="367"/>
      <c r="BK15" s="366"/>
      <c r="BL15" s="375"/>
      <c r="BM15" s="72"/>
      <c r="BN15" s="72"/>
      <c r="BO15" s="372"/>
      <c r="BP15" s="372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</row>
    <row r="16" spans="1:118" ht="12.75">
      <c r="A16" s="347" t="s">
        <v>49</v>
      </c>
      <c r="B16" s="348">
        <v>4374.12</v>
      </c>
      <c r="C16" s="148">
        <f>B16*8.55</f>
        <v>37398.726</v>
      </c>
      <c r="D16" s="381">
        <v>318.2652</v>
      </c>
      <c r="E16" s="402"/>
      <c r="F16" s="402"/>
      <c r="G16" s="402">
        <v>22872.65</v>
      </c>
      <c r="H16" s="402"/>
      <c r="I16" s="402"/>
      <c r="J16" s="402"/>
      <c r="K16" s="402"/>
      <c r="L16" s="402"/>
      <c r="M16" s="402">
        <v>11106.88</v>
      </c>
      <c r="N16" s="402"/>
      <c r="O16" s="402">
        <v>3851.92</v>
      </c>
      <c r="P16" s="402"/>
      <c r="Q16" s="402"/>
      <c r="R16" s="402"/>
      <c r="S16" s="403"/>
      <c r="T16" s="398"/>
      <c r="U16" s="405">
        <f t="shared" si="0"/>
        <v>37831.45</v>
      </c>
      <c r="V16" s="494">
        <f t="shared" si="0"/>
        <v>0</v>
      </c>
      <c r="W16" s="406">
        <v>214.99</v>
      </c>
      <c r="X16" s="402">
        <v>20208.62</v>
      </c>
      <c r="Y16" s="402">
        <v>291.23</v>
      </c>
      <c r="Z16" s="402">
        <v>484.68</v>
      </c>
      <c r="AA16" s="402">
        <v>10371.86</v>
      </c>
      <c r="AB16" s="402">
        <v>3472.03</v>
      </c>
      <c r="AC16" s="393"/>
      <c r="AD16" s="402"/>
      <c r="AE16" s="403"/>
      <c r="AF16" s="400">
        <f t="shared" si="14"/>
        <v>35043.41</v>
      </c>
      <c r="AG16" s="408">
        <f t="shared" si="13"/>
        <v>35361.675200000005</v>
      </c>
      <c r="AH16" s="391">
        <f t="shared" si="1"/>
        <v>0</v>
      </c>
      <c r="AI16" s="391">
        <f t="shared" si="1"/>
        <v>0</v>
      </c>
      <c r="AJ16" s="392">
        <f>'[8]Т07'!$J$152+'[8]Т07'!$J$211</f>
        <v>214</v>
      </c>
      <c r="AK16" s="363">
        <f t="shared" si="2"/>
        <v>2930.6604</v>
      </c>
      <c r="AL16" s="363">
        <f t="shared" si="3"/>
        <v>874.8240000000001</v>
      </c>
      <c r="AM16" s="363">
        <f t="shared" si="4"/>
        <v>4374.12</v>
      </c>
      <c r="AN16" s="363">
        <f t="shared" si="5"/>
        <v>918.5651999999999</v>
      </c>
      <c r="AO16" s="363">
        <f t="shared" si="6"/>
        <v>8835.7224</v>
      </c>
      <c r="AP16" s="363">
        <f t="shared" si="7"/>
        <v>4505.3436</v>
      </c>
      <c r="AQ16" s="363">
        <f t="shared" si="8"/>
        <v>3280.59</v>
      </c>
      <c r="AR16" s="363">
        <f t="shared" si="9"/>
        <v>3280.59</v>
      </c>
      <c r="AS16" s="363"/>
      <c r="AT16" s="492">
        <f>0.45*865.8</f>
        <v>389.61</v>
      </c>
      <c r="AU16" s="409"/>
      <c r="AV16" s="409"/>
      <c r="AW16" s="409"/>
      <c r="AX16" s="409">
        <f>111.43+9.43+185</f>
        <v>305.86</v>
      </c>
      <c r="AY16" s="156"/>
      <c r="AZ16" s="156"/>
      <c r="BA16" s="492"/>
      <c r="BB16" s="492"/>
      <c r="BC16" s="376">
        <f>SUM(AK16:BB16)</f>
        <v>29695.8856</v>
      </c>
      <c r="BD16" s="493">
        <f>'[8]Т07'!$S$152+'[8]Т07'!$S$211</f>
        <v>53.5</v>
      </c>
      <c r="BE16" s="367">
        <f>BC16+BD16</f>
        <v>29749.3856</v>
      </c>
      <c r="BF16" s="367">
        <f t="shared" si="11"/>
        <v>5826.289600000004</v>
      </c>
      <c r="BG16" s="367">
        <f t="shared" si="12"/>
        <v>-2788.0399999999936</v>
      </c>
      <c r="BH16" s="367"/>
      <c r="BI16" s="367"/>
      <c r="BJ16" s="366"/>
      <c r="BK16" s="375"/>
      <c r="BL16" s="72"/>
      <c r="BM16" s="72"/>
      <c r="BN16" s="410"/>
      <c r="BO16" s="410"/>
      <c r="BP16" s="410"/>
      <c r="BQ16" s="410"/>
      <c r="BR16" s="410"/>
      <c r="BS16" s="410"/>
      <c r="BT16" s="410"/>
      <c r="BU16" s="410"/>
      <c r="BV16" s="410"/>
      <c r="BW16" s="410"/>
      <c r="BX16" s="410"/>
      <c r="BY16" s="410"/>
      <c r="BZ16" s="410"/>
      <c r="CA16" s="410"/>
      <c r="CB16" s="411"/>
      <c r="CC16" s="411"/>
      <c r="CD16" s="412"/>
      <c r="CE16" s="410"/>
      <c r="CF16" s="410"/>
      <c r="CG16" s="410"/>
      <c r="CH16" s="410"/>
      <c r="CI16" s="410"/>
      <c r="CJ16" s="410"/>
      <c r="CK16" s="404"/>
      <c r="CL16" s="402"/>
      <c r="CM16" s="403"/>
      <c r="CN16" s="407">
        <f>SUM(CE16:CM16)</f>
        <v>0</v>
      </c>
      <c r="CO16" s="413">
        <f>BL16+CD16+CN16</f>
        <v>0</v>
      </c>
      <c r="CP16" s="414">
        <f>CK16</f>
        <v>0</v>
      </c>
      <c r="CQ16" s="414">
        <f>CL16</f>
        <v>0</v>
      </c>
      <c r="CR16" s="415">
        <f>'[7]Т07'!$J$8+'[7]Т07'!$J$155</f>
        <v>3138.618</v>
      </c>
      <c r="CS16" s="363">
        <f>0.67*BJ16</f>
        <v>0</v>
      </c>
      <c r="CT16" s="363">
        <f>BJ16*0.2</f>
        <v>0</v>
      </c>
      <c r="CU16" s="363">
        <f>BJ16*1</f>
        <v>0</v>
      </c>
      <c r="CV16" s="363">
        <f>BJ16*0.21</f>
        <v>0</v>
      </c>
      <c r="CW16" s="363">
        <f>2.02*BJ16</f>
        <v>0</v>
      </c>
      <c r="CX16" s="363">
        <f>BJ16*1.03</f>
        <v>0</v>
      </c>
      <c r="CY16" s="363">
        <f>BJ16*0.75</f>
        <v>0</v>
      </c>
      <c r="CZ16" s="385"/>
      <c r="DA16" s="416"/>
      <c r="DB16" s="417"/>
      <c r="DC16" s="417"/>
      <c r="DD16" s="417"/>
      <c r="DE16" s="417"/>
      <c r="DF16" s="385"/>
      <c r="DG16" s="416"/>
      <c r="DH16" s="416"/>
      <c r="DI16" s="418">
        <f>SUM(CS16:DH16)</f>
        <v>0</v>
      </c>
      <c r="DJ16" s="419">
        <f>'[7]Т07'!$Q$8+'[7]Т07'!$Q$155</f>
        <v>175.575</v>
      </c>
      <c r="DK16" s="420">
        <f>'[7]Т06'!$Q$7+'[7]Т06'!$Q$36+'[7]Т06'!$Q$54+'[7]Т06'!$Q$98+'[7]Т06'!$Q$99+'[7]Т06'!$Q$106+'[7]Т06'!$Q$125+'[7]Т06'!$Q$186</f>
        <v>319.1625</v>
      </c>
      <c r="DL16" s="376">
        <f>DJ16+DK16-CR16</f>
        <v>-2643.8804999999998</v>
      </c>
      <c r="DM16" s="344">
        <f>CO16+CR16-DJ16-DK16</f>
        <v>2643.8805</v>
      </c>
      <c r="DN16" s="421">
        <f>CO16-CC16</f>
        <v>0</v>
      </c>
    </row>
    <row r="17" spans="1:118" ht="12.75">
      <c r="A17" s="347" t="s">
        <v>50</v>
      </c>
      <c r="B17" s="348">
        <v>4374.12</v>
      </c>
      <c r="C17" s="148">
        <f>B17*8.55</f>
        <v>37398.726</v>
      </c>
      <c r="D17" s="381">
        <v>318.2652</v>
      </c>
      <c r="E17" s="402"/>
      <c r="F17" s="402"/>
      <c r="G17" s="402">
        <v>22885.21</v>
      </c>
      <c r="H17" s="402"/>
      <c r="I17" s="402"/>
      <c r="J17" s="402"/>
      <c r="K17" s="402"/>
      <c r="L17" s="402"/>
      <c r="M17" s="402">
        <v>11113.06</v>
      </c>
      <c r="N17" s="402"/>
      <c r="O17" s="402">
        <v>3854.13</v>
      </c>
      <c r="P17" s="402"/>
      <c r="Q17" s="402"/>
      <c r="R17" s="402"/>
      <c r="S17" s="403"/>
      <c r="T17" s="399"/>
      <c r="U17" s="495">
        <f t="shared" si="0"/>
        <v>37852.399999999994</v>
      </c>
      <c r="V17" s="496">
        <f t="shared" si="0"/>
        <v>0</v>
      </c>
      <c r="W17" s="402">
        <v>70.91</v>
      </c>
      <c r="X17" s="402">
        <v>19725.71</v>
      </c>
      <c r="Y17" s="402">
        <v>96</v>
      </c>
      <c r="Z17" s="402">
        <v>159.83</v>
      </c>
      <c r="AA17" s="402">
        <v>9717.68</v>
      </c>
      <c r="AB17" s="402">
        <v>3362.4</v>
      </c>
      <c r="AC17" s="402"/>
      <c r="AD17" s="402"/>
      <c r="AE17" s="403"/>
      <c r="AF17" s="400">
        <f t="shared" si="14"/>
        <v>33132.53</v>
      </c>
      <c r="AG17" s="408">
        <f t="shared" si="13"/>
        <v>33450.7952</v>
      </c>
      <c r="AH17" s="391">
        <f t="shared" si="1"/>
        <v>0</v>
      </c>
      <c r="AI17" s="391">
        <f t="shared" si="1"/>
        <v>0</v>
      </c>
      <c r="AJ17" s="392">
        <f>'[8]Т08'!$J$155+'[8]Т08'!$J$214</f>
        <v>214</v>
      </c>
      <c r="AK17" s="363">
        <f t="shared" si="2"/>
        <v>2930.6604</v>
      </c>
      <c r="AL17" s="363">
        <f t="shared" si="3"/>
        <v>874.8240000000001</v>
      </c>
      <c r="AM17" s="363">
        <f t="shared" si="4"/>
        <v>4374.12</v>
      </c>
      <c r="AN17" s="363">
        <f t="shared" si="5"/>
        <v>918.5651999999999</v>
      </c>
      <c r="AO17" s="363">
        <f t="shared" si="6"/>
        <v>8835.7224</v>
      </c>
      <c r="AP17" s="363">
        <f t="shared" si="7"/>
        <v>4505.3436</v>
      </c>
      <c r="AQ17" s="363">
        <f t="shared" si="8"/>
        <v>3280.59</v>
      </c>
      <c r="AR17" s="363">
        <f t="shared" si="9"/>
        <v>3280.59</v>
      </c>
      <c r="AS17" s="363"/>
      <c r="AT17" s="492">
        <f>0.45*865.8</f>
        <v>389.61</v>
      </c>
      <c r="AU17" s="409">
        <v>3996</v>
      </c>
      <c r="AV17" s="409"/>
      <c r="AW17" s="409">
        <f>10041+4832</f>
        <v>14873</v>
      </c>
      <c r="AX17" s="409">
        <f>32+250</f>
        <v>282</v>
      </c>
      <c r="AY17" s="156"/>
      <c r="AZ17" s="156"/>
      <c r="BA17" s="492"/>
      <c r="BB17" s="492"/>
      <c r="BC17" s="376">
        <f>SUM(AK17:BB17)</f>
        <v>48541.0256</v>
      </c>
      <c r="BD17" s="493">
        <f>'[8]Т08'!$S$155+'[8]Т08'!$S$214</f>
        <v>53.5</v>
      </c>
      <c r="BE17" s="367">
        <f t="shared" si="10"/>
        <v>48594.5256</v>
      </c>
      <c r="BF17" s="367">
        <f t="shared" si="11"/>
        <v>-14929.7304</v>
      </c>
      <c r="BG17" s="367">
        <f t="shared" si="12"/>
        <v>-4719.869999999995</v>
      </c>
      <c r="BH17" s="367"/>
      <c r="BI17" s="367"/>
      <c r="BJ17" s="366"/>
      <c r="BK17" s="375"/>
      <c r="BL17" s="72"/>
      <c r="BM17" s="72"/>
      <c r="BN17" s="410"/>
      <c r="BO17" s="410"/>
      <c r="BP17" s="410"/>
      <c r="BQ17" s="410"/>
      <c r="BR17" s="410"/>
      <c r="BS17" s="410"/>
      <c r="BT17" s="410"/>
      <c r="BU17" s="410"/>
      <c r="BV17" s="410"/>
      <c r="BW17" s="410"/>
      <c r="BX17" s="410"/>
      <c r="BY17" s="410"/>
      <c r="BZ17" s="410"/>
      <c r="CA17" s="410"/>
      <c r="CB17" s="411"/>
      <c r="CC17" s="411"/>
      <c r="CD17" s="412"/>
      <c r="CE17" s="410"/>
      <c r="CF17" s="410"/>
      <c r="CG17" s="410"/>
      <c r="CH17" s="410"/>
      <c r="CI17" s="410"/>
      <c r="CJ17" s="410"/>
      <c r="CK17" s="411"/>
      <c r="CL17" s="410"/>
      <c r="CM17" s="410"/>
      <c r="CN17" s="411"/>
      <c r="CO17" s="422"/>
      <c r="CP17" s="423"/>
      <c r="CQ17" s="423"/>
      <c r="CR17" s="424"/>
      <c r="CS17" s="300"/>
      <c r="CT17" s="300"/>
      <c r="CU17" s="300"/>
      <c r="CV17" s="300"/>
      <c r="CW17" s="300"/>
      <c r="CX17" s="300"/>
      <c r="CY17" s="300"/>
      <c r="CZ17" s="425"/>
      <c r="DA17" s="426"/>
      <c r="DB17" s="427"/>
      <c r="DC17" s="427"/>
      <c r="DD17" s="427"/>
      <c r="DE17" s="427"/>
      <c r="DF17" s="425"/>
      <c r="DG17" s="426"/>
      <c r="DH17" s="426"/>
      <c r="DI17" s="428"/>
      <c r="DJ17" s="429"/>
      <c r="DK17" s="430"/>
      <c r="DL17" s="431"/>
      <c r="DM17" s="72"/>
      <c r="DN17" s="372"/>
    </row>
    <row r="18" spans="1:118" ht="12.75">
      <c r="A18" s="347" t="s">
        <v>51</v>
      </c>
      <c r="B18" s="348">
        <v>4374.12</v>
      </c>
      <c r="C18" s="148">
        <f>B18*8.55</f>
        <v>37398.726</v>
      </c>
      <c r="D18" s="381">
        <v>318.2652</v>
      </c>
      <c r="E18" s="402"/>
      <c r="F18" s="402"/>
      <c r="G18" s="402">
        <v>23063.3</v>
      </c>
      <c r="H18" s="402"/>
      <c r="I18" s="402"/>
      <c r="J18" s="402"/>
      <c r="K18" s="402"/>
      <c r="L18" s="402"/>
      <c r="M18" s="402">
        <v>11199.73</v>
      </c>
      <c r="N18" s="402"/>
      <c r="O18" s="402">
        <v>3884.29</v>
      </c>
      <c r="P18" s="402"/>
      <c r="Q18" s="402"/>
      <c r="R18" s="402"/>
      <c r="S18" s="403"/>
      <c r="T18" s="432"/>
      <c r="U18" s="432">
        <f t="shared" si="0"/>
        <v>38147.32</v>
      </c>
      <c r="V18" s="433">
        <f t="shared" si="0"/>
        <v>0</v>
      </c>
      <c r="W18" s="402">
        <v>-15.41</v>
      </c>
      <c r="X18" s="402">
        <v>22593.26</v>
      </c>
      <c r="Y18" s="402">
        <v>-19.68</v>
      </c>
      <c r="Z18" s="402">
        <v>-33.56</v>
      </c>
      <c r="AA18" s="402">
        <v>10930.62</v>
      </c>
      <c r="AB18" s="402">
        <v>3807.89</v>
      </c>
      <c r="AC18" s="402"/>
      <c r="AD18" s="402"/>
      <c r="AE18" s="403"/>
      <c r="AF18" s="400">
        <f t="shared" si="14"/>
        <v>37263.119999999995</v>
      </c>
      <c r="AG18" s="408">
        <f t="shared" si="13"/>
        <v>37581.3852</v>
      </c>
      <c r="AH18" s="391">
        <f t="shared" si="1"/>
        <v>0</v>
      </c>
      <c r="AI18" s="391">
        <f t="shared" si="1"/>
        <v>0</v>
      </c>
      <c r="AJ18" s="392">
        <f>'[8]Т09'!$J$155+'[8]Т09'!$J$214</f>
        <v>214</v>
      </c>
      <c r="AK18" s="363">
        <f t="shared" si="2"/>
        <v>2930.6604</v>
      </c>
      <c r="AL18" s="363">
        <f t="shared" si="3"/>
        <v>874.8240000000001</v>
      </c>
      <c r="AM18" s="363">
        <f t="shared" si="4"/>
        <v>4374.12</v>
      </c>
      <c r="AN18" s="363">
        <f t="shared" si="5"/>
        <v>918.5651999999999</v>
      </c>
      <c r="AO18" s="363">
        <f t="shared" si="6"/>
        <v>8835.7224</v>
      </c>
      <c r="AP18" s="363">
        <f t="shared" si="7"/>
        <v>4505.3436</v>
      </c>
      <c r="AQ18" s="363">
        <f t="shared" si="8"/>
        <v>3280.59</v>
      </c>
      <c r="AR18" s="363">
        <f t="shared" si="9"/>
        <v>3280.59</v>
      </c>
      <c r="AS18" s="363"/>
      <c r="AT18" s="492">
        <f>0.45*865.8</f>
        <v>389.61</v>
      </c>
      <c r="AU18" s="409"/>
      <c r="AV18" s="409"/>
      <c r="AW18" s="409"/>
      <c r="AX18" s="409">
        <f>238.34</f>
        <v>238.34</v>
      </c>
      <c r="AY18" s="156"/>
      <c r="AZ18" s="156"/>
      <c r="BA18" s="492"/>
      <c r="BB18" s="492"/>
      <c r="BC18" s="376">
        <f>SUM(AK18:BB18)</f>
        <v>29628.3656</v>
      </c>
      <c r="BD18" s="493">
        <f>'[8]Т08'!$S$155+'[8]Т08'!$S$214</f>
        <v>53.5</v>
      </c>
      <c r="BE18" s="367">
        <f t="shared" si="10"/>
        <v>29681.8656</v>
      </c>
      <c r="BF18" s="367">
        <f t="shared" si="11"/>
        <v>8113.519599999996</v>
      </c>
      <c r="BG18" s="367">
        <f t="shared" si="12"/>
        <v>-884.2000000000044</v>
      </c>
      <c r="BH18" s="367"/>
      <c r="BI18" s="367"/>
      <c r="BJ18" s="366"/>
      <c r="BK18" s="375"/>
      <c r="BL18" s="72"/>
      <c r="BM18" s="72"/>
      <c r="BN18" s="410"/>
      <c r="BO18" s="410"/>
      <c r="BP18" s="410"/>
      <c r="BQ18" s="410"/>
      <c r="BR18" s="410"/>
      <c r="BS18" s="410"/>
      <c r="BT18" s="410"/>
      <c r="BU18" s="410"/>
      <c r="BV18" s="410"/>
      <c r="BW18" s="410"/>
      <c r="BX18" s="410"/>
      <c r="BY18" s="410"/>
      <c r="BZ18" s="410"/>
      <c r="CA18" s="410"/>
      <c r="CB18" s="411"/>
      <c r="CC18" s="411"/>
      <c r="CD18" s="412"/>
      <c r="CE18" s="410"/>
      <c r="CF18" s="410"/>
      <c r="CG18" s="410"/>
      <c r="CH18" s="410"/>
      <c r="CI18" s="410"/>
      <c r="CJ18" s="410"/>
      <c r="CK18" s="411"/>
      <c r="CL18" s="410"/>
      <c r="CM18" s="410"/>
      <c r="CN18" s="411"/>
      <c r="CO18" s="422"/>
      <c r="CP18" s="423"/>
      <c r="CQ18" s="423"/>
      <c r="CR18" s="424"/>
      <c r="CS18" s="300"/>
      <c r="CT18" s="300"/>
      <c r="CU18" s="300"/>
      <c r="CV18" s="300"/>
      <c r="CW18" s="300"/>
      <c r="CX18" s="300"/>
      <c r="CY18" s="300"/>
      <c r="CZ18" s="425"/>
      <c r="DA18" s="426"/>
      <c r="DB18" s="427"/>
      <c r="DC18" s="427"/>
      <c r="DD18" s="427"/>
      <c r="DE18" s="427"/>
      <c r="DF18" s="425"/>
      <c r="DG18" s="426"/>
      <c r="DH18" s="426"/>
      <c r="DI18" s="428"/>
      <c r="DJ18" s="429"/>
      <c r="DK18" s="430"/>
      <c r="DL18" s="431"/>
      <c r="DM18" s="72"/>
      <c r="DN18" s="372"/>
    </row>
    <row r="19" spans="1:119" ht="12.75">
      <c r="A19" s="347" t="s">
        <v>39</v>
      </c>
      <c r="B19" s="348">
        <v>4374.12</v>
      </c>
      <c r="C19" s="148">
        <f>B19*8.55</f>
        <v>37398.726</v>
      </c>
      <c r="D19" s="434">
        <v>318.2652</v>
      </c>
      <c r="E19" s="393"/>
      <c r="F19" s="393"/>
      <c r="G19" s="393">
        <v>23040.9</v>
      </c>
      <c r="H19" s="393"/>
      <c r="I19" s="393"/>
      <c r="J19" s="393"/>
      <c r="K19" s="393"/>
      <c r="L19" s="393"/>
      <c r="M19" s="393">
        <v>11188.71</v>
      </c>
      <c r="N19" s="393"/>
      <c r="O19" s="393">
        <v>3880.36</v>
      </c>
      <c r="P19" s="393"/>
      <c r="Q19" s="393"/>
      <c r="R19" s="393"/>
      <c r="S19" s="399"/>
      <c r="T19" s="435"/>
      <c r="U19" s="436">
        <f t="shared" si="0"/>
        <v>38109.97</v>
      </c>
      <c r="V19" s="437">
        <f t="shared" si="0"/>
        <v>0</v>
      </c>
      <c r="W19" s="393">
        <v>0</v>
      </c>
      <c r="X19" s="393">
        <v>22433.4</v>
      </c>
      <c r="Y19" s="393">
        <v>0</v>
      </c>
      <c r="Z19" s="393">
        <v>0</v>
      </c>
      <c r="AA19" s="393">
        <v>10893.89</v>
      </c>
      <c r="AB19" s="393">
        <v>3778.51</v>
      </c>
      <c r="AC19" s="393"/>
      <c r="AD19" s="393"/>
      <c r="AE19" s="399"/>
      <c r="AF19" s="400">
        <f t="shared" si="14"/>
        <v>37105.8</v>
      </c>
      <c r="AG19" s="408">
        <f t="shared" si="13"/>
        <v>37424.065200000005</v>
      </c>
      <c r="AH19" s="391">
        <f t="shared" si="1"/>
        <v>0</v>
      </c>
      <c r="AI19" s="391">
        <f t="shared" si="1"/>
        <v>0</v>
      </c>
      <c r="AJ19" s="392">
        <f>'[7]Т10'!$J$155+'[7]Т10'!$J$214</f>
        <v>214</v>
      </c>
      <c r="AK19" s="363">
        <f t="shared" si="2"/>
        <v>2930.6604</v>
      </c>
      <c r="AL19" s="363">
        <f t="shared" si="3"/>
        <v>874.8240000000001</v>
      </c>
      <c r="AM19" s="363">
        <f t="shared" si="4"/>
        <v>4374.12</v>
      </c>
      <c r="AN19" s="363">
        <f t="shared" si="5"/>
        <v>918.5651999999999</v>
      </c>
      <c r="AO19" s="363">
        <f t="shared" si="6"/>
        <v>8835.7224</v>
      </c>
      <c r="AP19" s="363">
        <f t="shared" si="7"/>
        <v>4505.3436</v>
      </c>
      <c r="AQ19" s="363">
        <f t="shared" si="8"/>
        <v>3280.59</v>
      </c>
      <c r="AR19" s="363">
        <f t="shared" si="9"/>
        <v>3280.59</v>
      </c>
      <c r="AS19" s="438">
        <f>B19*1.15</f>
        <v>5030.237999999999</v>
      </c>
      <c r="AT19" s="492">
        <f>0.45*865.8</f>
        <v>389.61</v>
      </c>
      <c r="AU19" s="409">
        <v>3654</v>
      </c>
      <c r="AV19" s="409"/>
      <c r="AW19" s="409">
        <v>66385</v>
      </c>
      <c r="AX19" s="409">
        <f>435</f>
        <v>435</v>
      </c>
      <c r="AY19" s="156"/>
      <c r="AZ19" s="492"/>
      <c r="BA19" s="492"/>
      <c r="BB19" s="492"/>
      <c r="BC19" s="376">
        <f>SUM(AK19:BB19)</f>
        <v>104894.2636</v>
      </c>
      <c r="BD19" s="493">
        <f>'[7]Т10'!$S$155+'[7]Т10'!$S$214</f>
        <v>53.5</v>
      </c>
      <c r="BE19" s="367">
        <f>BC19+BD19</f>
        <v>104947.7636</v>
      </c>
      <c r="BF19" s="367">
        <f t="shared" si="11"/>
        <v>-67309.6984</v>
      </c>
      <c r="BG19" s="367">
        <f t="shared" si="12"/>
        <v>-1004.1699999999983</v>
      </c>
      <c r="BH19" s="367"/>
      <c r="BI19" s="367"/>
      <c r="BJ19" s="367"/>
      <c r="BK19" s="366"/>
      <c r="BL19" s="375"/>
      <c r="BM19" s="72"/>
      <c r="BN19" s="72"/>
      <c r="BO19" s="410"/>
      <c r="BP19" s="410"/>
      <c r="BQ19" s="410"/>
      <c r="BR19" s="410"/>
      <c r="BS19" s="410"/>
      <c r="BT19" s="410"/>
      <c r="BU19" s="410"/>
      <c r="BV19" s="410"/>
      <c r="BW19" s="410"/>
      <c r="BX19" s="410"/>
      <c r="BY19" s="410"/>
      <c r="BZ19" s="410"/>
      <c r="CA19" s="410"/>
      <c r="CB19" s="410"/>
      <c r="CC19" s="411"/>
      <c r="CD19" s="411"/>
      <c r="CE19" s="412"/>
      <c r="CF19" s="410"/>
      <c r="CG19" s="410"/>
      <c r="CH19" s="410"/>
      <c r="CI19" s="410"/>
      <c r="CJ19" s="410"/>
      <c r="CK19" s="410"/>
      <c r="CL19" s="411"/>
      <c r="CM19" s="410"/>
      <c r="CN19" s="410"/>
      <c r="CO19" s="411"/>
      <c r="CP19" s="422"/>
      <c r="CQ19" s="423"/>
      <c r="CR19" s="423"/>
      <c r="CS19" s="424"/>
      <c r="CT19" s="300"/>
      <c r="CU19" s="300"/>
      <c r="CV19" s="300"/>
      <c r="CW19" s="300"/>
      <c r="CX19" s="300"/>
      <c r="CY19" s="300"/>
      <c r="CZ19" s="300"/>
      <c r="DA19" s="425"/>
      <c r="DB19" s="426"/>
      <c r="DC19" s="427"/>
      <c r="DD19" s="427"/>
      <c r="DE19" s="427"/>
      <c r="DF19" s="427"/>
      <c r="DG19" s="425"/>
      <c r="DH19" s="426"/>
      <c r="DI19" s="426"/>
      <c r="DJ19" s="428"/>
      <c r="DK19" s="429"/>
      <c r="DL19" s="430"/>
      <c r="DM19" s="431"/>
      <c r="DN19" s="72"/>
      <c r="DO19" s="372"/>
    </row>
    <row r="20" spans="1:118" ht="12.75">
      <c r="A20" s="347" t="s">
        <v>40</v>
      </c>
      <c r="B20" s="348">
        <v>4374.12</v>
      </c>
      <c r="C20" s="148">
        <f>B20*8.55</f>
        <v>37398.726</v>
      </c>
      <c r="D20" s="439">
        <v>318.2652</v>
      </c>
      <c r="E20" s="393"/>
      <c r="F20" s="393"/>
      <c r="G20" s="393">
        <v>23062.15</v>
      </c>
      <c r="H20" s="393"/>
      <c r="I20" s="393"/>
      <c r="J20" s="393"/>
      <c r="K20" s="393"/>
      <c r="L20" s="393"/>
      <c r="M20" s="393">
        <v>11199.16</v>
      </c>
      <c r="N20" s="393"/>
      <c r="O20" s="393">
        <v>3884.08</v>
      </c>
      <c r="P20" s="393"/>
      <c r="Q20" s="393"/>
      <c r="R20" s="393"/>
      <c r="S20" s="399"/>
      <c r="T20" s="435"/>
      <c r="U20" s="436">
        <f t="shared" si="0"/>
        <v>38145.39</v>
      </c>
      <c r="V20" s="437">
        <f t="shared" si="0"/>
        <v>0</v>
      </c>
      <c r="W20" s="393">
        <v>0</v>
      </c>
      <c r="X20" s="393">
        <v>16939.35</v>
      </c>
      <c r="Y20" s="393">
        <v>0</v>
      </c>
      <c r="Z20" s="393">
        <v>0</v>
      </c>
      <c r="AA20" s="393">
        <v>8226.1</v>
      </c>
      <c r="AB20" s="393">
        <v>2853.09</v>
      </c>
      <c r="AC20" s="393"/>
      <c r="AD20" s="393"/>
      <c r="AE20" s="399"/>
      <c r="AF20" s="400">
        <f t="shared" si="14"/>
        <v>28018.539999999997</v>
      </c>
      <c r="AG20" s="408">
        <f t="shared" si="13"/>
        <v>28336.8052</v>
      </c>
      <c r="AH20" s="391">
        <f t="shared" si="1"/>
        <v>0</v>
      </c>
      <c r="AI20" s="391">
        <f t="shared" si="1"/>
        <v>0</v>
      </c>
      <c r="AJ20" s="392">
        <f>'[7]Т11'!$J$155+'[7]Т11'!$J$214</f>
        <v>214</v>
      </c>
      <c r="AK20" s="363">
        <f t="shared" si="2"/>
        <v>2930.6604</v>
      </c>
      <c r="AL20" s="363">
        <f t="shared" si="3"/>
        <v>874.8240000000001</v>
      </c>
      <c r="AM20" s="363">
        <f t="shared" si="4"/>
        <v>4374.12</v>
      </c>
      <c r="AN20" s="363">
        <f t="shared" si="5"/>
        <v>918.5651999999999</v>
      </c>
      <c r="AO20" s="363">
        <f t="shared" si="6"/>
        <v>8835.7224</v>
      </c>
      <c r="AP20" s="363">
        <f t="shared" si="7"/>
        <v>4505.3436</v>
      </c>
      <c r="AQ20" s="363">
        <f t="shared" si="8"/>
        <v>3280.59</v>
      </c>
      <c r="AR20" s="363">
        <f t="shared" si="9"/>
        <v>3280.59</v>
      </c>
      <c r="AS20" s="438">
        <f>B20*1.15</f>
        <v>5030.237999999999</v>
      </c>
      <c r="AT20" s="492">
        <f>0.45*865.8</f>
        <v>389.61</v>
      </c>
      <c r="AU20" s="409"/>
      <c r="AV20" s="409"/>
      <c r="AW20" s="409">
        <v>352</v>
      </c>
      <c r="AX20" s="409">
        <f>35.12</f>
        <v>35.12</v>
      </c>
      <c r="AY20" s="156"/>
      <c r="AZ20" s="156"/>
      <c r="BA20" s="492"/>
      <c r="BB20" s="492"/>
      <c r="BC20" s="376">
        <f>SUM(AK20:BB20)</f>
        <v>34807.3836</v>
      </c>
      <c r="BD20" s="493">
        <f>'[7]Т11'!$S$155+'[7]Т11'!$S$214</f>
        <v>53.5</v>
      </c>
      <c r="BE20" s="367">
        <f t="shared" si="10"/>
        <v>34860.8836</v>
      </c>
      <c r="BF20" s="367">
        <f t="shared" si="11"/>
        <v>-6310.078400000002</v>
      </c>
      <c r="BG20" s="367">
        <f t="shared" si="12"/>
        <v>-10126.850000000002</v>
      </c>
      <c r="BH20" s="367"/>
      <c r="BI20" s="367"/>
      <c r="BJ20" s="366"/>
      <c r="BK20" s="375"/>
      <c r="BL20" s="72"/>
      <c r="BM20" s="72"/>
      <c r="BN20" s="410"/>
      <c r="BO20" s="410"/>
      <c r="BP20" s="410"/>
      <c r="BQ20" s="410"/>
      <c r="BR20" s="410"/>
      <c r="BS20" s="410"/>
      <c r="BT20" s="410"/>
      <c r="BU20" s="410"/>
      <c r="BV20" s="410"/>
      <c r="BW20" s="410"/>
      <c r="BX20" s="410"/>
      <c r="BY20" s="410"/>
      <c r="BZ20" s="410"/>
      <c r="CA20" s="410"/>
      <c r="CB20" s="411"/>
      <c r="CC20" s="411"/>
      <c r="CD20" s="412"/>
      <c r="CE20" s="410"/>
      <c r="CF20" s="410"/>
      <c r="CG20" s="410"/>
      <c r="CH20" s="410"/>
      <c r="CI20" s="410"/>
      <c r="CJ20" s="410"/>
      <c r="CK20" s="411"/>
      <c r="CL20" s="410"/>
      <c r="CM20" s="410"/>
      <c r="CN20" s="411"/>
      <c r="CO20" s="422"/>
      <c r="CP20" s="423"/>
      <c r="CQ20" s="423"/>
      <c r="CR20" s="424"/>
      <c r="CS20" s="300"/>
      <c r="CT20" s="300"/>
      <c r="CU20" s="300"/>
      <c r="CV20" s="300"/>
      <c r="CW20" s="300"/>
      <c r="CX20" s="300"/>
      <c r="CY20" s="300"/>
      <c r="CZ20" s="425"/>
      <c r="DA20" s="426"/>
      <c r="DB20" s="427"/>
      <c r="DC20" s="427"/>
      <c r="DD20" s="427"/>
      <c r="DE20" s="427"/>
      <c r="DF20" s="425"/>
      <c r="DG20" s="426"/>
      <c r="DH20" s="426"/>
      <c r="DI20" s="428"/>
      <c r="DJ20" s="429"/>
      <c r="DK20" s="430"/>
      <c r="DL20" s="431"/>
      <c r="DM20" s="72"/>
      <c r="DN20" s="372"/>
    </row>
    <row r="21" spans="1:118" ht="13.5" thickBot="1">
      <c r="A21" s="347" t="s">
        <v>41</v>
      </c>
      <c r="B21" s="348">
        <v>4374.12</v>
      </c>
      <c r="C21" s="148">
        <f>B21*8.55</f>
        <v>37398.726</v>
      </c>
      <c r="D21" s="439">
        <v>318.2652</v>
      </c>
      <c r="E21" s="440"/>
      <c r="F21" s="440"/>
      <c r="G21" s="440">
        <v>23067.93</v>
      </c>
      <c r="H21" s="440"/>
      <c r="I21" s="440"/>
      <c r="J21" s="440"/>
      <c r="K21" s="440"/>
      <c r="L21" s="440"/>
      <c r="M21" s="440">
        <v>11202</v>
      </c>
      <c r="N21" s="440"/>
      <c r="O21" s="440">
        <v>3885.1</v>
      </c>
      <c r="P21" s="440"/>
      <c r="Q21" s="440"/>
      <c r="R21" s="440"/>
      <c r="S21" s="441"/>
      <c r="T21" s="442"/>
      <c r="U21" s="436">
        <f t="shared" si="0"/>
        <v>38155.03</v>
      </c>
      <c r="V21" s="437">
        <f t="shared" si="0"/>
        <v>0</v>
      </c>
      <c r="W21" s="393">
        <v>0</v>
      </c>
      <c r="X21" s="393">
        <v>36613.17</v>
      </c>
      <c r="Y21" s="393">
        <v>0</v>
      </c>
      <c r="Z21" s="393">
        <v>0</v>
      </c>
      <c r="AA21" s="393">
        <v>17782.58</v>
      </c>
      <c r="AB21" s="393">
        <v>6170.14</v>
      </c>
      <c r="AC21" s="393"/>
      <c r="AD21" s="393"/>
      <c r="AE21" s="399"/>
      <c r="AF21" s="400">
        <f t="shared" si="14"/>
        <v>60565.89</v>
      </c>
      <c r="AG21" s="408">
        <f t="shared" si="13"/>
        <v>60884.1552</v>
      </c>
      <c r="AH21" s="391">
        <f t="shared" si="1"/>
        <v>0</v>
      </c>
      <c r="AI21" s="391">
        <f t="shared" si="1"/>
        <v>0</v>
      </c>
      <c r="AJ21" s="392">
        <f>'[7]Т12'!$J$163+'[7]Т12'!$J$179+'[7]Т12'!$J$238</f>
        <v>6851.42</v>
      </c>
      <c r="AK21" s="363">
        <f t="shared" si="2"/>
        <v>2930.6604</v>
      </c>
      <c r="AL21" s="363">
        <f t="shared" si="3"/>
        <v>874.8240000000001</v>
      </c>
      <c r="AM21" s="363">
        <f t="shared" si="4"/>
        <v>4374.12</v>
      </c>
      <c r="AN21" s="363">
        <f t="shared" si="5"/>
        <v>918.5651999999999</v>
      </c>
      <c r="AO21" s="363">
        <f t="shared" si="6"/>
        <v>8835.7224</v>
      </c>
      <c r="AP21" s="363">
        <f t="shared" si="7"/>
        <v>4505.3436</v>
      </c>
      <c r="AQ21" s="363">
        <f t="shared" si="8"/>
        <v>3280.59</v>
      </c>
      <c r="AR21" s="363">
        <f t="shared" si="9"/>
        <v>3280.59</v>
      </c>
      <c r="AS21" s="438">
        <f>B21*1.15</f>
        <v>5030.237999999999</v>
      </c>
      <c r="AT21" s="492">
        <f>0.45*865.8</f>
        <v>389.61</v>
      </c>
      <c r="AU21" s="409">
        <v>696</v>
      </c>
      <c r="AV21" s="409"/>
      <c r="AW21" s="409"/>
      <c r="AX21" s="409">
        <f>32+165+1800</f>
        <v>1997</v>
      </c>
      <c r="AY21" s="156"/>
      <c r="AZ21" s="156"/>
      <c r="BA21" s="492"/>
      <c r="BB21" s="492"/>
      <c r="BC21" s="376">
        <f>SUM(AK21:BB21)</f>
        <v>37113.2636</v>
      </c>
      <c r="BD21" s="493">
        <f>'[7]Т12'!$S$163+'[7]Т12'!$S$179+'[7]Т12'!$S$238</f>
        <v>1712.855</v>
      </c>
      <c r="BE21" s="367">
        <f t="shared" si="10"/>
        <v>38826.1186</v>
      </c>
      <c r="BF21" s="367">
        <f t="shared" si="11"/>
        <v>28909.456600000005</v>
      </c>
      <c r="BG21" s="367">
        <f t="shared" si="12"/>
        <v>22410.86</v>
      </c>
      <c r="BH21" s="367"/>
      <c r="BI21" s="367"/>
      <c r="BJ21" s="366"/>
      <c r="BK21" s="375"/>
      <c r="BL21" s="72"/>
      <c r="BM21" s="72"/>
      <c r="BN21" s="410"/>
      <c r="BO21" s="410"/>
      <c r="BP21" s="410"/>
      <c r="BQ21" s="410"/>
      <c r="BR21" s="410"/>
      <c r="BS21" s="410"/>
      <c r="BT21" s="410"/>
      <c r="BU21" s="410"/>
      <c r="BV21" s="410"/>
      <c r="BW21" s="410"/>
      <c r="BX21" s="410"/>
      <c r="BY21" s="410"/>
      <c r="BZ21" s="410"/>
      <c r="CA21" s="410"/>
      <c r="CB21" s="411"/>
      <c r="CC21" s="411"/>
      <c r="CD21" s="412"/>
      <c r="CE21" s="410"/>
      <c r="CF21" s="410"/>
      <c r="CG21" s="410"/>
      <c r="CH21" s="410"/>
      <c r="CI21" s="410"/>
      <c r="CJ21" s="410"/>
      <c r="CK21" s="411"/>
      <c r="CL21" s="410"/>
      <c r="CM21" s="410"/>
      <c r="CN21" s="411"/>
      <c r="CO21" s="422"/>
      <c r="CP21" s="423"/>
      <c r="CQ21" s="423"/>
      <c r="CR21" s="424"/>
      <c r="CS21" s="300"/>
      <c r="CT21" s="300"/>
      <c r="CU21" s="300"/>
      <c r="CV21" s="300"/>
      <c r="CW21" s="300"/>
      <c r="CX21" s="300"/>
      <c r="CY21" s="300"/>
      <c r="CZ21" s="425"/>
      <c r="DA21" s="426"/>
      <c r="DB21" s="427"/>
      <c r="DC21" s="427"/>
      <c r="DD21" s="427"/>
      <c r="DE21" s="427"/>
      <c r="DF21" s="425"/>
      <c r="DG21" s="426"/>
      <c r="DH21" s="426"/>
      <c r="DI21" s="428"/>
      <c r="DJ21" s="429"/>
      <c r="DK21" s="430"/>
      <c r="DL21" s="431"/>
      <c r="DM21" s="72"/>
      <c r="DN21" s="372"/>
    </row>
    <row r="22" spans="1:86" s="24" customFormat="1" ht="13.5" thickBot="1">
      <c r="A22" s="443" t="s">
        <v>3</v>
      </c>
      <c r="B22" s="444"/>
      <c r="C22" s="445">
        <f aca="true" t="shared" si="15" ref="C22:BF22">SUM(C10:C21)</f>
        <v>448784.7120000001</v>
      </c>
      <c r="D22" s="445">
        <f t="shared" si="15"/>
        <v>23819.182400000016</v>
      </c>
      <c r="E22" s="445">
        <f t="shared" si="15"/>
        <v>-5.77</v>
      </c>
      <c r="F22" s="445">
        <f t="shared" si="15"/>
        <v>0</v>
      </c>
      <c r="G22" s="445">
        <f t="shared" si="15"/>
        <v>275382.05</v>
      </c>
      <c r="H22" s="445">
        <f t="shared" si="15"/>
        <v>0</v>
      </c>
      <c r="I22" s="445">
        <f t="shared" si="15"/>
        <v>-7.819999999999999</v>
      </c>
      <c r="J22" s="445">
        <f t="shared" si="15"/>
        <v>0</v>
      </c>
      <c r="K22" s="445">
        <f t="shared" si="15"/>
        <v>-13.02</v>
      </c>
      <c r="L22" s="445">
        <f t="shared" si="15"/>
        <v>0</v>
      </c>
      <c r="M22" s="445">
        <f t="shared" si="15"/>
        <v>123707.69</v>
      </c>
      <c r="N22" s="445">
        <f t="shared" si="15"/>
        <v>0</v>
      </c>
      <c r="O22" s="445">
        <f t="shared" si="15"/>
        <v>46373.8</v>
      </c>
      <c r="P22" s="445">
        <f t="shared" si="15"/>
        <v>0</v>
      </c>
      <c r="Q22" s="445">
        <f t="shared" si="15"/>
        <v>0</v>
      </c>
      <c r="R22" s="445">
        <f t="shared" si="15"/>
        <v>0</v>
      </c>
      <c r="S22" s="445">
        <f t="shared" si="15"/>
        <v>0</v>
      </c>
      <c r="T22" s="445">
        <f t="shared" si="15"/>
        <v>0</v>
      </c>
      <c r="U22" s="445">
        <f t="shared" si="15"/>
        <v>445436.93000000005</v>
      </c>
      <c r="V22" s="445">
        <f t="shared" si="15"/>
        <v>0</v>
      </c>
      <c r="W22" s="445">
        <f t="shared" si="15"/>
        <v>6891.169999999999</v>
      </c>
      <c r="X22" s="445">
        <f t="shared" si="15"/>
        <v>231569.76</v>
      </c>
      <c r="Y22" s="445">
        <f t="shared" si="15"/>
        <v>8696.519999999999</v>
      </c>
      <c r="Z22" s="445">
        <f t="shared" si="15"/>
        <v>13285.060000000003</v>
      </c>
      <c r="AA22" s="445">
        <f t="shared" si="15"/>
        <v>127669.03</v>
      </c>
      <c r="AB22" s="445">
        <f t="shared" si="15"/>
        <v>44672.7</v>
      </c>
      <c r="AC22" s="445">
        <f t="shared" si="15"/>
        <v>0</v>
      </c>
      <c r="AD22" s="445">
        <f t="shared" si="15"/>
        <v>0</v>
      </c>
      <c r="AE22" s="445">
        <f t="shared" si="15"/>
        <v>0</v>
      </c>
      <c r="AF22" s="445">
        <f t="shared" si="15"/>
        <v>432784.23999999993</v>
      </c>
      <c r="AG22" s="445">
        <f t="shared" si="15"/>
        <v>456603.42240000004</v>
      </c>
      <c r="AH22" s="445">
        <f t="shared" si="15"/>
        <v>0</v>
      </c>
      <c r="AI22" s="445">
        <f t="shared" si="15"/>
        <v>0</v>
      </c>
      <c r="AJ22" s="445">
        <f t="shared" si="15"/>
        <v>8749.42</v>
      </c>
      <c r="AK22" s="445">
        <f t="shared" si="15"/>
        <v>35167.9248</v>
      </c>
      <c r="AL22" s="445">
        <f t="shared" si="15"/>
        <v>10497.888000000004</v>
      </c>
      <c r="AM22" s="445">
        <f t="shared" si="15"/>
        <v>52489.44000000001</v>
      </c>
      <c r="AN22" s="445">
        <f t="shared" si="15"/>
        <v>11022.782399999996</v>
      </c>
      <c r="AO22" s="445">
        <f t="shared" si="15"/>
        <v>106028.6688</v>
      </c>
      <c r="AP22" s="445">
        <f t="shared" si="15"/>
        <v>54064.1232</v>
      </c>
      <c r="AQ22" s="445">
        <f t="shared" si="15"/>
        <v>39367.08</v>
      </c>
      <c r="AR22" s="445">
        <f t="shared" si="15"/>
        <v>39367.08</v>
      </c>
      <c r="AS22" s="445">
        <f t="shared" si="15"/>
        <v>30181.427999999993</v>
      </c>
      <c r="AT22" s="445">
        <f t="shared" si="15"/>
        <v>4285.710000000001</v>
      </c>
      <c r="AU22" s="445">
        <f t="shared" si="15"/>
        <v>16932</v>
      </c>
      <c r="AV22" s="445">
        <f t="shared" si="15"/>
        <v>2050</v>
      </c>
      <c r="AW22" s="445">
        <f t="shared" si="15"/>
        <v>146912</v>
      </c>
      <c r="AX22" s="445">
        <f t="shared" si="15"/>
        <v>32949.31</v>
      </c>
      <c r="AY22" s="445">
        <f t="shared" si="15"/>
        <v>0</v>
      </c>
      <c r="AZ22" s="445">
        <f t="shared" si="15"/>
        <v>0</v>
      </c>
      <c r="BA22" s="445">
        <f t="shared" si="15"/>
        <v>0</v>
      </c>
      <c r="BB22" s="445">
        <f t="shared" si="15"/>
        <v>0</v>
      </c>
      <c r="BC22" s="445">
        <f t="shared" si="15"/>
        <v>581315.4352</v>
      </c>
      <c r="BD22" s="445">
        <f t="shared" si="15"/>
        <v>2187.355</v>
      </c>
      <c r="BE22" s="445">
        <f t="shared" si="15"/>
        <v>583502.7902</v>
      </c>
      <c r="BF22" s="445">
        <f t="shared" si="15"/>
        <v>-118149.9478</v>
      </c>
      <c r="BG22" s="445">
        <f>SUM(BG10:BG21)</f>
        <v>-12652.689999999995</v>
      </c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</row>
    <row r="23" spans="1:86" s="24" customFormat="1" ht="13.5" thickBot="1">
      <c r="A23" s="446"/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AH23" s="447"/>
      <c r="AI23" s="447"/>
      <c r="AJ23" s="447"/>
      <c r="AK23" s="447"/>
      <c r="AL23" s="447"/>
      <c r="AM23" s="447"/>
      <c r="AN23" s="447"/>
      <c r="AO23" s="447"/>
      <c r="AP23" s="447"/>
      <c r="AQ23" s="447"/>
      <c r="AR23" s="447"/>
      <c r="AS23" s="447"/>
      <c r="AT23" s="447"/>
      <c r="AU23" s="447"/>
      <c r="AV23" s="447"/>
      <c r="AW23" s="447"/>
      <c r="AX23" s="447"/>
      <c r="AY23" s="447"/>
      <c r="AZ23" s="447"/>
      <c r="BA23" s="447"/>
      <c r="BB23" s="447"/>
      <c r="BC23" s="447"/>
      <c r="BD23" s="447"/>
      <c r="BE23" s="448"/>
      <c r="BF23" s="447"/>
      <c r="BG23" s="449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</row>
    <row r="24" spans="1:86" s="24" customFormat="1" ht="13.5" thickBot="1">
      <c r="A24" s="27" t="s">
        <v>52</v>
      </c>
      <c r="B24" s="447"/>
      <c r="C24" s="450">
        <f aca="true" t="shared" si="16" ref="C24:BG24">C22+C8</f>
        <v>1459902.761</v>
      </c>
      <c r="D24" s="450">
        <f t="shared" si="16"/>
        <v>135427.86349975</v>
      </c>
      <c r="E24" s="450">
        <f t="shared" si="16"/>
        <v>85982.1</v>
      </c>
      <c r="F24" s="450">
        <f t="shared" si="16"/>
        <v>17580.89</v>
      </c>
      <c r="G24" s="450">
        <f t="shared" si="16"/>
        <v>275382.05</v>
      </c>
      <c r="H24" s="450">
        <f t="shared" si="16"/>
        <v>0</v>
      </c>
      <c r="I24" s="450">
        <f t="shared" si="16"/>
        <v>116377.19999999998</v>
      </c>
      <c r="J24" s="450">
        <f t="shared" si="16"/>
        <v>23799.559999999998</v>
      </c>
      <c r="K24" s="450">
        <f t="shared" si="16"/>
        <v>193762.04</v>
      </c>
      <c r="L24" s="450">
        <f t="shared" si="16"/>
        <v>39621.84</v>
      </c>
      <c r="M24" s="450">
        <f t="shared" si="16"/>
        <v>403477.93</v>
      </c>
      <c r="N24" s="450">
        <f t="shared" si="16"/>
        <v>57201.66</v>
      </c>
      <c r="O24" s="450">
        <f t="shared" si="16"/>
        <v>115145.6</v>
      </c>
      <c r="P24" s="450">
        <f t="shared" si="16"/>
        <v>14063.84</v>
      </c>
      <c r="Q24" s="450">
        <f t="shared" si="16"/>
        <v>0</v>
      </c>
      <c r="R24" s="450">
        <f t="shared" si="16"/>
        <v>0</v>
      </c>
      <c r="S24" s="450">
        <f t="shared" si="16"/>
        <v>0</v>
      </c>
      <c r="T24" s="450">
        <f t="shared" si="16"/>
        <v>0</v>
      </c>
      <c r="U24" s="450">
        <f t="shared" si="16"/>
        <v>1190126.92</v>
      </c>
      <c r="V24" s="450">
        <f t="shared" si="16"/>
        <v>152267.78999999998</v>
      </c>
      <c r="W24" s="450">
        <f t="shared" si="16"/>
        <v>82903.1</v>
      </c>
      <c r="X24" s="450">
        <f t="shared" si="16"/>
        <v>231569.76</v>
      </c>
      <c r="Y24" s="450">
        <f t="shared" si="16"/>
        <v>109539.53000000001</v>
      </c>
      <c r="Z24" s="450">
        <f t="shared" si="16"/>
        <v>184558.96999999997</v>
      </c>
      <c r="AA24" s="450">
        <f t="shared" si="16"/>
        <v>379517.48</v>
      </c>
      <c r="AB24" s="450">
        <f t="shared" si="16"/>
        <v>105463.59999999999</v>
      </c>
      <c r="AC24" s="450">
        <f t="shared" si="16"/>
        <v>0</v>
      </c>
      <c r="AD24" s="450">
        <f t="shared" si="16"/>
        <v>0</v>
      </c>
      <c r="AE24" s="450">
        <f t="shared" si="16"/>
        <v>0</v>
      </c>
      <c r="AF24" s="450">
        <f t="shared" si="16"/>
        <v>1093552.44</v>
      </c>
      <c r="AG24" s="450">
        <f t="shared" si="16"/>
        <v>1381248.0934997501</v>
      </c>
      <c r="AH24" s="450">
        <f t="shared" si="16"/>
        <v>0</v>
      </c>
      <c r="AI24" s="450">
        <f t="shared" si="16"/>
        <v>0</v>
      </c>
      <c r="AJ24" s="450">
        <f t="shared" si="16"/>
        <v>8749.42</v>
      </c>
      <c r="AK24" s="450">
        <f t="shared" si="16"/>
        <v>104267.32080000002</v>
      </c>
      <c r="AL24" s="450">
        <f t="shared" si="16"/>
        <v>33651.50054420001</v>
      </c>
      <c r="AM24" s="450">
        <f t="shared" si="16"/>
        <v>167198.44479039003</v>
      </c>
      <c r="AN24" s="450">
        <f t="shared" si="16"/>
        <v>11022.782399999996</v>
      </c>
      <c r="AO24" s="450">
        <f t="shared" si="16"/>
        <v>220435.4362625404</v>
      </c>
      <c r="AP24" s="450">
        <f t="shared" si="16"/>
        <v>310021.703326275</v>
      </c>
      <c r="AQ24" s="450">
        <f t="shared" si="16"/>
        <v>39367.08</v>
      </c>
      <c r="AR24" s="450">
        <f t="shared" si="16"/>
        <v>39367.08</v>
      </c>
      <c r="AS24" s="450">
        <f t="shared" si="16"/>
        <v>30181.427999999993</v>
      </c>
      <c r="AT24" s="450">
        <f t="shared" si="16"/>
        <v>8961.03</v>
      </c>
      <c r="AU24" s="450">
        <f t="shared" si="16"/>
        <v>212869.9344</v>
      </c>
      <c r="AV24" s="450">
        <f t="shared" si="16"/>
        <v>2050</v>
      </c>
      <c r="AW24" s="450">
        <f t="shared" si="16"/>
        <v>153202.74</v>
      </c>
      <c r="AX24" s="450">
        <f t="shared" si="16"/>
        <v>32949.31</v>
      </c>
      <c r="AY24" s="450">
        <f t="shared" si="16"/>
        <v>32931.358</v>
      </c>
      <c r="AZ24" s="450">
        <f t="shared" si="16"/>
        <v>0</v>
      </c>
      <c r="BA24" s="450">
        <f t="shared" si="16"/>
        <v>0</v>
      </c>
      <c r="BB24" s="450">
        <f t="shared" si="16"/>
        <v>0</v>
      </c>
      <c r="BC24" s="450">
        <f t="shared" si="16"/>
        <v>1398477.1485234052</v>
      </c>
      <c r="BD24" s="450">
        <f t="shared" si="16"/>
        <v>2187.355</v>
      </c>
      <c r="BE24" s="451">
        <f t="shared" si="16"/>
        <v>1400664.5035234054</v>
      </c>
      <c r="BF24" s="450">
        <f t="shared" si="16"/>
        <v>-10441.990023655366</v>
      </c>
      <c r="BG24" s="452">
        <f t="shared" si="16"/>
        <v>-96574.47999999995</v>
      </c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</row>
    <row r="25" spans="61:86" ht="12.75">
      <c r="BI25" s="298"/>
      <c r="BJ25" s="298"/>
      <c r="BK25" s="298"/>
      <c r="BL25" s="298"/>
      <c r="BM25" s="298"/>
      <c r="BN25" s="298"/>
      <c r="BO25" s="298"/>
      <c r="BP25" s="298"/>
      <c r="BQ25" s="298"/>
      <c r="BR25" s="298"/>
      <c r="BS25" s="298"/>
      <c r="BT25" s="298"/>
      <c r="BU25" s="298"/>
      <c r="BV25" s="298"/>
      <c r="BW25" s="298"/>
      <c r="BX25" s="298"/>
      <c r="BY25" s="298"/>
      <c r="BZ25" s="298"/>
      <c r="CA25" s="298"/>
      <c r="CB25" s="298"/>
      <c r="CC25" s="298"/>
      <c r="CD25" s="298"/>
      <c r="CE25" s="298"/>
      <c r="CF25" s="298"/>
      <c r="CG25" s="298"/>
      <c r="CH25" s="298"/>
    </row>
    <row r="26" spans="61:86" ht="12.75">
      <c r="BI26" s="298"/>
      <c r="BJ26" s="298"/>
      <c r="BK26" s="298"/>
      <c r="BL26" s="298"/>
      <c r="BM26" s="298"/>
      <c r="BN26" s="298"/>
      <c r="BO26" s="298"/>
      <c r="BP26" s="298"/>
      <c r="BQ26" s="298"/>
      <c r="BR26" s="298"/>
      <c r="BS26" s="298"/>
      <c r="BT26" s="298"/>
      <c r="BU26" s="298"/>
      <c r="BV26" s="298"/>
      <c r="BW26" s="298"/>
      <c r="BX26" s="298"/>
      <c r="BY26" s="298"/>
      <c r="BZ26" s="298"/>
      <c r="CA26" s="298"/>
      <c r="CB26" s="298"/>
      <c r="CC26" s="298"/>
      <c r="CD26" s="298"/>
      <c r="CE26" s="298"/>
      <c r="CF26" s="298"/>
      <c r="CG26" s="298"/>
      <c r="CH26" s="298"/>
    </row>
    <row r="27" spans="61:86" ht="12.75">
      <c r="BI27" s="298"/>
      <c r="BJ27" s="298"/>
      <c r="BK27" s="298"/>
      <c r="BL27" s="298"/>
      <c r="BM27" s="298"/>
      <c r="BN27" s="298"/>
      <c r="BO27" s="298"/>
      <c r="BP27" s="298"/>
      <c r="BQ27" s="298"/>
      <c r="BR27" s="298"/>
      <c r="BS27" s="298"/>
      <c r="BT27" s="298"/>
      <c r="BU27" s="298"/>
      <c r="BV27" s="298"/>
      <c r="BW27" s="298"/>
      <c r="BX27" s="298"/>
      <c r="BY27" s="298"/>
      <c r="BZ27" s="298"/>
      <c r="CA27" s="298"/>
      <c r="CB27" s="298"/>
      <c r="CC27" s="298"/>
      <c r="CD27" s="298"/>
      <c r="CE27" s="298"/>
      <c r="CF27" s="298"/>
      <c r="CG27" s="298"/>
      <c r="CH27" s="298"/>
    </row>
    <row r="28" spans="61:86" ht="12.75">
      <c r="BI28" s="298"/>
      <c r="BJ28" s="298"/>
      <c r="BK28" s="298"/>
      <c r="BL28" s="298"/>
      <c r="BM28" s="298"/>
      <c r="BN28" s="298"/>
      <c r="BO28" s="298"/>
      <c r="BP28" s="298"/>
      <c r="BQ28" s="298"/>
      <c r="BR28" s="298"/>
      <c r="BS28" s="298"/>
      <c r="BT28" s="298"/>
      <c r="BU28" s="298"/>
      <c r="BV28" s="298"/>
      <c r="BW28" s="298"/>
      <c r="BX28" s="298"/>
      <c r="BY28" s="298"/>
      <c r="BZ28" s="298"/>
      <c r="CA28" s="298"/>
      <c r="CB28" s="298"/>
      <c r="CC28" s="298"/>
      <c r="CD28" s="298"/>
      <c r="CE28" s="298"/>
      <c r="CF28" s="298"/>
      <c r="CG28" s="298"/>
      <c r="CH28" s="298"/>
    </row>
    <row r="29" spans="61:86" ht="12.75">
      <c r="BI29" s="298"/>
      <c r="BJ29" s="298"/>
      <c r="BK29" s="298"/>
      <c r="BL29" s="298"/>
      <c r="BM29" s="298"/>
      <c r="BN29" s="298"/>
      <c r="BO29" s="298"/>
      <c r="BP29" s="298"/>
      <c r="BQ29" s="298"/>
      <c r="BR29" s="298"/>
      <c r="BS29" s="298"/>
      <c r="BT29" s="298"/>
      <c r="BU29" s="298"/>
      <c r="BV29" s="298"/>
      <c r="BW29" s="298"/>
      <c r="BX29" s="298"/>
      <c r="BY29" s="298"/>
      <c r="BZ29" s="298"/>
      <c r="CA29" s="298"/>
      <c r="CB29" s="298"/>
      <c r="CC29" s="298"/>
      <c r="CD29" s="298"/>
      <c r="CE29" s="298"/>
      <c r="CF29" s="298"/>
      <c r="CG29" s="298"/>
      <c r="CH29" s="298"/>
    </row>
    <row r="30" spans="61:86" ht="12.75">
      <c r="BI30" s="298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298"/>
      <c r="BV30" s="298"/>
      <c r="BW30" s="298"/>
      <c r="BX30" s="298"/>
      <c r="BY30" s="298"/>
      <c r="BZ30" s="298"/>
      <c r="CA30" s="298"/>
      <c r="CB30" s="298"/>
      <c r="CC30" s="298"/>
      <c r="CD30" s="298"/>
      <c r="CE30" s="298"/>
      <c r="CF30" s="298"/>
      <c r="CG30" s="298"/>
      <c r="CH30" s="298"/>
    </row>
    <row r="31" spans="61:86" ht="12.75">
      <c r="BI31" s="298"/>
      <c r="BJ31" s="298"/>
      <c r="BK31" s="298"/>
      <c r="BL31" s="298"/>
      <c r="BM31" s="298"/>
      <c r="BN31" s="298"/>
      <c r="BO31" s="298"/>
      <c r="BP31" s="298"/>
      <c r="BQ31" s="298"/>
      <c r="BR31" s="298"/>
      <c r="BS31" s="298"/>
      <c r="BT31" s="298"/>
      <c r="BU31" s="298"/>
      <c r="BV31" s="298"/>
      <c r="BW31" s="298"/>
      <c r="BX31" s="298"/>
      <c r="BY31" s="298"/>
      <c r="BZ31" s="298"/>
      <c r="CA31" s="298"/>
      <c r="CB31" s="298"/>
      <c r="CC31" s="298"/>
      <c r="CD31" s="298"/>
      <c r="CE31" s="298"/>
      <c r="CF31" s="298"/>
      <c r="CG31" s="298"/>
      <c r="CH31" s="298"/>
    </row>
    <row r="32" spans="61:86" ht="12.75">
      <c r="BI32" s="298"/>
      <c r="BJ32" s="298"/>
      <c r="BK32" s="298"/>
      <c r="BL32" s="298"/>
      <c r="BM32" s="298"/>
      <c r="BN32" s="298"/>
      <c r="BO32" s="298"/>
      <c r="BP32" s="298"/>
      <c r="BQ32" s="298"/>
      <c r="BR32" s="298"/>
      <c r="BS32" s="298"/>
      <c r="BT32" s="298"/>
      <c r="BU32" s="298"/>
      <c r="BV32" s="298"/>
      <c r="BW32" s="298"/>
      <c r="BX32" s="298"/>
      <c r="BY32" s="298"/>
      <c r="BZ32" s="298"/>
      <c r="CA32" s="298"/>
      <c r="CB32" s="298"/>
      <c r="CC32" s="298"/>
      <c r="CD32" s="298"/>
      <c r="CE32" s="298"/>
      <c r="CF32" s="298"/>
      <c r="CG32" s="298"/>
      <c r="CH32" s="298"/>
    </row>
    <row r="33" spans="61:86" ht="12.75">
      <c r="BI33" s="298"/>
      <c r="BJ33" s="298"/>
      <c r="BK33" s="298"/>
      <c r="BL33" s="298"/>
      <c r="BM33" s="298"/>
      <c r="BN33" s="298"/>
      <c r="BO33" s="298"/>
      <c r="BP33" s="298"/>
      <c r="BQ33" s="298"/>
      <c r="BR33" s="298"/>
      <c r="BS33" s="298"/>
      <c r="BT33" s="298"/>
      <c r="BU33" s="298"/>
      <c r="BV33" s="298"/>
      <c r="BW33" s="298"/>
      <c r="BX33" s="298"/>
      <c r="BY33" s="298"/>
      <c r="BZ33" s="298"/>
      <c r="CA33" s="298"/>
      <c r="CB33" s="298"/>
      <c r="CC33" s="298"/>
      <c r="CD33" s="298"/>
      <c r="CE33" s="298"/>
      <c r="CF33" s="298"/>
      <c r="CG33" s="298"/>
      <c r="CH33" s="298"/>
    </row>
    <row r="34" spans="61:86" ht="12.75">
      <c r="BI34" s="298"/>
      <c r="BJ34" s="298"/>
      <c r="BK34" s="298"/>
      <c r="BL34" s="298"/>
      <c r="BM34" s="298"/>
      <c r="BN34" s="298"/>
      <c r="BO34" s="298"/>
      <c r="BP34" s="298"/>
      <c r="BQ34" s="298"/>
      <c r="BR34" s="298"/>
      <c r="BS34" s="298"/>
      <c r="BT34" s="298"/>
      <c r="BU34" s="298"/>
      <c r="BV34" s="298"/>
      <c r="BW34" s="298"/>
      <c r="BX34" s="298"/>
      <c r="BY34" s="298"/>
      <c r="BZ34" s="298"/>
      <c r="CA34" s="298"/>
      <c r="CB34" s="298"/>
      <c r="CC34" s="298"/>
      <c r="CD34" s="298"/>
      <c r="CE34" s="298"/>
      <c r="CF34" s="298"/>
      <c r="CG34" s="298"/>
      <c r="CH34" s="298"/>
    </row>
    <row r="35" spans="61:86" ht="12.75">
      <c r="BI35" s="298"/>
      <c r="BJ35" s="298"/>
      <c r="BK35" s="298"/>
      <c r="BL35" s="298"/>
      <c r="BM35" s="298"/>
      <c r="BN35" s="298"/>
      <c r="BO35" s="298"/>
      <c r="BP35" s="298"/>
      <c r="BQ35" s="298"/>
      <c r="BR35" s="298"/>
      <c r="BS35" s="298"/>
      <c r="BT35" s="298"/>
      <c r="BU35" s="298"/>
      <c r="BV35" s="298"/>
      <c r="BW35" s="298"/>
      <c r="BX35" s="298"/>
      <c r="BY35" s="298"/>
      <c r="BZ35" s="298"/>
      <c r="CA35" s="298"/>
      <c r="CB35" s="298"/>
      <c r="CC35" s="298"/>
      <c r="CD35" s="298"/>
      <c r="CE35" s="298"/>
      <c r="CF35" s="298"/>
      <c r="CG35" s="298"/>
      <c r="CH35" s="298"/>
    </row>
    <row r="36" spans="61:86" ht="12.75">
      <c r="BI36" s="298"/>
      <c r="BJ36" s="298"/>
      <c r="BK36" s="298"/>
      <c r="BL36" s="298"/>
      <c r="BM36" s="298"/>
      <c r="BN36" s="298"/>
      <c r="BO36" s="298"/>
      <c r="BP36" s="298"/>
      <c r="BQ36" s="298"/>
      <c r="BR36" s="298"/>
      <c r="BS36" s="298"/>
      <c r="BT36" s="298"/>
      <c r="BU36" s="298"/>
      <c r="BV36" s="298"/>
      <c r="BW36" s="298"/>
      <c r="BX36" s="298"/>
      <c r="BY36" s="298"/>
      <c r="BZ36" s="298"/>
      <c r="CA36" s="298"/>
      <c r="CB36" s="298"/>
      <c r="CC36" s="298"/>
      <c r="CD36" s="298"/>
      <c r="CE36" s="298"/>
      <c r="CF36" s="298"/>
      <c r="CG36" s="298"/>
      <c r="CH36" s="298"/>
    </row>
    <row r="37" spans="61:86" ht="12.75">
      <c r="BI37" s="298"/>
      <c r="BJ37" s="298"/>
      <c r="BK37" s="298"/>
      <c r="BL37" s="298"/>
      <c r="BM37" s="298"/>
      <c r="BN37" s="298"/>
      <c r="BO37" s="298"/>
      <c r="BP37" s="298"/>
      <c r="BQ37" s="298"/>
      <c r="BR37" s="298"/>
      <c r="BS37" s="298"/>
      <c r="BT37" s="298"/>
      <c r="BU37" s="298"/>
      <c r="BV37" s="298"/>
      <c r="BW37" s="298"/>
      <c r="BX37" s="298"/>
      <c r="BY37" s="298"/>
      <c r="BZ37" s="298"/>
      <c r="CA37" s="298"/>
      <c r="CB37" s="298"/>
      <c r="CC37" s="298"/>
      <c r="CD37" s="298"/>
      <c r="CE37" s="298"/>
      <c r="CF37" s="298"/>
      <c r="CG37" s="298"/>
      <c r="CH37" s="298"/>
    </row>
    <row r="38" spans="61:86" ht="12.75">
      <c r="BI38" s="298"/>
      <c r="BJ38" s="298"/>
      <c r="BK38" s="298"/>
      <c r="BL38" s="298"/>
      <c r="BM38" s="298"/>
      <c r="BN38" s="298"/>
      <c r="BO38" s="298"/>
      <c r="BP38" s="298"/>
      <c r="BQ38" s="298"/>
      <c r="BR38" s="298"/>
      <c r="BS38" s="298"/>
      <c r="BT38" s="298"/>
      <c r="BU38" s="298"/>
      <c r="BV38" s="298"/>
      <c r="BW38" s="298"/>
      <c r="BX38" s="298"/>
      <c r="BY38" s="298"/>
      <c r="BZ38" s="298"/>
      <c r="CA38" s="298"/>
      <c r="CB38" s="298"/>
      <c r="CC38" s="298"/>
      <c r="CD38" s="298"/>
      <c r="CE38" s="298"/>
      <c r="CF38" s="298"/>
      <c r="CG38" s="298"/>
      <c r="CH38" s="298"/>
    </row>
    <row r="39" spans="61:86" ht="12.75">
      <c r="BI39" s="298"/>
      <c r="BJ39" s="298"/>
      <c r="BK39" s="298"/>
      <c r="BL39" s="298"/>
      <c r="BM39" s="298"/>
      <c r="BN39" s="298"/>
      <c r="BO39" s="298"/>
      <c r="BP39" s="298"/>
      <c r="BQ39" s="298"/>
      <c r="BR39" s="298"/>
      <c r="BS39" s="298"/>
      <c r="BT39" s="298"/>
      <c r="BU39" s="298"/>
      <c r="BV39" s="298"/>
      <c r="BW39" s="298"/>
      <c r="BX39" s="298"/>
      <c r="BY39" s="298"/>
      <c r="BZ39" s="298"/>
      <c r="CA39" s="298"/>
      <c r="CB39" s="298"/>
      <c r="CC39" s="298"/>
      <c r="CD39" s="298"/>
      <c r="CE39" s="298"/>
      <c r="CF39" s="298"/>
      <c r="CG39" s="298"/>
      <c r="CH39" s="298"/>
    </row>
    <row r="40" spans="61:86" ht="12.75">
      <c r="BI40" s="298"/>
      <c r="BJ40" s="298"/>
      <c r="BK40" s="298"/>
      <c r="BL40" s="298"/>
      <c r="BM40" s="298"/>
      <c r="BN40" s="298"/>
      <c r="BO40" s="298"/>
      <c r="BP40" s="298"/>
      <c r="BQ40" s="298"/>
      <c r="BR40" s="298"/>
      <c r="BS40" s="298"/>
      <c r="BT40" s="298"/>
      <c r="BU40" s="298"/>
      <c r="BV40" s="298"/>
      <c r="BW40" s="298"/>
      <c r="BX40" s="298"/>
      <c r="BY40" s="298"/>
      <c r="BZ40" s="298"/>
      <c r="CA40" s="298"/>
      <c r="CB40" s="298"/>
      <c r="CC40" s="298"/>
      <c r="CD40" s="298"/>
      <c r="CE40" s="298"/>
      <c r="CF40" s="298"/>
      <c r="CG40" s="298"/>
      <c r="CH40" s="298"/>
    </row>
    <row r="41" spans="61:86" ht="12.75">
      <c r="BI41" s="298"/>
      <c r="BJ41" s="298"/>
      <c r="BK41" s="298"/>
      <c r="BL41" s="298"/>
      <c r="BM41" s="298"/>
      <c r="BN41" s="298"/>
      <c r="BO41" s="298"/>
      <c r="BP41" s="298"/>
      <c r="BQ41" s="298"/>
      <c r="BR41" s="298"/>
      <c r="BS41" s="298"/>
      <c r="BT41" s="298"/>
      <c r="BU41" s="298"/>
      <c r="BV41" s="298"/>
      <c r="BW41" s="298"/>
      <c r="BX41" s="298"/>
      <c r="BY41" s="298"/>
      <c r="BZ41" s="298"/>
      <c r="CA41" s="298"/>
      <c r="CB41" s="298"/>
      <c r="CC41" s="298"/>
      <c r="CD41" s="298"/>
      <c r="CE41" s="298"/>
      <c r="CF41" s="298"/>
      <c r="CG41" s="298"/>
      <c r="CH41" s="298"/>
    </row>
    <row r="42" spans="61:86" ht="12.75">
      <c r="BI42" s="298"/>
      <c r="BJ42" s="298"/>
      <c r="BK42" s="298"/>
      <c r="BL42" s="298"/>
      <c r="BM42" s="298"/>
      <c r="BN42" s="298"/>
      <c r="BO42" s="298"/>
      <c r="BP42" s="298"/>
      <c r="BQ42" s="298"/>
      <c r="BR42" s="298"/>
      <c r="BS42" s="298"/>
      <c r="BT42" s="298"/>
      <c r="BU42" s="298"/>
      <c r="BV42" s="298"/>
      <c r="BW42" s="298"/>
      <c r="BX42" s="298"/>
      <c r="BY42" s="298"/>
      <c r="BZ42" s="298"/>
      <c r="CA42" s="298"/>
      <c r="CB42" s="298"/>
      <c r="CC42" s="298"/>
      <c r="CD42" s="298"/>
      <c r="CE42" s="298"/>
      <c r="CF42" s="298"/>
      <c r="CG42" s="298"/>
      <c r="CH42" s="298"/>
    </row>
    <row r="43" spans="61:86" ht="12.75">
      <c r="BI43" s="298"/>
      <c r="BJ43" s="298"/>
      <c r="BK43" s="298"/>
      <c r="BL43" s="298"/>
      <c r="BM43" s="298"/>
      <c r="BN43" s="298"/>
      <c r="BO43" s="298"/>
      <c r="BP43" s="298"/>
      <c r="BQ43" s="298"/>
      <c r="BR43" s="298"/>
      <c r="BS43" s="298"/>
      <c r="BT43" s="298"/>
      <c r="BU43" s="298"/>
      <c r="BV43" s="298"/>
      <c r="BW43" s="298"/>
      <c r="BX43" s="298"/>
      <c r="BY43" s="298"/>
      <c r="BZ43" s="298"/>
      <c r="CA43" s="298"/>
      <c r="CB43" s="298"/>
      <c r="CC43" s="298"/>
      <c r="CD43" s="298"/>
      <c r="CE43" s="298"/>
      <c r="CF43" s="298"/>
      <c r="CG43" s="298"/>
      <c r="CH43" s="298"/>
    </row>
    <row r="44" spans="61:86" ht="12.75">
      <c r="BI44" s="298"/>
      <c r="BJ44" s="298"/>
      <c r="BK44" s="298"/>
      <c r="BL44" s="298"/>
      <c r="BM44" s="298"/>
      <c r="BN44" s="298"/>
      <c r="BO44" s="298"/>
      <c r="BP44" s="298"/>
      <c r="BQ44" s="298"/>
      <c r="BR44" s="298"/>
      <c r="BS44" s="298"/>
      <c r="BT44" s="298"/>
      <c r="BU44" s="298"/>
      <c r="BV44" s="298"/>
      <c r="BW44" s="298"/>
      <c r="BX44" s="298"/>
      <c r="BY44" s="298"/>
      <c r="BZ44" s="298"/>
      <c r="CA44" s="298"/>
      <c r="CB44" s="298"/>
      <c r="CC44" s="298"/>
      <c r="CD44" s="298"/>
      <c r="CE44" s="298"/>
      <c r="CF44" s="298"/>
      <c r="CG44" s="298"/>
      <c r="CH44" s="298"/>
    </row>
    <row r="45" spans="61:86" ht="12.75">
      <c r="BI45" s="298"/>
      <c r="BJ45" s="298"/>
      <c r="BK45" s="298"/>
      <c r="BL45" s="298"/>
      <c r="BM45" s="298"/>
      <c r="BN45" s="298"/>
      <c r="BO45" s="298"/>
      <c r="BP45" s="298"/>
      <c r="BQ45" s="298"/>
      <c r="BR45" s="298"/>
      <c r="BS45" s="298"/>
      <c r="BT45" s="298"/>
      <c r="BU45" s="298"/>
      <c r="BV45" s="298"/>
      <c r="BW45" s="298"/>
      <c r="BX45" s="298"/>
      <c r="BY45" s="298"/>
      <c r="BZ45" s="298"/>
      <c r="CA45" s="298"/>
      <c r="CB45" s="298"/>
      <c r="CC45" s="298"/>
      <c r="CD45" s="298"/>
      <c r="CE45" s="298"/>
      <c r="CF45" s="298"/>
      <c r="CG45" s="298"/>
      <c r="CH45" s="298"/>
    </row>
    <row r="46" spans="61:86" ht="12.75">
      <c r="BI46" s="298"/>
      <c r="BJ46" s="298"/>
      <c r="BK46" s="298"/>
      <c r="BL46" s="298"/>
      <c r="BM46" s="298"/>
      <c r="BN46" s="298"/>
      <c r="BO46" s="298"/>
      <c r="BP46" s="298"/>
      <c r="BQ46" s="298"/>
      <c r="BR46" s="298"/>
      <c r="BS46" s="298"/>
      <c r="BT46" s="298"/>
      <c r="BU46" s="298"/>
      <c r="BV46" s="298"/>
      <c r="BW46" s="298"/>
      <c r="BX46" s="298"/>
      <c r="BY46" s="298"/>
      <c r="BZ46" s="298"/>
      <c r="CA46" s="298"/>
      <c r="CB46" s="298"/>
      <c r="CC46" s="298"/>
      <c r="CD46" s="298"/>
      <c r="CE46" s="298"/>
      <c r="CF46" s="298"/>
      <c r="CG46" s="298"/>
      <c r="CH46" s="298"/>
    </row>
    <row r="47" spans="61:86" ht="12.75">
      <c r="BI47" s="298"/>
      <c r="BJ47" s="298"/>
      <c r="BK47" s="298"/>
      <c r="BL47" s="298"/>
      <c r="BM47" s="298"/>
      <c r="BN47" s="298"/>
      <c r="BO47" s="298"/>
      <c r="BP47" s="298"/>
      <c r="BQ47" s="298"/>
      <c r="BR47" s="298"/>
      <c r="BS47" s="298"/>
      <c r="BT47" s="298"/>
      <c r="BU47" s="298"/>
      <c r="BV47" s="298"/>
      <c r="BW47" s="298"/>
      <c r="BX47" s="298"/>
      <c r="BY47" s="298"/>
      <c r="BZ47" s="298"/>
      <c r="CA47" s="298"/>
      <c r="CB47" s="298"/>
      <c r="CC47" s="298"/>
      <c r="CD47" s="298"/>
      <c r="CE47" s="298"/>
      <c r="CF47" s="298"/>
      <c r="CG47" s="298"/>
      <c r="CH47" s="298"/>
    </row>
    <row r="48" spans="61:86" ht="12.75">
      <c r="BI48" s="298"/>
      <c r="BJ48" s="298"/>
      <c r="BK48" s="298"/>
      <c r="BL48" s="298"/>
      <c r="BM48" s="298"/>
      <c r="BN48" s="298"/>
      <c r="BO48" s="298"/>
      <c r="BP48" s="298"/>
      <c r="BQ48" s="298"/>
      <c r="BR48" s="298"/>
      <c r="BS48" s="298"/>
      <c r="BT48" s="298"/>
      <c r="BU48" s="298"/>
      <c r="BV48" s="298"/>
      <c r="BW48" s="298"/>
      <c r="BX48" s="298"/>
      <c r="BY48" s="298"/>
      <c r="BZ48" s="298"/>
      <c r="CA48" s="298"/>
      <c r="CB48" s="298"/>
      <c r="CC48" s="298"/>
      <c r="CD48" s="298"/>
      <c r="CE48" s="298"/>
      <c r="CF48" s="298"/>
      <c r="CG48" s="298"/>
      <c r="CH48" s="298"/>
    </row>
    <row r="49" spans="61:86" ht="12.75">
      <c r="BI49" s="298"/>
      <c r="BJ49" s="298"/>
      <c r="BK49" s="298"/>
      <c r="BL49" s="298"/>
      <c r="BM49" s="298"/>
      <c r="BN49" s="298"/>
      <c r="BO49" s="298"/>
      <c r="BP49" s="298"/>
      <c r="BQ49" s="298"/>
      <c r="BR49" s="298"/>
      <c r="BS49" s="298"/>
      <c r="BT49" s="298"/>
      <c r="BU49" s="298"/>
      <c r="BV49" s="298"/>
      <c r="BW49" s="298"/>
      <c r="BX49" s="298"/>
      <c r="BY49" s="298"/>
      <c r="BZ49" s="298"/>
      <c r="CA49" s="298"/>
      <c r="CB49" s="298"/>
      <c r="CC49" s="298"/>
      <c r="CD49" s="298"/>
      <c r="CE49" s="298"/>
      <c r="CF49" s="298"/>
      <c r="CG49" s="298"/>
      <c r="CH49" s="298"/>
    </row>
    <row r="50" spans="61:86" ht="12.75">
      <c r="BI50" s="298"/>
      <c r="BJ50" s="298"/>
      <c r="BK50" s="298"/>
      <c r="BL50" s="298"/>
      <c r="BM50" s="298"/>
      <c r="BN50" s="298"/>
      <c r="BO50" s="298"/>
      <c r="BP50" s="298"/>
      <c r="BQ50" s="298"/>
      <c r="BR50" s="298"/>
      <c r="BS50" s="298"/>
      <c r="BT50" s="298"/>
      <c r="BU50" s="298"/>
      <c r="BV50" s="298"/>
      <c r="BW50" s="298"/>
      <c r="BX50" s="298"/>
      <c r="BY50" s="298"/>
      <c r="BZ50" s="298"/>
      <c r="CA50" s="298"/>
      <c r="CB50" s="298"/>
      <c r="CC50" s="298"/>
      <c r="CD50" s="298"/>
      <c r="CE50" s="298"/>
      <c r="CF50" s="298"/>
      <c r="CG50" s="298"/>
      <c r="CH50" s="298"/>
    </row>
    <row r="51" spans="61:86" ht="12.75">
      <c r="BI51" s="298"/>
      <c r="BJ51" s="298"/>
      <c r="BK51" s="298"/>
      <c r="BL51" s="298"/>
      <c r="BM51" s="298"/>
      <c r="BN51" s="298"/>
      <c r="BO51" s="298"/>
      <c r="BP51" s="298"/>
      <c r="BQ51" s="298"/>
      <c r="BR51" s="298"/>
      <c r="BS51" s="298"/>
      <c r="BT51" s="298"/>
      <c r="BU51" s="298"/>
      <c r="BV51" s="298"/>
      <c r="BW51" s="298"/>
      <c r="BX51" s="298"/>
      <c r="BY51" s="298"/>
      <c r="BZ51" s="298"/>
      <c r="CA51" s="298"/>
      <c r="CB51" s="298"/>
      <c r="CC51" s="298"/>
      <c r="CD51" s="298"/>
      <c r="CE51" s="298"/>
      <c r="CF51" s="298"/>
      <c r="CG51" s="298"/>
      <c r="CH51" s="298"/>
    </row>
    <row r="52" spans="61:86" ht="12.75">
      <c r="BI52" s="298"/>
      <c r="BJ52" s="298"/>
      <c r="BK52" s="298"/>
      <c r="BL52" s="298"/>
      <c r="BM52" s="298"/>
      <c r="BN52" s="298"/>
      <c r="BO52" s="298"/>
      <c r="BP52" s="298"/>
      <c r="BQ52" s="298"/>
      <c r="BR52" s="298"/>
      <c r="BS52" s="298"/>
      <c r="BT52" s="298"/>
      <c r="BU52" s="298"/>
      <c r="BV52" s="298"/>
      <c r="BW52" s="298"/>
      <c r="BX52" s="298"/>
      <c r="BY52" s="298"/>
      <c r="BZ52" s="298"/>
      <c r="CA52" s="298"/>
      <c r="CB52" s="298"/>
      <c r="CC52" s="298"/>
      <c r="CD52" s="298"/>
      <c r="CE52" s="298"/>
      <c r="CF52" s="298"/>
      <c r="CG52" s="298"/>
      <c r="CH52" s="298"/>
    </row>
    <row r="53" spans="61:86" ht="12.75">
      <c r="BI53" s="298"/>
      <c r="BJ53" s="298"/>
      <c r="BK53" s="298"/>
      <c r="BL53" s="298"/>
      <c r="BM53" s="298"/>
      <c r="BN53" s="298"/>
      <c r="BO53" s="298"/>
      <c r="BP53" s="298"/>
      <c r="BQ53" s="298"/>
      <c r="BR53" s="298"/>
      <c r="BS53" s="298"/>
      <c r="BT53" s="298"/>
      <c r="BU53" s="298"/>
      <c r="BV53" s="298"/>
      <c r="BW53" s="298"/>
      <c r="BX53" s="298"/>
      <c r="BY53" s="298"/>
      <c r="BZ53" s="298"/>
      <c r="CA53" s="298"/>
      <c r="CB53" s="298"/>
      <c r="CC53" s="298"/>
      <c r="CD53" s="298"/>
      <c r="CE53" s="298"/>
      <c r="CF53" s="298"/>
      <c r="CG53" s="298"/>
      <c r="CH53" s="298"/>
    </row>
    <row r="54" spans="61:86" ht="12.75">
      <c r="BI54" s="298"/>
      <c r="BJ54" s="298"/>
      <c r="BK54" s="298"/>
      <c r="BL54" s="298"/>
      <c r="BM54" s="298"/>
      <c r="BN54" s="298"/>
      <c r="BO54" s="298"/>
      <c r="BP54" s="298"/>
      <c r="BQ54" s="298"/>
      <c r="BR54" s="298"/>
      <c r="BS54" s="298"/>
      <c r="BT54" s="298"/>
      <c r="BU54" s="298"/>
      <c r="BV54" s="298"/>
      <c r="BW54" s="298"/>
      <c r="BX54" s="298"/>
      <c r="BY54" s="298"/>
      <c r="BZ54" s="298"/>
      <c r="CA54" s="298"/>
      <c r="CB54" s="298"/>
      <c r="CC54" s="298"/>
      <c r="CD54" s="298"/>
      <c r="CE54" s="298"/>
      <c r="CF54" s="298"/>
      <c r="CG54" s="298"/>
      <c r="CH54" s="298"/>
    </row>
    <row r="55" spans="61:86" ht="12.75">
      <c r="BI55" s="298"/>
      <c r="BJ55" s="298"/>
      <c r="BK55" s="298"/>
      <c r="BL55" s="298"/>
      <c r="BM55" s="298"/>
      <c r="BN55" s="298"/>
      <c r="BO55" s="298"/>
      <c r="BP55" s="298"/>
      <c r="BQ55" s="298"/>
      <c r="BR55" s="298"/>
      <c r="BS55" s="298"/>
      <c r="BT55" s="298"/>
      <c r="BU55" s="298"/>
      <c r="BV55" s="298"/>
      <c r="BW55" s="298"/>
      <c r="BX55" s="298"/>
      <c r="BY55" s="298"/>
      <c r="BZ55" s="298"/>
      <c r="CA55" s="298"/>
      <c r="CB55" s="298"/>
      <c r="CC55" s="298"/>
      <c r="CD55" s="298"/>
      <c r="CE55" s="298"/>
      <c r="CF55" s="298"/>
      <c r="CG55" s="298"/>
      <c r="CH55" s="298"/>
    </row>
    <row r="56" spans="61:86" ht="12.75">
      <c r="BI56" s="298"/>
      <c r="BJ56" s="298"/>
      <c r="BK56" s="298"/>
      <c r="BL56" s="298"/>
      <c r="BM56" s="298"/>
      <c r="BN56" s="298"/>
      <c r="BO56" s="298"/>
      <c r="BP56" s="298"/>
      <c r="BQ56" s="298"/>
      <c r="BR56" s="298"/>
      <c r="BS56" s="298"/>
      <c r="BT56" s="298"/>
      <c r="BU56" s="298"/>
      <c r="BV56" s="298"/>
      <c r="BW56" s="298"/>
      <c r="BX56" s="298"/>
      <c r="BY56" s="298"/>
      <c r="BZ56" s="298"/>
      <c r="CA56" s="298"/>
      <c r="CB56" s="298"/>
      <c r="CC56" s="298"/>
      <c r="CD56" s="298"/>
      <c r="CE56" s="298"/>
      <c r="CF56" s="298"/>
      <c r="CG56" s="298"/>
      <c r="CH56" s="298"/>
    </row>
    <row r="57" spans="61:86" ht="12.75">
      <c r="BI57" s="298"/>
      <c r="BJ57" s="298"/>
      <c r="BK57" s="298"/>
      <c r="BL57" s="298"/>
      <c r="BM57" s="298"/>
      <c r="BN57" s="298"/>
      <c r="BO57" s="298"/>
      <c r="BP57" s="298"/>
      <c r="BQ57" s="298"/>
      <c r="BR57" s="298"/>
      <c r="BS57" s="298"/>
      <c r="BT57" s="298"/>
      <c r="BU57" s="298"/>
      <c r="BV57" s="298"/>
      <c r="BW57" s="298"/>
      <c r="BX57" s="298"/>
      <c r="BY57" s="298"/>
      <c r="BZ57" s="298"/>
      <c r="CA57" s="298"/>
      <c r="CB57" s="298"/>
      <c r="CC57" s="298"/>
      <c r="CD57" s="298"/>
      <c r="CE57" s="298"/>
      <c r="CF57" s="298"/>
      <c r="CG57" s="298"/>
      <c r="CH57" s="298"/>
    </row>
    <row r="58" spans="61:86" ht="12.75">
      <c r="BI58" s="298"/>
      <c r="BJ58" s="298"/>
      <c r="BK58" s="298"/>
      <c r="BL58" s="298"/>
      <c r="BM58" s="298"/>
      <c r="BN58" s="298"/>
      <c r="BO58" s="298"/>
      <c r="BP58" s="298"/>
      <c r="BQ58" s="298"/>
      <c r="BR58" s="298"/>
      <c r="BS58" s="298"/>
      <c r="BT58" s="298"/>
      <c r="BU58" s="298"/>
      <c r="BV58" s="298"/>
      <c r="BW58" s="298"/>
      <c r="BX58" s="298"/>
      <c r="BY58" s="298"/>
      <c r="BZ58" s="298"/>
      <c r="CA58" s="298"/>
      <c r="CB58" s="298"/>
      <c r="CC58" s="298"/>
      <c r="CD58" s="298"/>
      <c r="CE58" s="298"/>
      <c r="CF58" s="298"/>
      <c r="CG58" s="298"/>
      <c r="CH58" s="298"/>
    </row>
    <row r="59" spans="61:86" ht="12.75">
      <c r="BI59" s="298"/>
      <c r="BJ59" s="298"/>
      <c r="BK59" s="298"/>
      <c r="BL59" s="298"/>
      <c r="BM59" s="298"/>
      <c r="BN59" s="298"/>
      <c r="BO59" s="298"/>
      <c r="BP59" s="298"/>
      <c r="BQ59" s="298"/>
      <c r="BR59" s="298"/>
      <c r="BS59" s="298"/>
      <c r="BT59" s="298"/>
      <c r="BU59" s="298"/>
      <c r="BV59" s="298"/>
      <c r="BW59" s="298"/>
      <c r="BX59" s="298"/>
      <c r="BY59" s="298"/>
      <c r="BZ59" s="298"/>
      <c r="CA59" s="298"/>
      <c r="CB59" s="298"/>
      <c r="CC59" s="298"/>
      <c r="CD59" s="298"/>
      <c r="CE59" s="298"/>
      <c r="CF59" s="298"/>
      <c r="CG59" s="298"/>
      <c r="CH59" s="298"/>
    </row>
    <row r="60" spans="61:86" ht="12.75">
      <c r="BI60" s="298"/>
      <c r="BJ60" s="298"/>
      <c r="BK60" s="298"/>
      <c r="BL60" s="298"/>
      <c r="BM60" s="298"/>
      <c r="BN60" s="298"/>
      <c r="BO60" s="298"/>
      <c r="BP60" s="298"/>
      <c r="BQ60" s="298"/>
      <c r="BR60" s="298"/>
      <c r="BS60" s="298"/>
      <c r="BT60" s="298"/>
      <c r="BU60" s="298"/>
      <c r="BV60" s="298"/>
      <c r="BW60" s="298"/>
      <c r="BX60" s="298"/>
      <c r="BY60" s="298"/>
      <c r="BZ60" s="298"/>
      <c r="CA60" s="298"/>
      <c r="CB60" s="298"/>
      <c r="CC60" s="298"/>
      <c r="CD60" s="298"/>
      <c r="CE60" s="298"/>
      <c r="CF60" s="298"/>
      <c r="CG60" s="298"/>
      <c r="CH60" s="298"/>
    </row>
    <row r="61" spans="61:86" ht="12.75">
      <c r="BI61" s="298"/>
      <c r="BJ61" s="298"/>
      <c r="BK61" s="298"/>
      <c r="BL61" s="298"/>
      <c r="BM61" s="298"/>
      <c r="BN61" s="298"/>
      <c r="BO61" s="298"/>
      <c r="BP61" s="298"/>
      <c r="BQ61" s="298"/>
      <c r="BR61" s="298"/>
      <c r="BS61" s="298"/>
      <c r="BT61" s="298"/>
      <c r="BU61" s="298"/>
      <c r="BV61" s="298"/>
      <c r="BW61" s="298"/>
      <c r="BX61" s="298"/>
      <c r="BY61" s="298"/>
      <c r="BZ61" s="298"/>
      <c r="CA61" s="298"/>
      <c r="CB61" s="298"/>
      <c r="CC61" s="298"/>
      <c r="CD61" s="298"/>
      <c r="CE61" s="298"/>
      <c r="CF61" s="298"/>
      <c r="CG61" s="298"/>
      <c r="CH61" s="298"/>
    </row>
    <row r="62" spans="61:86" ht="12.75">
      <c r="BI62" s="298"/>
      <c r="BJ62" s="298"/>
      <c r="BK62" s="298"/>
      <c r="BL62" s="298"/>
      <c r="BM62" s="298"/>
      <c r="BN62" s="298"/>
      <c r="BO62" s="298"/>
      <c r="BP62" s="298"/>
      <c r="BQ62" s="298"/>
      <c r="BR62" s="298"/>
      <c r="BS62" s="298"/>
      <c r="BT62" s="298"/>
      <c r="BU62" s="298"/>
      <c r="BV62" s="298"/>
      <c r="BW62" s="298"/>
      <c r="BX62" s="298"/>
      <c r="BY62" s="298"/>
      <c r="BZ62" s="298"/>
      <c r="CA62" s="298"/>
      <c r="CB62" s="298"/>
      <c r="CC62" s="298"/>
      <c r="CD62" s="298"/>
      <c r="CE62" s="298"/>
      <c r="CF62" s="298"/>
      <c r="CG62" s="298"/>
      <c r="CH62" s="298"/>
    </row>
    <row r="63" spans="61:86" ht="12.75">
      <c r="BI63" s="298"/>
      <c r="BJ63" s="298"/>
      <c r="BK63" s="298"/>
      <c r="BL63" s="298"/>
      <c r="BM63" s="298"/>
      <c r="BN63" s="298"/>
      <c r="BO63" s="298"/>
      <c r="BP63" s="298"/>
      <c r="BQ63" s="298"/>
      <c r="BR63" s="298"/>
      <c r="BS63" s="298"/>
      <c r="BT63" s="298"/>
      <c r="BU63" s="298"/>
      <c r="BV63" s="298"/>
      <c r="BW63" s="298"/>
      <c r="BX63" s="298"/>
      <c r="BY63" s="298"/>
      <c r="BZ63" s="298"/>
      <c r="CA63" s="298"/>
      <c r="CB63" s="298"/>
      <c r="CC63" s="298"/>
      <c r="CD63" s="298"/>
      <c r="CE63" s="298"/>
      <c r="CF63" s="298"/>
      <c r="CG63" s="298"/>
      <c r="CH63" s="298"/>
    </row>
    <row r="64" spans="61:86" ht="12.75">
      <c r="BI64" s="298"/>
      <c r="BJ64" s="298"/>
      <c r="BK64" s="298"/>
      <c r="BL64" s="298"/>
      <c r="BM64" s="298"/>
      <c r="BN64" s="298"/>
      <c r="BO64" s="298"/>
      <c r="BP64" s="298"/>
      <c r="BQ64" s="298"/>
      <c r="BR64" s="298"/>
      <c r="BS64" s="298"/>
      <c r="BT64" s="298"/>
      <c r="BU64" s="298"/>
      <c r="BV64" s="298"/>
      <c r="BW64" s="298"/>
      <c r="BX64" s="298"/>
      <c r="BY64" s="298"/>
      <c r="BZ64" s="298"/>
      <c r="CA64" s="298"/>
      <c r="CB64" s="298"/>
      <c r="CC64" s="298"/>
      <c r="CD64" s="298"/>
      <c r="CE64" s="298"/>
      <c r="CF64" s="298"/>
      <c r="CG64" s="298"/>
      <c r="CH64" s="298"/>
    </row>
    <row r="65" spans="61:86" ht="12.75">
      <c r="BI65" s="298"/>
      <c r="BJ65" s="298"/>
      <c r="BK65" s="298"/>
      <c r="BL65" s="298"/>
      <c r="BM65" s="298"/>
      <c r="BN65" s="298"/>
      <c r="BO65" s="298"/>
      <c r="BP65" s="298"/>
      <c r="BQ65" s="298"/>
      <c r="BR65" s="298"/>
      <c r="BS65" s="298"/>
      <c r="BT65" s="298"/>
      <c r="BU65" s="298"/>
      <c r="BV65" s="298"/>
      <c r="BW65" s="298"/>
      <c r="BX65" s="298"/>
      <c r="BY65" s="298"/>
      <c r="BZ65" s="298"/>
      <c r="CA65" s="298"/>
      <c r="CB65" s="298"/>
      <c r="CC65" s="298"/>
      <c r="CD65" s="298"/>
      <c r="CE65" s="298"/>
      <c r="CF65" s="298"/>
      <c r="CG65" s="298"/>
      <c r="CH65" s="298"/>
    </row>
    <row r="66" spans="61:86" ht="12.75">
      <c r="BI66" s="298"/>
      <c r="BJ66" s="298"/>
      <c r="BK66" s="298"/>
      <c r="BL66" s="298"/>
      <c r="BM66" s="298"/>
      <c r="BN66" s="298"/>
      <c r="BO66" s="298"/>
      <c r="BP66" s="298"/>
      <c r="BQ66" s="298"/>
      <c r="BR66" s="298"/>
      <c r="BS66" s="298"/>
      <c r="BT66" s="298"/>
      <c r="BU66" s="298"/>
      <c r="BV66" s="298"/>
      <c r="BW66" s="298"/>
      <c r="BX66" s="298"/>
      <c r="BY66" s="298"/>
      <c r="BZ66" s="298"/>
      <c r="CA66" s="298"/>
      <c r="CB66" s="298"/>
      <c r="CC66" s="298"/>
      <c r="CD66" s="298"/>
      <c r="CE66" s="298"/>
      <c r="CF66" s="298"/>
      <c r="CG66" s="298"/>
      <c r="CH66" s="298"/>
    </row>
    <row r="67" spans="61:86" ht="12.75">
      <c r="BI67" s="298"/>
      <c r="BJ67" s="298"/>
      <c r="BK67" s="298"/>
      <c r="BL67" s="298"/>
      <c r="BM67" s="298"/>
      <c r="BN67" s="298"/>
      <c r="BO67" s="298"/>
      <c r="BP67" s="298"/>
      <c r="BQ67" s="298"/>
      <c r="BR67" s="298"/>
      <c r="BS67" s="298"/>
      <c r="BT67" s="298"/>
      <c r="BU67" s="298"/>
      <c r="BV67" s="298"/>
      <c r="BW67" s="298"/>
      <c r="BX67" s="298"/>
      <c r="BY67" s="298"/>
      <c r="BZ67" s="298"/>
      <c r="CA67" s="298"/>
      <c r="CB67" s="298"/>
      <c r="CC67" s="298"/>
      <c r="CD67" s="298"/>
      <c r="CE67" s="298"/>
      <c r="CF67" s="298"/>
      <c r="CG67" s="298"/>
      <c r="CH67" s="298"/>
    </row>
    <row r="68" spans="61:86" ht="12.75">
      <c r="BI68" s="298"/>
      <c r="BJ68" s="298"/>
      <c r="BK68" s="298"/>
      <c r="BL68" s="298"/>
      <c r="BM68" s="298"/>
      <c r="BN68" s="298"/>
      <c r="BO68" s="298"/>
      <c r="BP68" s="298"/>
      <c r="BQ68" s="298"/>
      <c r="BR68" s="298"/>
      <c r="BS68" s="298"/>
      <c r="BT68" s="298"/>
      <c r="BU68" s="298"/>
      <c r="BV68" s="298"/>
      <c r="BW68" s="298"/>
      <c r="BX68" s="298"/>
      <c r="BY68" s="298"/>
      <c r="BZ68" s="298"/>
      <c r="CA68" s="298"/>
      <c r="CB68" s="298"/>
      <c r="CC68" s="298"/>
      <c r="CD68" s="298"/>
      <c r="CE68" s="298"/>
      <c r="CF68" s="298"/>
      <c r="CG68" s="298"/>
      <c r="CH68" s="298"/>
    </row>
    <row r="69" spans="61:86" ht="12.75">
      <c r="BI69" s="298"/>
      <c r="BJ69" s="298"/>
      <c r="BK69" s="298"/>
      <c r="BL69" s="298"/>
      <c r="BM69" s="298"/>
      <c r="BN69" s="298"/>
      <c r="BO69" s="298"/>
      <c r="BP69" s="298"/>
      <c r="BQ69" s="298"/>
      <c r="BR69" s="298"/>
      <c r="BS69" s="298"/>
      <c r="BT69" s="298"/>
      <c r="BU69" s="298"/>
      <c r="BV69" s="298"/>
      <c r="BW69" s="298"/>
      <c r="BX69" s="298"/>
      <c r="BY69" s="298"/>
      <c r="BZ69" s="298"/>
      <c r="CA69" s="298"/>
      <c r="CB69" s="298"/>
      <c r="CC69" s="298"/>
      <c r="CD69" s="298"/>
      <c r="CE69" s="298"/>
      <c r="CF69" s="298"/>
      <c r="CG69" s="298"/>
      <c r="CH69" s="298"/>
    </row>
    <row r="70" spans="61:86" ht="12.75">
      <c r="BI70" s="298"/>
      <c r="BJ70" s="298"/>
      <c r="BK70" s="298"/>
      <c r="BL70" s="298"/>
      <c r="BM70" s="298"/>
      <c r="BN70" s="298"/>
      <c r="BO70" s="298"/>
      <c r="BP70" s="298"/>
      <c r="BQ70" s="298"/>
      <c r="BR70" s="298"/>
      <c r="BS70" s="298"/>
      <c r="BT70" s="298"/>
      <c r="BU70" s="298"/>
      <c r="BV70" s="298"/>
      <c r="BW70" s="298"/>
      <c r="BX70" s="298"/>
      <c r="BY70" s="298"/>
      <c r="BZ70" s="298"/>
      <c r="CA70" s="298"/>
      <c r="CB70" s="298"/>
      <c r="CC70" s="298"/>
      <c r="CD70" s="298"/>
      <c r="CE70" s="298"/>
      <c r="CF70" s="298"/>
      <c r="CG70" s="298"/>
      <c r="CH70" s="298"/>
    </row>
    <row r="71" spans="61:86" ht="12.75">
      <c r="BI71" s="298"/>
      <c r="BJ71" s="298"/>
      <c r="BK71" s="298"/>
      <c r="BL71" s="298"/>
      <c r="BM71" s="298"/>
      <c r="BN71" s="298"/>
      <c r="BO71" s="298"/>
      <c r="BP71" s="298"/>
      <c r="BQ71" s="298"/>
      <c r="BR71" s="298"/>
      <c r="BS71" s="298"/>
      <c r="BT71" s="298"/>
      <c r="BU71" s="298"/>
      <c r="BV71" s="298"/>
      <c r="BW71" s="298"/>
      <c r="BX71" s="298"/>
      <c r="BY71" s="298"/>
      <c r="BZ71" s="298"/>
      <c r="CA71" s="298"/>
      <c r="CB71" s="298"/>
      <c r="CC71" s="298"/>
      <c r="CD71" s="298"/>
      <c r="CE71" s="298"/>
      <c r="CF71" s="298"/>
      <c r="CG71" s="298"/>
      <c r="CH71" s="298"/>
    </row>
    <row r="72" spans="61:86" ht="12.75">
      <c r="BI72" s="298"/>
      <c r="BJ72" s="298"/>
      <c r="BK72" s="298"/>
      <c r="BL72" s="298"/>
      <c r="BM72" s="298"/>
      <c r="BN72" s="298"/>
      <c r="BO72" s="298"/>
      <c r="BP72" s="298"/>
      <c r="BQ72" s="298"/>
      <c r="BR72" s="298"/>
      <c r="BS72" s="298"/>
      <c r="BT72" s="298"/>
      <c r="BU72" s="298"/>
      <c r="BV72" s="298"/>
      <c r="BW72" s="298"/>
      <c r="BX72" s="298"/>
      <c r="BY72" s="298"/>
      <c r="BZ72" s="298"/>
      <c r="CA72" s="298"/>
      <c r="CB72" s="298"/>
      <c r="CC72" s="298"/>
      <c r="CD72" s="298"/>
      <c r="CE72" s="298"/>
      <c r="CF72" s="298"/>
      <c r="CG72" s="298"/>
      <c r="CH72" s="298"/>
    </row>
    <row r="73" spans="61:86" ht="12.75">
      <c r="BI73" s="298"/>
      <c r="BJ73" s="298"/>
      <c r="BK73" s="298"/>
      <c r="BL73" s="298"/>
      <c r="BM73" s="298"/>
      <c r="BN73" s="298"/>
      <c r="BO73" s="298"/>
      <c r="BP73" s="298"/>
      <c r="BQ73" s="298"/>
      <c r="BR73" s="298"/>
      <c r="BS73" s="298"/>
      <c r="BT73" s="298"/>
      <c r="BU73" s="298"/>
      <c r="BV73" s="298"/>
      <c r="BW73" s="298"/>
      <c r="BX73" s="298"/>
      <c r="BY73" s="298"/>
      <c r="BZ73" s="298"/>
      <c r="CA73" s="298"/>
      <c r="CB73" s="298"/>
      <c r="CC73" s="298"/>
      <c r="CD73" s="298"/>
      <c r="CE73" s="298"/>
      <c r="CF73" s="298"/>
      <c r="CG73" s="298"/>
      <c r="CH73" s="298"/>
    </row>
    <row r="74" spans="61:86" ht="12.75">
      <c r="BI74" s="298"/>
      <c r="BJ74" s="298"/>
      <c r="BK74" s="298"/>
      <c r="BL74" s="298"/>
      <c r="BM74" s="298"/>
      <c r="BN74" s="298"/>
      <c r="BO74" s="298"/>
      <c r="BP74" s="298"/>
      <c r="BQ74" s="298"/>
      <c r="BR74" s="298"/>
      <c r="BS74" s="298"/>
      <c r="BT74" s="298"/>
      <c r="BU74" s="298"/>
      <c r="BV74" s="298"/>
      <c r="BW74" s="298"/>
      <c r="BX74" s="298"/>
      <c r="BY74" s="298"/>
      <c r="BZ74" s="298"/>
      <c r="CA74" s="298"/>
      <c r="CB74" s="298"/>
      <c r="CC74" s="298"/>
      <c r="CD74" s="298"/>
      <c r="CE74" s="298"/>
      <c r="CF74" s="298"/>
      <c r="CG74" s="298"/>
      <c r="CH74" s="298"/>
    </row>
    <row r="75" spans="61:86" ht="12.75">
      <c r="BI75" s="298"/>
      <c r="BJ75" s="298"/>
      <c r="BK75" s="298"/>
      <c r="BL75" s="298"/>
      <c r="BM75" s="298"/>
      <c r="BN75" s="298"/>
      <c r="BO75" s="298"/>
      <c r="BP75" s="298"/>
      <c r="BQ75" s="298"/>
      <c r="BR75" s="298"/>
      <c r="BS75" s="298"/>
      <c r="BT75" s="298"/>
      <c r="BU75" s="298"/>
      <c r="BV75" s="298"/>
      <c r="BW75" s="298"/>
      <c r="BX75" s="298"/>
      <c r="BY75" s="298"/>
      <c r="BZ75" s="298"/>
      <c r="CA75" s="298"/>
      <c r="CB75" s="298"/>
      <c r="CC75" s="298"/>
      <c r="CD75" s="298"/>
      <c r="CE75" s="298"/>
      <c r="CF75" s="298"/>
      <c r="CG75" s="298"/>
      <c r="CH75" s="298"/>
    </row>
    <row r="76" spans="61:86" ht="12.75">
      <c r="BI76" s="298"/>
      <c r="BJ76" s="298"/>
      <c r="BK76" s="298"/>
      <c r="BL76" s="298"/>
      <c r="BM76" s="298"/>
      <c r="BN76" s="298"/>
      <c r="BO76" s="298"/>
      <c r="BP76" s="298"/>
      <c r="BQ76" s="298"/>
      <c r="BR76" s="298"/>
      <c r="BS76" s="298"/>
      <c r="BT76" s="298"/>
      <c r="BU76" s="298"/>
      <c r="BV76" s="298"/>
      <c r="BW76" s="298"/>
      <c r="BX76" s="298"/>
      <c r="BY76" s="298"/>
      <c r="BZ76" s="298"/>
      <c r="CA76" s="298"/>
      <c r="CB76" s="298"/>
      <c r="CC76" s="298"/>
      <c r="CD76" s="298"/>
      <c r="CE76" s="298"/>
      <c r="CF76" s="298"/>
      <c r="CG76" s="298"/>
      <c r="CH76" s="298"/>
    </row>
    <row r="77" spans="61:86" ht="12.75">
      <c r="BI77" s="298"/>
      <c r="BJ77" s="298"/>
      <c r="BK77" s="298"/>
      <c r="BL77" s="298"/>
      <c r="BM77" s="298"/>
      <c r="BN77" s="298"/>
      <c r="BO77" s="298"/>
      <c r="BP77" s="298"/>
      <c r="BQ77" s="298"/>
      <c r="BR77" s="298"/>
      <c r="BS77" s="298"/>
      <c r="BT77" s="298"/>
      <c r="BU77" s="298"/>
      <c r="BV77" s="298"/>
      <c r="BW77" s="298"/>
      <c r="BX77" s="298"/>
      <c r="BY77" s="298"/>
      <c r="BZ77" s="298"/>
      <c r="CA77" s="298"/>
      <c r="CB77" s="298"/>
      <c r="CC77" s="298"/>
      <c r="CD77" s="298"/>
      <c r="CE77" s="298"/>
      <c r="CF77" s="298"/>
      <c r="CG77" s="298"/>
      <c r="CH77" s="298"/>
    </row>
    <row r="78" spans="61:86" ht="12.75">
      <c r="BI78" s="298"/>
      <c r="BJ78" s="298"/>
      <c r="BK78" s="298"/>
      <c r="BL78" s="298"/>
      <c r="BM78" s="298"/>
      <c r="BN78" s="298"/>
      <c r="BO78" s="298"/>
      <c r="BP78" s="298"/>
      <c r="BQ78" s="298"/>
      <c r="BR78" s="298"/>
      <c r="BS78" s="298"/>
      <c r="BT78" s="298"/>
      <c r="BU78" s="298"/>
      <c r="BV78" s="298"/>
      <c r="BW78" s="298"/>
      <c r="BX78" s="298"/>
      <c r="BY78" s="298"/>
      <c r="BZ78" s="298"/>
      <c r="CA78" s="298"/>
      <c r="CB78" s="298"/>
      <c r="CC78" s="298"/>
      <c r="CD78" s="298"/>
      <c r="CE78" s="298"/>
      <c r="CF78" s="298"/>
      <c r="CG78" s="298"/>
      <c r="CH78" s="298"/>
    </row>
    <row r="79" spans="61:86" ht="12.75">
      <c r="BI79" s="298"/>
      <c r="BJ79" s="298"/>
      <c r="BK79" s="298"/>
      <c r="BL79" s="298"/>
      <c r="BM79" s="298"/>
      <c r="BN79" s="298"/>
      <c r="BO79" s="298"/>
      <c r="BP79" s="298"/>
      <c r="BQ79" s="298"/>
      <c r="BR79" s="298"/>
      <c r="BS79" s="298"/>
      <c r="BT79" s="298"/>
      <c r="BU79" s="298"/>
      <c r="BV79" s="298"/>
      <c r="BW79" s="298"/>
      <c r="BX79" s="298"/>
      <c r="BY79" s="298"/>
      <c r="BZ79" s="298"/>
      <c r="CA79" s="298"/>
      <c r="CB79" s="298"/>
      <c r="CC79" s="298"/>
      <c r="CD79" s="298"/>
      <c r="CE79" s="298"/>
      <c r="CF79" s="298"/>
      <c r="CG79" s="298"/>
      <c r="CH79" s="298"/>
    </row>
    <row r="80" spans="61:86" ht="12.75">
      <c r="BI80" s="298"/>
      <c r="BJ80" s="298"/>
      <c r="BK80" s="298"/>
      <c r="BL80" s="298"/>
      <c r="BM80" s="298"/>
      <c r="BN80" s="298"/>
      <c r="BO80" s="298"/>
      <c r="BP80" s="298"/>
      <c r="BQ80" s="298"/>
      <c r="BR80" s="298"/>
      <c r="BS80" s="298"/>
      <c r="BT80" s="298"/>
      <c r="BU80" s="298"/>
      <c r="BV80" s="298"/>
      <c r="BW80" s="298"/>
      <c r="BX80" s="298"/>
      <c r="BY80" s="298"/>
      <c r="BZ80" s="298"/>
      <c r="CA80" s="298"/>
      <c r="CB80" s="298"/>
      <c r="CC80" s="298"/>
      <c r="CD80" s="298"/>
      <c r="CE80" s="298"/>
      <c r="CF80" s="298"/>
      <c r="CG80" s="298"/>
      <c r="CH80" s="298"/>
    </row>
    <row r="81" spans="61:86" ht="12.75">
      <c r="BI81" s="298"/>
      <c r="BJ81" s="298"/>
      <c r="BK81" s="298"/>
      <c r="BL81" s="298"/>
      <c r="BM81" s="298"/>
      <c r="BN81" s="298"/>
      <c r="BO81" s="298"/>
      <c r="BP81" s="298"/>
      <c r="BQ81" s="298"/>
      <c r="BR81" s="298"/>
      <c r="BS81" s="298"/>
      <c r="BT81" s="298"/>
      <c r="BU81" s="298"/>
      <c r="BV81" s="298"/>
      <c r="BW81" s="298"/>
      <c r="BX81" s="298"/>
      <c r="BY81" s="298"/>
      <c r="BZ81" s="298"/>
      <c r="CA81" s="298"/>
      <c r="CB81" s="298"/>
      <c r="CC81" s="298"/>
      <c r="CD81" s="298"/>
      <c r="CE81" s="298"/>
      <c r="CF81" s="298"/>
      <c r="CG81" s="298"/>
      <c r="CH81" s="298"/>
    </row>
    <row r="82" spans="61:86" ht="12.75">
      <c r="BI82" s="298"/>
      <c r="BJ82" s="298"/>
      <c r="BK82" s="298"/>
      <c r="BL82" s="298"/>
      <c r="BM82" s="298"/>
      <c r="BN82" s="298"/>
      <c r="BO82" s="298"/>
      <c r="BP82" s="298"/>
      <c r="BQ82" s="298"/>
      <c r="BR82" s="298"/>
      <c r="BS82" s="298"/>
      <c r="BT82" s="298"/>
      <c r="BU82" s="298"/>
      <c r="BV82" s="298"/>
      <c r="BW82" s="298"/>
      <c r="BX82" s="298"/>
      <c r="BY82" s="298"/>
      <c r="BZ82" s="298"/>
      <c r="CA82" s="298"/>
      <c r="CB82" s="298"/>
      <c r="CC82" s="298"/>
      <c r="CD82" s="298"/>
      <c r="CE82" s="298"/>
      <c r="CF82" s="298"/>
      <c r="CG82" s="298"/>
      <c r="CH82" s="298"/>
    </row>
    <row r="83" spans="61:86" ht="12.75">
      <c r="BI83" s="298"/>
      <c r="BJ83" s="298"/>
      <c r="BK83" s="298"/>
      <c r="BL83" s="298"/>
      <c r="BM83" s="298"/>
      <c r="BN83" s="298"/>
      <c r="BO83" s="298"/>
      <c r="BP83" s="298"/>
      <c r="BQ83" s="298"/>
      <c r="BR83" s="298"/>
      <c r="BS83" s="298"/>
      <c r="BT83" s="298"/>
      <c r="BU83" s="298"/>
      <c r="BV83" s="298"/>
      <c r="BW83" s="298"/>
      <c r="BX83" s="298"/>
      <c r="BY83" s="298"/>
      <c r="BZ83" s="298"/>
      <c r="CA83" s="298"/>
      <c r="CB83" s="298"/>
      <c r="CC83" s="298"/>
      <c r="CD83" s="298"/>
      <c r="CE83" s="298"/>
      <c r="CF83" s="298"/>
      <c r="CG83" s="298"/>
      <c r="CH83" s="298"/>
    </row>
    <row r="84" spans="61:86" ht="12.75">
      <c r="BI84" s="298"/>
      <c r="BJ84" s="298"/>
      <c r="BK84" s="298"/>
      <c r="BL84" s="298"/>
      <c r="BM84" s="298"/>
      <c r="BN84" s="298"/>
      <c r="BO84" s="298"/>
      <c r="BP84" s="298"/>
      <c r="BQ84" s="298"/>
      <c r="BR84" s="298"/>
      <c r="BS84" s="298"/>
      <c r="BT84" s="298"/>
      <c r="BU84" s="298"/>
      <c r="BV84" s="298"/>
      <c r="BW84" s="298"/>
      <c r="BX84" s="298"/>
      <c r="BY84" s="298"/>
      <c r="BZ84" s="298"/>
      <c r="CA84" s="298"/>
      <c r="CB84" s="298"/>
      <c r="CC84" s="298"/>
      <c r="CD84" s="298"/>
      <c r="CE84" s="298"/>
      <c r="CF84" s="298"/>
      <c r="CG84" s="298"/>
      <c r="CH84" s="298"/>
    </row>
    <row r="85" spans="61:86" ht="12.75">
      <c r="BI85" s="298"/>
      <c r="BJ85" s="298"/>
      <c r="BK85" s="298"/>
      <c r="BL85" s="298"/>
      <c r="BM85" s="298"/>
      <c r="BN85" s="298"/>
      <c r="BO85" s="298"/>
      <c r="BP85" s="298"/>
      <c r="BQ85" s="298"/>
      <c r="BR85" s="298"/>
      <c r="BS85" s="298"/>
      <c r="BT85" s="298"/>
      <c r="BU85" s="298"/>
      <c r="BV85" s="298"/>
      <c r="BW85" s="298"/>
      <c r="BX85" s="298"/>
      <c r="BY85" s="298"/>
      <c r="BZ85" s="298"/>
      <c r="CA85" s="298"/>
      <c r="CB85" s="298"/>
      <c r="CC85" s="298"/>
      <c r="CD85" s="298"/>
      <c r="CE85" s="298"/>
      <c r="CF85" s="298"/>
      <c r="CG85" s="298"/>
      <c r="CH85" s="298"/>
    </row>
    <row r="86" spans="61:86" ht="12.75">
      <c r="BI86" s="298"/>
      <c r="BJ86" s="298"/>
      <c r="BK86" s="298"/>
      <c r="BL86" s="298"/>
      <c r="BM86" s="298"/>
      <c r="BN86" s="298"/>
      <c r="BO86" s="298"/>
      <c r="BP86" s="298"/>
      <c r="BQ86" s="298"/>
      <c r="BR86" s="298"/>
      <c r="BS86" s="298"/>
      <c r="BT86" s="298"/>
      <c r="BU86" s="298"/>
      <c r="BV86" s="298"/>
      <c r="BW86" s="298"/>
      <c r="BX86" s="298"/>
      <c r="BY86" s="298"/>
      <c r="BZ86" s="298"/>
      <c r="CA86" s="298"/>
      <c r="CB86" s="298"/>
      <c r="CC86" s="298"/>
      <c r="CD86" s="298"/>
      <c r="CE86" s="298"/>
      <c r="CF86" s="298"/>
      <c r="CG86" s="298"/>
      <c r="CH86" s="298"/>
    </row>
    <row r="87" spans="61:86" ht="12.75">
      <c r="BI87" s="298"/>
      <c r="BJ87" s="298"/>
      <c r="BK87" s="298"/>
      <c r="BL87" s="298"/>
      <c r="BM87" s="298"/>
      <c r="BN87" s="298"/>
      <c r="BO87" s="298"/>
      <c r="BP87" s="298"/>
      <c r="BQ87" s="298"/>
      <c r="BR87" s="298"/>
      <c r="BS87" s="298"/>
      <c r="BT87" s="298"/>
      <c r="BU87" s="298"/>
      <c r="BV87" s="298"/>
      <c r="BW87" s="298"/>
      <c r="BX87" s="298"/>
      <c r="BY87" s="298"/>
      <c r="BZ87" s="298"/>
      <c r="CA87" s="298"/>
      <c r="CB87" s="298"/>
      <c r="CC87" s="298"/>
      <c r="CD87" s="298"/>
      <c r="CE87" s="298"/>
      <c r="CF87" s="298"/>
      <c r="CG87" s="298"/>
      <c r="CH87" s="298"/>
    </row>
    <row r="88" spans="61:86" ht="12.75">
      <c r="BI88" s="298"/>
      <c r="BJ88" s="298"/>
      <c r="BK88" s="298"/>
      <c r="BL88" s="298"/>
      <c r="BM88" s="298"/>
      <c r="BN88" s="298"/>
      <c r="BO88" s="298"/>
      <c r="BP88" s="298"/>
      <c r="BQ88" s="298"/>
      <c r="BR88" s="298"/>
      <c r="BS88" s="298"/>
      <c r="BT88" s="298"/>
      <c r="BU88" s="298"/>
      <c r="BV88" s="298"/>
      <c r="BW88" s="298"/>
      <c r="BX88" s="298"/>
      <c r="BY88" s="298"/>
      <c r="BZ88" s="298"/>
      <c r="CA88" s="298"/>
      <c r="CB88" s="298"/>
      <c r="CC88" s="298"/>
      <c r="CD88" s="298"/>
      <c r="CE88" s="298"/>
      <c r="CF88" s="298"/>
      <c r="CG88" s="298"/>
      <c r="CH88" s="298"/>
    </row>
    <row r="89" spans="61:86" ht="12.75">
      <c r="BI89" s="298"/>
      <c r="BJ89" s="298"/>
      <c r="BK89" s="298"/>
      <c r="BL89" s="298"/>
      <c r="BM89" s="298"/>
      <c r="BN89" s="298"/>
      <c r="BO89" s="298"/>
      <c r="BP89" s="298"/>
      <c r="BQ89" s="298"/>
      <c r="BR89" s="298"/>
      <c r="BS89" s="298"/>
      <c r="BT89" s="298"/>
      <c r="BU89" s="298"/>
      <c r="BV89" s="298"/>
      <c r="BW89" s="298"/>
      <c r="BX89" s="298"/>
      <c r="BY89" s="298"/>
      <c r="BZ89" s="298"/>
      <c r="CA89" s="298"/>
      <c r="CB89" s="298"/>
      <c r="CC89" s="298"/>
      <c r="CD89" s="298"/>
      <c r="CE89" s="298"/>
      <c r="CF89" s="298"/>
      <c r="CG89" s="298"/>
      <c r="CH89" s="298"/>
    </row>
    <row r="90" spans="61:86" ht="12.75">
      <c r="BI90" s="298"/>
      <c r="BJ90" s="298"/>
      <c r="BK90" s="298"/>
      <c r="BL90" s="298"/>
      <c r="BM90" s="298"/>
      <c r="BN90" s="298"/>
      <c r="BO90" s="298"/>
      <c r="BP90" s="298"/>
      <c r="BQ90" s="298"/>
      <c r="BR90" s="298"/>
      <c r="BS90" s="298"/>
      <c r="BT90" s="298"/>
      <c r="BU90" s="298"/>
      <c r="BV90" s="298"/>
      <c r="BW90" s="298"/>
      <c r="BX90" s="298"/>
      <c r="BY90" s="298"/>
      <c r="BZ90" s="298"/>
      <c r="CA90" s="298"/>
      <c r="CB90" s="298"/>
      <c r="CC90" s="298"/>
      <c r="CD90" s="298"/>
      <c r="CE90" s="298"/>
      <c r="CF90" s="298"/>
      <c r="CG90" s="298"/>
      <c r="CH90" s="298"/>
    </row>
    <row r="91" spans="61:86" ht="12.75">
      <c r="BI91" s="298"/>
      <c r="BJ91" s="298"/>
      <c r="BK91" s="298"/>
      <c r="BL91" s="298"/>
      <c r="BM91" s="298"/>
      <c r="BN91" s="298"/>
      <c r="BO91" s="298"/>
      <c r="BP91" s="298"/>
      <c r="BQ91" s="298"/>
      <c r="BR91" s="298"/>
      <c r="BS91" s="298"/>
      <c r="BT91" s="298"/>
      <c r="BU91" s="298"/>
      <c r="BV91" s="298"/>
      <c r="BW91" s="298"/>
      <c r="BX91" s="298"/>
      <c r="BY91" s="298"/>
      <c r="BZ91" s="298"/>
      <c r="CA91" s="298"/>
      <c r="CB91" s="298"/>
      <c r="CC91" s="298"/>
      <c r="CD91" s="298"/>
      <c r="CE91" s="298"/>
      <c r="CF91" s="298"/>
      <c r="CG91" s="298"/>
      <c r="CH91" s="298"/>
    </row>
    <row r="92" spans="61:86" ht="12.75">
      <c r="BI92" s="298"/>
      <c r="BJ92" s="298"/>
      <c r="BK92" s="298"/>
      <c r="BL92" s="298"/>
      <c r="BM92" s="298"/>
      <c r="BN92" s="298"/>
      <c r="BO92" s="298"/>
      <c r="BP92" s="298"/>
      <c r="BQ92" s="298"/>
      <c r="BR92" s="298"/>
      <c r="BS92" s="298"/>
      <c r="BT92" s="298"/>
      <c r="BU92" s="298"/>
      <c r="BV92" s="298"/>
      <c r="BW92" s="298"/>
      <c r="BX92" s="298"/>
      <c r="BY92" s="298"/>
      <c r="BZ92" s="298"/>
      <c r="CA92" s="298"/>
      <c r="CB92" s="298"/>
      <c r="CC92" s="298"/>
      <c r="CD92" s="298"/>
      <c r="CE92" s="298"/>
      <c r="CF92" s="298"/>
      <c r="CG92" s="298"/>
      <c r="CH92" s="298"/>
    </row>
    <row r="93" spans="61:86" ht="12.75">
      <c r="BI93" s="298"/>
      <c r="BJ93" s="298"/>
      <c r="BK93" s="298"/>
      <c r="BL93" s="298"/>
      <c r="BM93" s="298"/>
      <c r="BN93" s="298"/>
      <c r="BO93" s="298"/>
      <c r="BP93" s="298"/>
      <c r="BQ93" s="298"/>
      <c r="BR93" s="298"/>
      <c r="BS93" s="298"/>
      <c r="BT93" s="298"/>
      <c r="BU93" s="298"/>
      <c r="BV93" s="298"/>
      <c r="BW93" s="298"/>
      <c r="BX93" s="298"/>
      <c r="BY93" s="298"/>
      <c r="BZ93" s="298"/>
      <c r="CA93" s="298"/>
      <c r="CB93" s="298"/>
      <c r="CC93" s="298"/>
      <c r="CD93" s="298"/>
      <c r="CE93" s="298"/>
      <c r="CF93" s="298"/>
      <c r="CG93" s="298"/>
      <c r="CH93" s="298"/>
    </row>
    <row r="94" spans="61:86" ht="12.75">
      <c r="BI94" s="298"/>
      <c r="BJ94" s="298"/>
      <c r="BK94" s="298"/>
      <c r="BL94" s="298"/>
      <c r="BM94" s="298"/>
      <c r="BN94" s="298"/>
      <c r="BO94" s="298"/>
      <c r="BP94" s="298"/>
      <c r="BQ94" s="298"/>
      <c r="BR94" s="298"/>
      <c r="BS94" s="298"/>
      <c r="BT94" s="298"/>
      <c r="BU94" s="298"/>
      <c r="BV94" s="298"/>
      <c r="BW94" s="298"/>
      <c r="BX94" s="298"/>
      <c r="BY94" s="298"/>
      <c r="BZ94" s="298"/>
      <c r="CA94" s="298"/>
      <c r="CB94" s="298"/>
      <c r="CC94" s="298"/>
      <c r="CD94" s="298"/>
      <c r="CE94" s="298"/>
      <c r="CF94" s="298"/>
      <c r="CG94" s="298"/>
      <c r="CH94" s="298"/>
    </row>
    <row r="95" spans="61:86" ht="12.75">
      <c r="BI95" s="298"/>
      <c r="BJ95" s="298"/>
      <c r="BK95" s="298"/>
      <c r="BL95" s="298"/>
      <c r="BM95" s="298"/>
      <c r="BN95" s="298"/>
      <c r="BO95" s="298"/>
      <c r="BP95" s="298"/>
      <c r="BQ95" s="298"/>
      <c r="BR95" s="298"/>
      <c r="BS95" s="298"/>
      <c r="BT95" s="298"/>
      <c r="BU95" s="298"/>
      <c r="BV95" s="298"/>
      <c r="BW95" s="298"/>
      <c r="BX95" s="298"/>
      <c r="BY95" s="298"/>
      <c r="BZ95" s="298"/>
      <c r="CA95" s="298"/>
      <c r="CB95" s="298"/>
      <c r="CC95" s="298"/>
      <c r="CD95" s="298"/>
      <c r="CE95" s="298"/>
      <c r="CF95" s="298"/>
      <c r="CG95" s="298"/>
      <c r="CH95" s="298"/>
    </row>
    <row r="96" spans="61:86" ht="12.75">
      <c r="BI96" s="298"/>
      <c r="BJ96" s="298"/>
      <c r="BK96" s="298"/>
      <c r="BL96" s="298"/>
      <c r="BM96" s="298"/>
      <c r="BN96" s="298"/>
      <c r="BO96" s="298"/>
      <c r="BP96" s="298"/>
      <c r="BQ96" s="298"/>
      <c r="BR96" s="298"/>
      <c r="BS96" s="298"/>
      <c r="BT96" s="298"/>
      <c r="BU96" s="298"/>
      <c r="BV96" s="298"/>
      <c r="BW96" s="298"/>
      <c r="BX96" s="298"/>
      <c r="BY96" s="298"/>
      <c r="BZ96" s="298"/>
      <c r="CA96" s="298"/>
      <c r="CB96" s="298"/>
      <c r="CC96" s="298"/>
      <c r="CD96" s="298"/>
      <c r="CE96" s="298"/>
      <c r="CF96" s="298"/>
      <c r="CG96" s="298"/>
      <c r="CH96" s="298"/>
    </row>
    <row r="97" spans="61:86" ht="12.75">
      <c r="BI97" s="298"/>
      <c r="BJ97" s="298"/>
      <c r="BK97" s="298"/>
      <c r="BL97" s="298"/>
      <c r="BM97" s="298"/>
      <c r="BN97" s="298"/>
      <c r="BO97" s="298"/>
      <c r="BP97" s="298"/>
      <c r="BQ97" s="298"/>
      <c r="BR97" s="298"/>
      <c r="BS97" s="298"/>
      <c r="BT97" s="298"/>
      <c r="BU97" s="298"/>
      <c r="BV97" s="298"/>
      <c r="BW97" s="298"/>
      <c r="BX97" s="298"/>
      <c r="BY97" s="298"/>
      <c r="BZ97" s="298"/>
      <c r="CA97" s="298"/>
      <c r="CB97" s="298"/>
      <c r="CC97" s="298"/>
      <c r="CD97" s="298"/>
      <c r="CE97" s="298"/>
      <c r="CF97" s="298"/>
      <c r="CG97" s="298"/>
      <c r="CH97" s="298"/>
    </row>
    <row r="98" spans="61:86" ht="12.75">
      <c r="BI98" s="298"/>
      <c r="BJ98" s="298"/>
      <c r="BK98" s="298"/>
      <c r="BL98" s="298"/>
      <c r="BM98" s="298"/>
      <c r="BN98" s="298"/>
      <c r="BO98" s="298"/>
      <c r="BP98" s="298"/>
      <c r="BQ98" s="298"/>
      <c r="BR98" s="298"/>
      <c r="BS98" s="298"/>
      <c r="BT98" s="298"/>
      <c r="BU98" s="298"/>
      <c r="BV98" s="298"/>
      <c r="BW98" s="298"/>
      <c r="BX98" s="298"/>
      <c r="BY98" s="298"/>
      <c r="BZ98" s="298"/>
      <c r="CA98" s="298"/>
      <c r="CB98" s="298"/>
      <c r="CC98" s="298"/>
      <c r="CD98" s="298"/>
      <c r="CE98" s="298"/>
      <c r="CF98" s="298"/>
      <c r="CG98" s="298"/>
      <c r="CH98" s="298"/>
    </row>
    <row r="99" spans="61:86" ht="12.75">
      <c r="BI99" s="298"/>
      <c r="BJ99" s="298"/>
      <c r="BK99" s="298"/>
      <c r="BL99" s="298"/>
      <c r="BM99" s="298"/>
      <c r="BN99" s="298"/>
      <c r="BO99" s="298"/>
      <c r="BP99" s="298"/>
      <c r="BQ99" s="298"/>
      <c r="BR99" s="298"/>
      <c r="BS99" s="298"/>
      <c r="BT99" s="298"/>
      <c r="BU99" s="298"/>
      <c r="BV99" s="298"/>
      <c r="BW99" s="298"/>
      <c r="BX99" s="298"/>
      <c r="BY99" s="298"/>
      <c r="BZ99" s="298"/>
      <c r="CA99" s="298"/>
      <c r="CB99" s="298"/>
      <c r="CC99" s="298"/>
      <c r="CD99" s="298"/>
      <c r="CE99" s="298"/>
      <c r="CF99" s="298"/>
      <c r="CG99" s="298"/>
      <c r="CH99" s="298"/>
    </row>
    <row r="100" spans="61:86" ht="12.75">
      <c r="BI100" s="298"/>
      <c r="BJ100" s="298"/>
      <c r="BK100" s="298"/>
      <c r="BL100" s="298"/>
      <c r="BM100" s="298"/>
      <c r="BN100" s="298"/>
      <c r="BO100" s="298"/>
      <c r="BP100" s="298"/>
      <c r="BQ100" s="298"/>
      <c r="BR100" s="298"/>
      <c r="BS100" s="298"/>
      <c r="BT100" s="298"/>
      <c r="BU100" s="298"/>
      <c r="BV100" s="298"/>
      <c r="BW100" s="298"/>
      <c r="BX100" s="298"/>
      <c r="BY100" s="298"/>
      <c r="BZ100" s="298"/>
      <c r="CA100" s="298"/>
      <c r="CB100" s="298"/>
      <c r="CC100" s="298"/>
      <c r="CD100" s="298"/>
      <c r="CE100" s="298"/>
      <c r="CF100" s="298"/>
      <c r="CG100" s="298"/>
      <c r="CH100" s="298"/>
    </row>
    <row r="101" spans="61:86" ht="12.75">
      <c r="BI101" s="298"/>
      <c r="BJ101" s="298"/>
      <c r="BK101" s="298"/>
      <c r="BL101" s="298"/>
      <c r="BM101" s="298"/>
      <c r="BN101" s="298"/>
      <c r="BO101" s="298"/>
      <c r="BP101" s="298"/>
      <c r="BQ101" s="298"/>
      <c r="BR101" s="298"/>
      <c r="BS101" s="298"/>
      <c r="BT101" s="298"/>
      <c r="BU101" s="298"/>
      <c r="BV101" s="298"/>
      <c r="BW101" s="298"/>
      <c r="BX101" s="298"/>
      <c r="BY101" s="298"/>
      <c r="BZ101" s="298"/>
      <c r="CA101" s="298"/>
      <c r="CB101" s="298"/>
      <c r="CC101" s="298"/>
      <c r="CD101" s="298"/>
      <c r="CE101" s="298"/>
      <c r="CF101" s="298"/>
      <c r="CG101" s="298"/>
      <c r="CH101" s="298"/>
    </row>
    <row r="102" spans="61:86" ht="12.75">
      <c r="BI102" s="298"/>
      <c r="BJ102" s="298"/>
      <c r="BK102" s="298"/>
      <c r="BL102" s="298"/>
      <c r="BM102" s="298"/>
      <c r="BN102" s="298"/>
      <c r="BO102" s="298"/>
      <c r="BP102" s="298"/>
      <c r="BQ102" s="298"/>
      <c r="BR102" s="298"/>
      <c r="BS102" s="298"/>
      <c r="BT102" s="298"/>
      <c r="BU102" s="298"/>
      <c r="BV102" s="298"/>
      <c r="BW102" s="298"/>
      <c r="BX102" s="298"/>
      <c r="BY102" s="298"/>
      <c r="BZ102" s="298"/>
      <c r="CA102" s="298"/>
      <c r="CB102" s="298"/>
      <c r="CC102" s="298"/>
      <c r="CD102" s="298"/>
      <c r="CE102" s="298"/>
      <c r="CF102" s="298"/>
      <c r="CG102" s="298"/>
      <c r="CH102" s="298"/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">
      <selection activeCell="C38" sqref="C38"/>
    </sheetView>
  </sheetViews>
  <sheetFormatPr defaultColWidth="9.00390625" defaultRowHeight="12.75"/>
  <cols>
    <col min="1" max="1" width="10.00390625" style="299" customWidth="1"/>
    <col min="2" max="2" width="7.875" style="299" customWidth="1"/>
    <col min="3" max="3" width="12.00390625" style="299" customWidth="1"/>
    <col min="4" max="4" width="10.00390625" style="299" customWidth="1"/>
    <col min="5" max="5" width="11.625" style="299" customWidth="1"/>
    <col min="6" max="6" width="9.875" style="299" customWidth="1"/>
    <col min="7" max="7" width="11.375" style="299" customWidth="1"/>
    <col min="8" max="8" width="11.625" style="299" customWidth="1"/>
    <col min="9" max="9" width="8.375" style="299" customWidth="1"/>
    <col min="10" max="10" width="10.00390625" style="299" customWidth="1"/>
    <col min="11" max="11" width="9.25390625" style="299" customWidth="1"/>
    <col min="12" max="13" width="10.00390625" style="299" customWidth="1"/>
    <col min="14" max="14" width="8.75390625" style="299" customWidth="1"/>
    <col min="15" max="15" width="11.875" style="299" customWidth="1"/>
    <col min="16" max="17" width="10.375" style="299" customWidth="1"/>
    <col min="18" max="18" width="9.75390625" style="299" customWidth="1"/>
    <col min="19" max="16384" width="9.125" style="299" customWidth="1"/>
  </cols>
  <sheetData>
    <row r="1" spans="2:9" ht="20.25" customHeight="1">
      <c r="B1" s="453" t="s">
        <v>53</v>
      </c>
      <c r="C1" s="453"/>
      <c r="D1" s="453"/>
      <c r="E1" s="453"/>
      <c r="F1" s="453"/>
      <c r="G1" s="453"/>
      <c r="H1" s="453"/>
      <c r="I1" s="29"/>
    </row>
    <row r="2" spans="2:12" ht="21" customHeight="1">
      <c r="B2" s="453" t="s">
        <v>54</v>
      </c>
      <c r="C2" s="453"/>
      <c r="D2" s="453"/>
      <c r="E2" s="453"/>
      <c r="F2" s="453"/>
      <c r="G2" s="453"/>
      <c r="H2" s="453"/>
      <c r="I2" s="29"/>
      <c r="K2" s="298"/>
      <c r="L2" s="298"/>
    </row>
    <row r="5" spans="1:17" ht="12.75">
      <c r="A5" s="256" t="s">
        <v>128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98"/>
      <c r="Q5" s="298"/>
    </row>
    <row r="6" spans="1:17" ht="12.75">
      <c r="A6" s="454" t="s">
        <v>119</v>
      </c>
      <c r="B6" s="454"/>
      <c r="C6" s="454"/>
      <c r="D6" s="454"/>
      <c r="E6" s="454"/>
      <c r="F6" s="454"/>
      <c r="G6" s="454"/>
      <c r="H6" s="104"/>
      <c r="I6" s="104"/>
      <c r="J6" s="104"/>
      <c r="K6" s="104"/>
      <c r="L6" s="104"/>
      <c r="M6" s="104"/>
      <c r="N6" s="104"/>
      <c r="O6" s="104"/>
      <c r="P6" s="298"/>
      <c r="Q6" s="298"/>
    </row>
    <row r="7" spans="1:17" ht="13.5" thickBot="1">
      <c r="A7" s="455" t="s">
        <v>55</v>
      </c>
      <c r="B7" s="455"/>
      <c r="C7" s="455"/>
      <c r="D7" s="455"/>
      <c r="E7" s="455">
        <v>8.55</v>
      </c>
      <c r="F7" s="455"/>
      <c r="J7" s="456"/>
      <c r="K7" s="456"/>
      <c r="L7" s="456"/>
      <c r="M7" s="456"/>
      <c r="N7" s="456"/>
      <c r="O7" s="456"/>
      <c r="P7" s="456"/>
      <c r="Q7" s="457"/>
    </row>
    <row r="8" spans="1:18" ht="12.75" customHeight="1">
      <c r="A8" s="257" t="s">
        <v>56</v>
      </c>
      <c r="B8" s="260" t="s">
        <v>0</v>
      </c>
      <c r="C8" s="263" t="s">
        <v>120</v>
      </c>
      <c r="D8" s="266" t="s">
        <v>121</v>
      </c>
      <c r="E8" s="269" t="s">
        <v>58</v>
      </c>
      <c r="F8" s="199"/>
      <c r="G8" s="458" t="s">
        <v>122</v>
      </c>
      <c r="H8" s="459"/>
      <c r="I8" s="184"/>
      <c r="J8" s="460" t="s">
        <v>8</v>
      </c>
      <c r="K8" s="461"/>
      <c r="L8" s="461"/>
      <c r="M8" s="461"/>
      <c r="N8" s="461"/>
      <c r="O8" s="461"/>
      <c r="P8" s="462" t="s">
        <v>59</v>
      </c>
      <c r="Q8" s="204" t="s">
        <v>10</v>
      </c>
      <c r="R8" s="463"/>
    </row>
    <row r="9" spans="1:19" ht="12.75" customHeight="1">
      <c r="A9" s="258"/>
      <c r="B9" s="261"/>
      <c r="C9" s="264"/>
      <c r="D9" s="267"/>
      <c r="E9" s="270"/>
      <c r="F9" s="271"/>
      <c r="G9" s="464"/>
      <c r="H9" s="465"/>
      <c r="I9" s="501" t="s">
        <v>129</v>
      </c>
      <c r="J9" s="466"/>
      <c r="K9" s="467"/>
      <c r="L9" s="467"/>
      <c r="M9" s="467"/>
      <c r="N9" s="467"/>
      <c r="O9" s="467"/>
      <c r="P9" s="468"/>
      <c r="Q9" s="227"/>
      <c r="R9" s="463"/>
      <c r="S9" s="298"/>
    </row>
    <row r="10" spans="1:17" ht="26.25" customHeight="1">
      <c r="A10" s="258"/>
      <c r="B10" s="261"/>
      <c r="C10" s="264"/>
      <c r="D10" s="267"/>
      <c r="E10" s="291" t="s">
        <v>60</v>
      </c>
      <c r="F10" s="227"/>
      <c r="G10" s="469" t="s">
        <v>61</v>
      </c>
      <c r="H10" s="286" t="s">
        <v>5</v>
      </c>
      <c r="I10" s="501"/>
      <c r="J10" s="294" t="s">
        <v>62</v>
      </c>
      <c r="K10" s="284" t="s">
        <v>123</v>
      </c>
      <c r="L10" s="284" t="s">
        <v>63</v>
      </c>
      <c r="M10" s="284" t="s">
        <v>35</v>
      </c>
      <c r="N10" s="285" t="s">
        <v>130</v>
      </c>
      <c r="O10" s="287" t="s">
        <v>37</v>
      </c>
      <c r="P10" s="468"/>
      <c r="Q10" s="227"/>
    </row>
    <row r="11" spans="1:17" ht="66.75" customHeight="1" thickBot="1">
      <c r="A11" s="259"/>
      <c r="B11" s="262"/>
      <c r="C11" s="265"/>
      <c r="D11" s="268"/>
      <c r="E11" s="34" t="s">
        <v>65</v>
      </c>
      <c r="F11" s="35" t="s">
        <v>19</v>
      </c>
      <c r="G11" s="183" t="s">
        <v>124</v>
      </c>
      <c r="H11" s="287"/>
      <c r="I11" s="502"/>
      <c r="J11" s="295"/>
      <c r="K11" s="285"/>
      <c r="L11" s="285"/>
      <c r="M11" s="285"/>
      <c r="N11" s="503"/>
      <c r="O11" s="470"/>
      <c r="P11" s="471"/>
      <c r="Q11" s="201"/>
    </row>
    <row r="12" spans="1:17" ht="13.5" thickBot="1">
      <c r="A12" s="37">
        <v>1</v>
      </c>
      <c r="B12" s="38">
        <v>2</v>
      </c>
      <c r="C12" s="37">
        <v>3</v>
      </c>
      <c r="D12" s="38">
        <v>4</v>
      </c>
      <c r="E12" s="37">
        <v>5</v>
      </c>
      <c r="F12" s="38">
        <v>6</v>
      </c>
      <c r="G12" s="37">
        <v>7</v>
      </c>
      <c r="H12" s="38">
        <v>8</v>
      </c>
      <c r="I12" s="37">
        <v>9</v>
      </c>
      <c r="J12" s="38">
        <v>10</v>
      </c>
      <c r="K12" s="37">
        <v>11</v>
      </c>
      <c r="L12" s="38">
        <v>12</v>
      </c>
      <c r="M12" s="37">
        <v>13</v>
      </c>
      <c r="N12" s="38">
        <v>14</v>
      </c>
      <c r="O12" s="37">
        <v>15</v>
      </c>
      <c r="P12" s="38">
        <v>16</v>
      </c>
      <c r="Q12" s="37">
        <v>17</v>
      </c>
    </row>
    <row r="13" spans="1:17" ht="13.5" thickBot="1">
      <c r="A13" s="282" t="s">
        <v>94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472"/>
      <c r="Q13" s="472"/>
    </row>
    <row r="14" spans="1:19" s="24" customFormat="1" ht="13.5" thickBot="1">
      <c r="A14" s="66" t="s">
        <v>52</v>
      </c>
      <c r="B14" s="67"/>
      <c r="C14" s="68">
        <f>'2011 полн'!C8</f>
        <v>1011118.0489999999</v>
      </c>
      <c r="D14" s="68">
        <f>'2011 полн'!D8</f>
        <v>111608.68109975</v>
      </c>
      <c r="E14" s="68">
        <f>'2011 полн'!U8</f>
        <v>744689.99</v>
      </c>
      <c r="F14" s="68">
        <f>'2011 полн'!V8</f>
        <v>152267.78999999998</v>
      </c>
      <c r="G14" s="68">
        <f>'2011 полн'!AF8</f>
        <v>660768.2</v>
      </c>
      <c r="H14" s="68">
        <f>'2011 полн'!AG8</f>
        <v>924644.6710997501</v>
      </c>
      <c r="I14" s="68">
        <f>'2011 полн'!AJ8</f>
        <v>0</v>
      </c>
      <c r="J14" s="68">
        <f>'2011 полн'!AK8</f>
        <v>69099.39600000001</v>
      </c>
      <c r="K14" s="68">
        <f>'2011 полн'!AL8</f>
        <v>23153.612544200005</v>
      </c>
      <c r="L14" s="68">
        <f>'2011 полн'!AM8+'2011 полн'!AN8+'2011 полн'!AO8+'2011 полн'!AP8+'2011 полн'!AQ8+'2011 полн'!AR8+'2011 полн'!AS8+'2011 полн'!AT8+'2011 полн'!AY8</f>
        <v>522680.0303792054</v>
      </c>
      <c r="M14" s="68">
        <f>'2011 полн'!AU8+'2011 полн'!AV8+'2011 полн'!AW8</f>
        <v>202228.6744</v>
      </c>
      <c r="N14" s="68">
        <f>'2011 полн'!BD8</f>
        <v>0</v>
      </c>
      <c r="O14" s="68">
        <f>'2011 полн'!BE8</f>
        <v>817161.7133234054</v>
      </c>
      <c r="P14" s="68">
        <f>'2011 полн'!BF8</f>
        <v>107707.95777634463</v>
      </c>
      <c r="Q14" s="68">
        <f>'2011 полн'!BG8</f>
        <v>-83921.78999999996</v>
      </c>
      <c r="R14" s="72"/>
      <c r="S14" s="58"/>
    </row>
    <row r="15" spans="1:19" ht="12.75">
      <c r="A15" s="8" t="s">
        <v>118</v>
      </c>
      <c r="B15" s="473"/>
      <c r="C15" s="59"/>
      <c r="D15" s="60"/>
      <c r="E15" s="474"/>
      <c r="F15" s="475"/>
      <c r="G15" s="476"/>
      <c r="H15" s="475"/>
      <c r="I15" s="498"/>
      <c r="J15" s="476"/>
      <c r="K15" s="477"/>
      <c r="L15" s="477"/>
      <c r="M15" s="478"/>
      <c r="N15" s="500"/>
      <c r="O15" s="479"/>
      <c r="P15" s="480"/>
      <c r="Q15" s="480"/>
      <c r="R15" s="298"/>
      <c r="S15" s="298"/>
    </row>
    <row r="16" spans="1:19" ht="12.75">
      <c r="A16" s="347" t="s">
        <v>43</v>
      </c>
      <c r="B16" s="481">
        <f>'2011 полн'!B10</f>
        <v>4374.12</v>
      </c>
      <c r="C16" s="481">
        <f>'2011 полн'!C10</f>
        <v>37398.726</v>
      </c>
      <c r="D16" s="44">
        <f>'2011 полн'!D10</f>
        <v>318.2652</v>
      </c>
      <c r="E16" s="477">
        <f>'2011 полн'!U10</f>
        <v>27963.21</v>
      </c>
      <c r="F16" s="477">
        <f>'2011 полн'!V10</f>
        <v>0</v>
      </c>
      <c r="G16" s="482">
        <f>'2011 полн'!AF10</f>
        <v>24543.309999999998</v>
      </c>
      <c r="H16" s="482">
        <f>'2011 полн'!AG10</f>
        <v>24861.5752</v>
      </c>
      <c r="I16" s="499">
        <f>'2011 полн'!AJ10</f>
        <v>100</v>
      </c>
      <c r="J16" s="477">
        <f>'2011 полн'!AK10</f>
        <v>2930.6604</v>
      </c>
      <c r="K16" s="477">
        <f>'2011 полн'!AL10</f>
        <v>874.8240000000001</v>
      </c>
      <c r="L16" s="477">
        <f>'2011 полн'!AM10+'2011 полн'!AN10+'2011 полн'!AO10+'2011 полн'!AP10+'2011 полн'!AQ10+'2011 полн'!AR10+'2011 полн'!AS10+'2011 полн'!AT10+'2011 полн'!AX10</f>
        <v>44597.019199999995</v>
      </c>
      <c r="M16" s="478">
        <f>'2011 полн'!AU10+'2011 полн'!AV10+'2011 полн'!AW10</f>
        <v>8445</v>
      </c>
      <c r="N16" s="500">
        <f>'2011 полн'!BD10</f>
        <v>25</v>
      </c>
      <c r="O16" s="479">
        <f>'2011 полн'!BE10</f>
        <v>56872.5036</v>
      </c>
      <c r="P16" s="480">
        <f>'2011 полн'!BF10</f>
        <v>-31910.928399999997</v>
      </c>
      <c r="Q16" s="480">
        <f>'2011 полн'!BG10</f>
        <v>-3419.9000000000015</v>
      </c>
      <c r="R16" s="298"/>
      <c r="S16" s="298"/>
    </row>
    <row r="17" spans="1:19" ht="12.75">
      <c r="A17" s="347" t="s">
        <v>44</v>
      </c>
      <c r="B17" s="481">
        <f>'2011 полн'!B11</f>
        <v>4374.12</v>
      </c>
      <c r="C17" s="481">
        <f>'2011 полн'!C11</f>
        <v>37398.726</v>
      </c>
      <c r="D17" s="44">
        <f>'2011 полн'!D11</f>
        <v>318.2652</v>
      </c>
      <c r="E17" s="477">
        <f>'2011 полн'!U11</f>
        <v>37748.85</v>
      </c>
      <c r="F17" s="477">
        <f>'2011 полн'!V11</f>
        <v>0</v>
      </c>
      <c r="G17" s="482">
        <f>'2011 полн'!AF11</f>
        <v>33471.12</v>
      </c>
      <c r="H17" s="482">
        <f>'2011 полн'!AG11</f>
        <v>33789.385200000004</v>
      </c>
      <c r="I17" s="499">
        <f>'2011 полн'!AJ11</f>
        <v>100</v>
      </c>
      <c r="J17" s="477">
        <f>'2011 полн'!AK11</f>
        <v>2930.6604</v>
      </c>
      <c r="K17" s="477">
        <f>'2011 полн'!AL11</f>
        <v>874.8240000000001</v>
      </c>
      <c r="L17" s="477">
        <f>'2011 полн'!AM11+'2011 полн'!AN11+'2011 полн'!AO11+'2011 полн'!AP11+'2011 полн'!AQ11+'2011 полн'!AR11+'2011 полн'!AS11+'2011 полн'!AT11+'2011 полн'!AX11</f>
        <v>32659.009199999997</v>
      </c>
      <c r="M17" s="478">
        <f>'2011 полн'!AU11+'2011 полн'!AV11+'2011 полн'!AW11</f>
        <v>1628</v>
      </c>
      <c r="N17" s="500">
        <f>'2011 полн'!BD11</f>
        <v>25</v>
      </c>
      <c r="O17" s="479">
        <f>'2011 полн'!BE11</f>
        <v>38117.4936</v>
      </c>
      <c r="P17" s="480">
        <f>'2011 полн'!BF11</f>
        <v>-4228.108399999997</v>
      </c>
      <c r="Q17" s="480">
        <f>'2011 полн'!BG11</f>
        <v>-4277.729999999996</v>
      </c>
      <c r="R17" s="298"/>
      <c r="S17" s="298"/>
    </row>
    <row r="18" spans="1:19" ht="12.75">
      <c r="A18" s="347" t="s">
        <v>45</v>
      </c>
      <c r="B18" s="481">
        <f>'2011 полн'!B12</f>
        <v>4374.12</v>
      </c>
      <c r="C18" s="481">
        <f>'2011 полн'!C12</f>
        <v>37398.726</v>
      </c>
      <c r="D18" s="44">
        <f>'2011 полн'!D12</f>
        <v>20318.2652</v>
      </c>
      <c r="E18" s="477">
        <f>'2011 полн'!U12</f>
        <v>37899.56</v>
      </c>
      <c r="F18" s="477">
        <f>'2011 полн'!V12</f>
        <v>0</v>
      </c>
      <c r="G18" s="482">
        <f>'2011 полн'!AF12</f>
        <v>34410.42999999999</v>
      </c>
      <c r="H18" s="482">
        <f>'2011 полн'!AG12</f>
        <v>54728.695199999995</v>
      </c>
      <c r="I18" s="499">
        <f>'2011 полн'!AJ12</f>
        <v>100</v>
      </c>
      <c r="J18" s="477">
        <f>'2011 полн'!AK12</f>
        <v>2930.6604</v>
      </c>
      <c r="K18" s="477">
        <f>'2011 полн'!AL12</f>
        <v>874.8240000000001</v>
      </c>
      <c r="L18" s="477">
        <f>'2011 полн'!AM12+'2011 полн'!AN12+'2011 полн'!AO12+'2011 полн'!AP12+'2011 полн'!AQ12+'2011 полн'!AR12+'2011 полн'!AS12+'2011 полн'!AT12+'2011 полн'!AX12</f>
        <v>30848.779199999997</v>
      </c>
      <c r="M18" s="478">
        <f>'2011 полн'!AU12+'2011 полн'!AV12+'2011 полн'!AW12</f>
        <v>0</v>
      </c>
      <c r="N18" s="500">
        <f>'2011 полн'!BD12</f>
        <v>25</v>
      </c>
      <c r="O18" s="479">
        <f>'2011 полн'!BE12</f>
        <v>34679.2636</v>
      </c>
      <c r="P18" s="480">
        <f>'2011 полн'!BF12</f>
        <v>20149.431599999996</v>
      </c>
      <c r="Q18" s="480">
        <f>'2011 полн'!BG12</f>
        <v>-3489.1300000000047</v>
      </c>
      <c r="R18" s="298"/>
      <c r="S18" s="298"/>
    </row>
    <row r="19" spans="1:19" ht="12.75">
      <c r="A19" s="347" t="s">
        <v>46</v>
      </c>
      <c r="B19" s="481">
        <f>'2011 полн'!B13</f>
        <v>4374.12</v>
      </c>
      <c r="C19" s="481">
        <f>'2011 полн'!C13</f>
        <v>37398.726</v>
      </c>
      <c r="D19" s="44">
        <f>'2011 полн'!D13</f>
        <v>318.2652</v>
      </c>
      <c r="E19" s="477">
        <f>'2011 полн'!U13</f>
        <v>37860.009999999995</v>
      </c>
      <c r="F19" s="477">
        <f>'2011 полн'!V13</f>
        <v>0</v>
      </c>
      <c r="G19" s="482">
        <f>'2011 полн'!AF13</f>
        <v>43888.67</v>
      </c>
      <c r="H19" s="482">
        <f>'2011 полн'!AG13</f>
        <v>44206.9352</v>
      </c>
      <c r="I19" s="499">
        <f>'2011 полн'!AJ13</f>
        <v>100</v>
      </c>
      <c r="J19" s="477">
        <f>'2011 полн'!AK13</f>
        <v>2930.6604</v>
      </c>
      <c r="K19" s="477">
        <f>'2011 полн'!AL13</f>
        <v>874.8240000000001</v>
      </c>
      <c r="L19" s="477">
        <f>'2011 полн'!AM13+'2011 полн'!AN13+'2011 полн'!AO13+'2011 полн'!AP13+'2011 полн'!AQ13+'2011 полн'!AR13+'2011 полн'!AS13+'2011 полн'!AT13+'2011 полн'!AX13</f>
        <v>38439.5112</v>
      </c>
      <c r="M19" s="478">
        <f>'2011 полн'!AU13+'2011 полн'!AV13+'2011 полн'!AW13</f>
        <v>0</v>
      </c>
      <c r="N19" s="500">
        <f>'2011 полн'!BD13</f>
        <v>25</v>
      </c>
      <c r="O19" s="479">
        <f>'2011 полн'!BE13</f>
        <v>42269.9956</v>
      </c>
      <c r="P19" s="480">
        <f>'2011 полн'!BF13</f>
        <v>2036.9395999999979</v>
      </c>
      <c r="Q19" s="480">
        <f>'2011 полн'!BG13</f>
        <v>6028.6600000000035</v>
      </c>
      <c r="R19" s="298"/>
      <c r="S19" s="298"/>
    </row>
    <row r="20" spans="1:19" ht="12.75">
      <c r="A20" s="347" t="s">
        <v>47</v>
      </c>
      <c r="B20" s="481">
        <f>'2011 полн'!B14</f>
        <v>4374.12</v>
      </c>
      <c r="C20" s="481">
        <f>'2011 полн'!C14</f>
        <v>37398.726</v>
      </c>
      <c r="D20" s="44">
        <f>'2011 полн'!D14</f>
        <v>318.2652</v>
      </c>
      <c r="E20" s="477">
        <f>'2011 полн'!U14</f>
        <v>37860.95</v>
      </c>
      <c r="F20" s="477">
        <f>'2011 полн'!V14</f>
        <v>0</v>
      </c>
      <c r="G20" s="482">
        <f>'2011 полн'!AF14</f>
        <v>36570.31</v>
      </c>
      <c r="H20" s="482">
        <f>'2011 полн'!AG14</f>
        <v>36888.5752</v>
      </c>
      <c r="I20" s="499">
        <f>'2011 полн'!AJ14</f>
        <v>214</v>
      </c>
      <c r="J20" s="477">
        <f>'2011 полн'!AK14</f>
        <v>2930.6604</v>
      </c>
      <c r="K20" s="477">
        <f>'2011 полн'!AL14</f>
        <v>874.8240000000001</v>
      </c>
      <c r="L20" s="477">
        <f>'2011 полн'!AM14+'2011 полн'!AN14+'2011 полн'!AO14+'2011 полн'!AP14+'2011 полн'!AQ14+'2011 полн'!AR14+'2011 полн'!AS14+'2011 полн'!AT14+'2011 полн'!AX14</f>
        <v>25701.4812</v>
      </c>
      <c r="M20" s="478">
        <f>'2011 полн'!AU14+'2011 полн'!AV14+'2011 полн'!AW14</f>
        <v>563</v>
      </c>
      <c r="N20" s="500">
        <f>'2011 полн'!BD14</f>
        <v>53.5</v>
      </c>
      <c r="O20" s="479">
        <f>'2011 полн'!BE14</f>
        <v>30123.4656</v>
      </c>
      <c r="P20" s="480">
        <f>'2011 полн'!BF14</f>
        <v>6979.1096</v>
      </c>
      <c r="Q20" s="480">
        <f>'2011 полн'!BG14</f>
        <v>-1290.6399999999994</v>
      </c>
      <c r="R20" s="298"/>
      <c r="S20" s="298"/>
    </row>
    <row r="21" spans="1:19" ht="12.75">
      <c r="A21" s="347" t="s">
        <v>48</v>
      </c>
      <c r="B21" s="481">
        <f>'2011 полн'!B15</f>
        <v>4374.12</v>
      </c>
      <c r="C21" s="481">
        <f>'2011 полн'!C15</f>
        <v>37398.726</v>
      </c>
      <c r="D21" s="44">
        <f>'2011 полн'!D15</f>
        <v>318.2652</v>
      </c>
      <c r="E21" s="477">
        <f>'2011 полн'!U15</f>
        <v>37862.79</v>
      </c>
      <c r="F21" s="477">
        <f>'2011 полн'!V15</f>
        <v>0</v>
      </c>
      <c r="G21" s="482">
        <f>'2011 полн'!AF15</f>
        <v>28771.109999999997</v>
      </c>
      <c r="H21" s="482">
        <f>'2011 полн'!AG15</f>
        <v>29089.3752</v>
      </c>
      <c r="I21" s="499">
        <f>'2011 полн'!AJ15</f>
        <v>214</v>
      </c>
      <c r="J21" s="477">
        <f>'2011 полн'!AK15</f>
        <v>2930.6604</v>
      </c>
      <c r="K21" s="477">
        <f>'2011 полн'!AL15</f>
        <v>874.8240000000001</v>
      </c>
      <c r="L21" s="477">
        <f>'2011 полн'!AM15+'2011 полн'!AN15+'2011 полн'!AO15+'2011 полн'!AP15+'2011 полн'!AQ15+'2011 полн'!AR15+'2011 полн'!AS15+'2011 полн'!AT15+'2011 полн'!AX15</f>
        <v>25618.5412</v>
      </c>
      <c r="M21" s="478">
        <f>'2011 полн'!AU15+'2011 полн'!AV15+'2011 полн'!AW15</f>
        <v>65302</v>
      </c>
      <c r="N21" s="500">
        <f>'2011 полн'!BD15</f>
        <v>53.5</v>
      </c>
      <c r="O21" s="479">
        <f>'2011 полн'!BE15</f>
        <v>94779.5256</v>
      </c>
      <c r="P21" s="480">
        <f>'2011 полн'!BF15</f>
        <v>-65476.1504</v>
      </c>
      <c r="Q21" s="480">
        <f>'2011 полн'!BG15</f>
        <v>-9091.680000000004</v>
      </c>
      <c r="R21" s="298"/>
      <c r="S21" s="298"/>
    </row>
    <row r="22" spans="1:19" ht="12.75">
      <c r="A22" s="347" t="s">
        <v>49</v>
      </c>
      <c r="B22" s="481">
        <f>'2011 полн'!B16</f>
        <v>4374.12</v>
      </c>
      <c r="C22" s="481">
        <f>'2011 полн'!C16</f>
        <v>37398.726</v>
      </c>
      <c r="D22" s="44">
        <f>'2011 полн'!D16</f>
        <v>318.2652</v>
      </c>
      <c r="E22" s="477">
        <f>'2011 полн'!U16</f>
        <v>37831.45</v>
      </c>
      <c r="F22" s="477">
        <f>'2011 полн'!V16</f>
        <v>0</v>
      </c>
      <c r="G22" s="482">
        <f>'2011 полн'!AF16</f>
        <v>35043.41</v>
      </c>
      <c r="H22" s="482">
        <f>'2011 полн'!AG16</f>
        <v>35361.675200000005</v>
      </c>
      <c r="I22" s="499">
        <f>'2011 полн'!AJ16</f>
        <v>214</v>
      </c>
      <c r="J22" s="477">
        <f>'2011 полн'!AK16</f>
        <v>2930.6604</v>
      </c>
      <c r="K22" s="477">
        <f>'2011 полн'!AL16</f>
        <v>874.8240000000001</v>
      </c>
      <c r="L22" s="477">
        <f>'2011 полн'!AM16+'2011 полн'!AN16+'2011 полн'!AO16+'2011 полн'!AP16+'2011 полн'!AQ16+'2011 полн'!AR16+'2011 полн'!AS16+'2011 полн'!AT16+'2011 полн'!AX16</f>
        <v>25890.4012</v>
      </c>
      <c r="M22" s="478">
        <f>'2011 полн'!AU16+'2011 полн'!AV16+'2011 полн'!AW16</f>
        <v>0</v>
      </c>
      <c r="N22" s="500">
        <f>'2011 полн'!BD16</f>
        <v>53.5</v>
      </c>
      <c r="O22" s="479">
        <f>'2011 полн'!BE16</f>
        <v>29749.3856</v>
      </c>
      <c r="P22" s="480">
        <f>'2011 полн'!BF16</f>
        <v>5826.289600000004</v>
      </c>
      <c r="Q22" s="480">
        <f>'2011 полн'!BG16</f>
        <v>-2788.0399999999936</v>
      </c>
      <c r="R22" s="298"/>
      <c r="S22" s="298"/>
    </row>
    <row r="23" spans="1:19" ht="12.75">
      <c r="A23" s="347" t="s">
        <v>50</v>
      </c>
      <c r="B23" s="481">
        <f>'2011 полн'!B17</f>
        <v>4374.12</v>
      </c>
      <c r="C23" s="481">
        <f>'2011 полн'!C17</f>
        <v>37398.726</v>
      </c>
      <c r="D23" s="44">
        <f>'2011 полн'!D17</f>
        <v>318.2652</v>
      </c>
      <c r="E23" s="477">
        <f>'2011 полн'!U17</f>
        <v>37852.399999999994</v>
      </c>
      <c r="F23" s="477">
        <f>'2011 полн'!V17</f>
        <v>0</v>
      </c>
      <c r="G23" s="482">
        <f>'2011 полн'!AF17</f>
        <v>33132.53</v>
      </c>
      <c r="H23" s="482">
        <f>'2011 полн'!AG17</f>
        <v>33450.7952</v>
      </c>
      <c r="I23" s="499">
        <f>'2011 полн'!AJ17</f>
        <v>214</v>
      </c>
      <c r="J23" s="477">
        <f>'2011 полн'!AK17</f>
        <v>2930.6604</v>
      </c>
      <c r="K23" s="477">
        <f>'2011 полн'!AL17</f>
        <v>874.8240000000001</v>
      </c>
      <c r="L23" s="477">
        <f>'2011 полн'!AM17+'2011 полн'!AN17+'2011 полн'!AO17+'2011 полн'!AP17+'2011 полн'!AQ17+'2011 полн'!AR17+'2011 полн'!AS17+'2011 полн'!AT17+'2011 полн'!AX17</f>
        <v>25866.5412</v>
      </c>
      <c r="M23" s="478">
        <f>'2011 полн'!AU17+'2011 полн'!AV17+'2011 полн'!AW17</f>
        <v>18869</v>
      </c>
      <c r="N23" s="500">
        <f>'2011 полн'!BD17</f>
        <v>53.5</v>
      </c>
      <c r="O23" s="479">
        <f>'2011 полн'!BE17</f>
        <v>48594.5256</v>
      </c>
      <c r="P23" s="480">
        <f>'2011 полн'!BF17</f>
        <v>-14929.7304</v>
      </c>
      <c r="Q23" s="480">
        <f>'2011 полн'!BG17</f>
        <v>-4719.869999999995</v>
      </c>
      <c r="R23" s="298"/>
      <c r="S23" s="298"/>
    </row>
    <row r="24" spans="1:19" ht="12.75">
      <c r="A24" s="347" t="s">
        <v>51</v>
      </c>
      <c r="B24" s="481">
        <f>'2011 полн'!B18</f>
        <v>4374.12</v>
      </c>
      <c r="C24" s="481">
        <f>'2011 полн'!C18</f>
        <v>37398.726</v>
      </c>
      <c r="D24" s="44">
        <f>'2011 полн'!D18</f>
        <v>318.2652</v>
      </c>
      <c r="E24" s="477">
        <f>'2011 полн'!U18</f>
        <v>38147.32</v>
      </c>
      <c r="F24" s="477">
        <f>'2011 полн'!V18</f>
        <v>0</v>
      </c>
      <c r="G24" s="482">
        <f>'2011 полн'!AF18</f>
        <v>37263.119999999995</v>
      </c>
      <c r="H24" s="482">
        <f>'2011 полн'!AG18</f>
        <v>37581.3852</v>
      </c>
      <c r="I24" s="499">
        <f>'2011 полн'!AJ18</f>
        <v>214</v>
      </c>
      <c r="J24" s="477">
        <f>'2011 полн'!AK18</f>
        <v>2930.6604</v>
      </c>
      <c r="K24" s="477">
        <f>'2011 полн'!AL18</f>
        <v>874.8240000000001</v>
      </c>
      <c r="L24" s="477">
        <f>'2011 полн'!AM18+'2011 полн'!AN18+'2011 полн'!AO18+'2011 полн'!AP18+'2011 полн'!AQ18+'2011 полн'!AR18+'2011 полн'!AS18+'2011 полн'!AT18+'2011 полн'!AX18</f>
        <v>25822.8812</v>
      </c>
      <c r="M24" s="478">
        <f>'2011 полн'!AU18+'2011 полн'!AV18+'2011 полн'!AW18</f>
        <v>0</v>
      </c>
      <c r="N24" s="500">
        <f>'2011 полн'!BD18</f>
        <v>53.5</v>
      </c>
      <c r="O24" s="479">
        <f>'2011 полн'!BE18</f>
        <v>29681.8656</v>
      </c>
      <c r="P24" s="480">
        <f>'2011 полн'!BF18</f>
        <v>8113.519599999996</v>
      </c>
      <c r="Q24" s="480">
        <f>'2011 полн'!BG18</f>
        <v>-884.2000000000044</v>
      </c>
      <c r="R24" s="298"/>
      <c r="S24" s="298"/>
    </row>
    <row r="25" spans="1:19" ht="12.75">
      <c r="A25" s="347" t="s">
        <v>39</v>
      </c>
      <c r="B25" s="481">
        <f>'2011 полн'!B19</f>
        <v>4374.12</v>
      </c>
      <c r="C25" s="481">
        <f>'2011 полн'!C19</f>
        <v>37398.726</v>
      </c>
      <c r="D25" s="44">
        <f>'2011 полн'!D19</f>
        <v>318.2652</v>
      </c>
      <c r="E25" s="477">
        <f>'2011 полн'!U19</f>
        <v>38109.97</v>
      </c>
      <c r="F25" s="477">
        <f>'2011 полн'!V19</f>
        <v>0</v>
      </c>
      <c r="G25" s="482">
        <f>'2011 полн'!AF19</f>
        <v>37105.8</v>
      </c>
      <c r="H25" s="482">
        <f>'2011 полн'!AG19</f>
        <v>37424.065200000005</v>
      </c>
      <c r="I25" s="499">
        <f>'2011 полн'!AJ19</f>
        <v>214</v>
      </c>
      <c r="J25" s="477">
        <f>'2011 полн'!AK19</f>
        <v>2930.6604</v>
      </c>
      <c r="K25" s="477">
        <f>'2011 полн'!AL19</f>
        <v>874.8240000000001</v>
      </c>
      <c r="L25" s="477">
        <f>'2011 полн'!AM19+'2011 полн'!AN19+'2011 полн'!AO19+'2011 полн'!AP19+'2011 полн'!AQ19+'2011 полн'!AR19+'2011 полн'!AS19+'2011 полн'!AT19+'2011 полн'!AX19</f>
        <v>31049.779199999997</v>
      </c>
      <c r="M25" s="478">
        <f>'2011 полн'!AU19+'2011 полн'!AV19+'2011 полн'!AW19</f>
        <v>70039</v>
      </c>
      <c r="N25" s="500">
        <f>'2011 полн'!BD19</f>
        <v>53.5</v>
      </c>
      <c r="O25" s="479">
        <f>'2011 полн'!BE19</f>
        <v>104947.7636</v>
      </c>
      <c r="P25" s="480">
        <f>'2011 полн'!BF19</f>
        <v>-67309.6984</v>
      </c>
      <c r="Q25" s="480">
        <f>'2011 полн'!BG19</f>
        <v>-1004.1699999999983</v>
      </c>
      <c r="R25" s="298"/>
      <c r="S25" s="298"/>
    </row>
    <row r="26" spans="1:19" ht="12.75">
      <c r="A26" s="347" t="s">
        <v>40</v>
      </c>
      <c r="B26" s="481">
        <f>'2011 полн'!B20</f>
        <v>4374.12</v>
      </c>
      <c r="C26" s="481">
        <f>'2011 полн'!C20</f>
        <v>37398.726</v>
      </c>
      <c r="D26" s="44">
        <f>'2011 полн'!D20</f>
        <v>318.2652</v>
      </c>
      <c r="E26" s="477">
        <f>'2011 полн'!U20</f>
        <v>38145.39</v>
      </c>
      <c r="F26" s="477">
        <f>'2011 полн'!V20</f>
        <v>0</v>
      </c>
      <c r="G26" s="482">
        <f>'2011 полн'!AF20</f>
        <v>28018.539999999997</v>
      </c>
      <c r="H26" s="482">
        <f>'2011 полн'!AG20</f>
        <v>28336.8052</v>
      </c>
      <c r="I26" s="499">
        <f>'2011 полн'!AJ20</f>
        <v>214</v>
      </c>
      <c r="J26" s="477">
        <f>'2011 полн'!AK20</f>
        <v>2930.6604</v>
      </c>
      <c r="K26" s="477">
        <f>'2011 полн'!AL20</f>
        <v>874.8240000000001</v>
      </c>
      <c r="L26" s="477">
        <f>'2011 полн'!AM20+'2011 полн'!AN20+'2011 полн'!AO20+'2011 полн'!AP20+'2011 полн'!AQ20+'2011 полн'!AR20+'2011 полн'!AS20+'2011 полн'!AT20+'2011 полн'!AX20</f>
        <v>30649.899199999996</v>
      </c>
      <c r="M26" s="478">
        <f>'2011 полн'!AU20+'2011 полн'!AV20+'2011 полн'!AW20</f>
        <v>352</v>
      </c>
      <c r="N26" s="500">
        <f>'2011 полн'!BD20</f>
        <v>53.5</v>
      </c>
      <c r="O26" s="479">
        <f>'2011 полн'!BE20</f>
        <v>34860.8836</v>
      </c>
      <c r="P26" s="480">
        <f>'2011 полн'!BF20</f>
        <v>-6310.078400000002</v>
      </c>
      <c r="Q26" s="480">
        <f>'2011 полн'!BG20</f>
        <v>-10126.850000000002</v>
      </c>
      <c r="R26" s="298"/>
      <c r="S26" s="298"/>
    </row>
    <row r="27" spans="1:19" ht="13.5" thickBot="1">
      <c r="A27" s="347" t="s">
        <v>41</v>
      </c>
      <c r="B27" s="481">
        <f>'2011 полн'!B21</f>
        <v>4374.12</v>
      </c>
      <c r="C27" s="481">
        <f>'2011 полн'!C21</f>
        <v>37398.726</v>
      </c>
      <c r="D27" s="44">
        <f>'2011 полн'!D21</f>
        <v>318.2652</v>
      </c>
      <c r="E27" s="477">
        <f>'2011 полн'!U21</f>
        <v>38155.03</v>
      </c>
      <c r="F27" s="477">
        <f>'2011 полн'!V21</f>
        <v>0</v>
      </c>
      <c r="G27" s="482">
        <f>'2011 полн'!AF21</f>
        <v>60565.89</v>
      </c>
      <c r="H27" s="482">
        <f>'2011 полн'!AG21</f>
        <v>60884.1552</v>
      </c>
      <c r="I27" s="499">
        <f>'2011 полн'!AJ21</f>
        <v>6851.42</v>
      </c>
      <c r="J27" s="477">
        <f>'2011 полн'!AK21</f>
        <v>2930.6604</v>
      </c>
      <c r="K27" s="477">
        <f>'2011 полн'!AL21</f>
        <v>874.8240000000001</v>
      </c>
      <c r="L27" s="477">
        <f>'2011 полн'!AM21+'2011 полн'!AN21+'2011 полн'!AO21+'2011 полн'!AP21+'2011 полн'!AQ21+'2011 полн'!AR21+'2011 полн'!AS21+'2011 полн'!AT21+'2011 полн'!AX21</f>
        <v>32611.779199999997</v>
      </c>
      <c r="M27" s="478">
        <f>'2011 полн'!AU21+'2011 полн'!AV21+'2011 полн'!AW21</f>
        <v>696</v>
      </c>
      <c r="N27" s="500">
        <f>'2011 полн'!BD21</f>
        <v>1712.855</v>
      </c>
      <c r="O27" s="479">
        <f>'2011 полн'!BE21</f>
        <v>38826.1186</v>
      </c>
      <c r="P27" s="480">
        <f>'2011 полн'!BF21</f>
        <v>28909.456600000005</v>
      </c>
      <c r="Q27" s="480">
        <f>'2011 полн'!BG21</f>
        <v>22410.86</v>
      </c>
      <c r="R27" s="298"/>
      <c r="S27" s="298"/>
    </row>
    <row r="28" spans="1:19" s="24" customFormat="1" ht="13.5" thickBot="1">
      <c r="A28" s="50" t="s">
        <v>3</v>
      </c>
      <c r="B28" s="51"/>
      <c r="C28" s="56">
        <f aca="true" t="shared" si="0" ref="C28:O28">SUM(C16:C27)</f>
        <v>448784.7120000001</v>
      </c>
      <c r="D28" s="56">
        <f t="shared" si="0"/>
        <v>23819.182400000016</v>
      </c>
      <c r="E28" s="56">
        <f t="shared" si="0"/>
        <v>445436.93000000005</v>
      </c>
      <c r="F28" s="56">
        <f t="shared" si="0"/>
        <v>0</v>
      </c>
      <c r="G28" s="56">
        <f t="shared" si="0"/>
        <v>432784.23999999993</v>
      </c>
      <c r="H28" s="56">
        <f t="shared" si="0"/>
        <v>456603.42240000004</v>
      </c>
      <c r="I28" s="56">
        <f t="shared" si="0"/>
        <v>8749.42</v>
      </c>
      <c r="J28" s="56">
        <f t="shared" si="0"/>
        <v>35167.9248</v>
      </c>
      <c r="K28" s="56">
        <f t="shared" si="0"/>
        <v>10497.888000000004</v>
      </c>
      <c r="L28" s="56">
        <f t="shared" si="0"/>
        <v>369755.6224</v>
      </c>
      <c r="M28" s="56">
        <f t="shared" si="0"/>
        <v>165894</v>
      </c>
      <c r="N28" s="56">
        <f t="shared" si="0"/>
        <v>2187.355</v>
      </c>
      <c r="O28" s="56">
        <f t="shared" si="0"/>
        <v>583502.7902</v>
      </c>
      <c r="P28" s="56">
        <f>SUM(P16:P27)</f>
        <v>-118149.9478</v>
      </c>
      <c r="Q28" s="56">
        <f>SUM(Q16:Q27)</f>
        <v>-12652.689999999995</v>
      </c>
      <c r="R28" s="58"/>
      <c r="S28" s="58"/>
    </row>
    <row r="29" spans="1:18" ht="13.5" thickBot="1">
      <c r="A29" s="282" t="s">
        <v>66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483"/>
      <c r="Q29" s="472"/>
      <c r="R29" s="484"/>
    </row>
    <row r="30" spans="1:19" s="24" customFormat="1" ht="13.5" thickBot="1">
      <c r="A30" s="66" t="s">
        <v>52</v>
      </c>
      <c r="B30" s="67"/>
      <c r="C30" s="68">
        <f aca="true" t="shared" si="1" ref="C30:P30">C28+C14</f>
        <v>1459902.761</v>
      </c>
      <c r="D30" s="68">
        <f t="shared" si="1"/>
        <v>135427.86349975</v>
      </c>
      <c r="E30" s="68">
        <f t="shared" si="1"/>
        <v>1190126.92</v>
      </c>
      <c r="F30" s="68">
        <f t="shared" si="1"/>
        <v>152267.78999999998</v>
      </c>
      <c r="G30" s="68">
        <f t="shared" si="1"/>
        <v>1093552.44</v>
      </c>
      <c r="H30" s="68">
        <f t="shared" si="1"/>
        <v>1381248.0934997501</v>
      </c>
      <c r="I30" s="68">
        <f t="shared" si="1"/>
        <v>8749.42</v>
      </c>
      <c r="J30" s="68">
        <f t="shared" si="1"/>
        <v>104267.32080000002</v>
      </c>
      <c r="K30" s="68">
        <f t="shared" si="1"/>
        <v>33651.50054420001</v>
      </c>
      <c r="L30" s="68">
        <f t="shared" si="1"/>
        <v>892435.6527792055</v>
      </c>
      <c r="M30" s="68">
        <f t="shared" si="1"/>
        <v>368122.6744</v>
      </c>
      <c r="N30" s="68">
        <f t="shared" si="1"/>
        <v>2187.355</v>
      </c>
      <c r="O30" s="68">
        <f t="shared" si="1"/>
        <v>1400664.5035234054</v>
      </c>
      <c r="P30" s="68">
        <f t="shared" si="1"/>
        <v>-10441.990023655366</v>
      </c>
      <c r="Q30" s="68">
        <f>Q28+Q14</f>
        <v>-96574.47999999995</v>
      </c>
      <c r="R30" s="371"/>
      <c r="S30" s="58"/>
    </row>
    <row r="32" spans="1:4" ht="12.75">
      <c r="A32" s="24" t="s">
        <v>125</v>
      </c>
      <c r="D32" s="485" t="s">
        <v>126</v>
      </c>
    </row>
    <row r="33" spans="1:4" ht="12.75">
      <c r="A33" s="345" t="s">
        <v>68</v>
      </c>
      <c r="B33" s="345" t="s">
        <v>69</v>
      </c>
      <c r="C33" s="486" t="s">
        <v>70</v>
      </c>
      <c r="D33" s="486"/>
    </row>
    <row r="34" spans="1:4" ht="12.75">
      <c r="A34" s="487">
        <v>350622.21</v>
      </c>
      <c r="B34" s="488">
        <v>122077.28</v>
      </c>
      <c r="C34" s="489">
        <f>A34-B34</f>
        <v>228544.93000000002</v>
      </c>
      <c r="D34" s="490"/>
    </row>
    <row r="35" ht="12.75">
      <c r="A35" s="73"/>
    </row>
    <row r="36" spans="1:7" ht="12.75">
      <c r="A36" s="299" t="s">
        <v>71</v>
      </c>
      <c r="G36" s="299" t="s">
        <v>72</v>
      </c>
    </row>
    <row r="37" ht="12.75">
      <c r="A37" s="298"/>
    </row>
    <row r="38" ht="12.75">
      <c r="A38" s="299" t="s">
        <v>127</v>
      </c>
    </row>
    <row r="39" ht="12.75">
      <c r="A39" s="299" t="s">
        <v>73</v>
      </c>
    </row>
  </sheetData>
  <sheetProtection/>
  <mergeCells count="28">
    <mergeCell ref="A13:O13"/>
    <mergeCell ref="A29:O29"/>
    <mergeCell ref="C33:D33"/>
    <mergeCell ref="C34:D34"/>
    <mergeCell ref="I9:I11"/>
    <mergeCell ref="N10:N11"/>
    <mergeCell ref="J8:O9"/>
    <mergeCell ref="P8:P11"/>
    <mergeCell ref="Q8:Q11"/>
    <mergeCell ref="E10:F10"/>
    <mergeCell ref="H10:H11"/>
    <mergeCell ref="J10:J11"/>
    <mergeCell ref="K10:K11"/>
    <mergeCell ref="L10:L11"/>
    <mergeCell ref="M10:M11"/>
    <mergeCell ref="O10:O11"/>
    <mergeCell ref="A8:A11"/>
    <mergeCell ref="B8:B11"/>
    <mergeCell ref="C8:C11"/>
    <mergeCell ref="D8:D11"/>
    <mergeCell ref="E8:F9"/>
    <mergeCell ref="G8:H9"/>
    <mergeCell ref="B1:H1"/>
    <mergeCell ref="B2:H2"/>
    <mergeCell ref="A5:O5"/>
    <mergeCell ref="A6:G6"/>
    <mergeCell ref="A7:D7"/>
    <mergeCell ref="E7:F7"/>
  </mergeCells>
  <printOptions/>
  <pageMargins left="0.2362204724409449" right="0.15748031496062992" top="0.1968503937007874" bottom="0.07874015748031496" header="0.196850393700787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2012-05-21T10:54:31Z</cp:lastPrinted>
  <dcterms:created xsi:type="dcterms:W3CDTF">2010-04-03T04:08:20Z</dcterms:created>
  <dcterms:modified xsi:type="dcterms:W3CDTF">2012-05-21T10:55:11Z</dcterms:modified>
  <cp:category/>
  <cp:version/>
  <cp:contentType/>
  <cp:contentStatus/>
</cp:coreProperties>
</file>