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<sst xmlns="http://schemas.openxmlformats.org/spreadsheetml/2006/main" count="178" uniqueCount="95">
  <si>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</si>
  <si>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</si>
  <si>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</si>
  <si>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</si>
  <si>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</si>
  <si>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</si>
  <si>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</si>
  <si>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</si>
  <si>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</si>
  <si>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</si>
  <si>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</si>
  <si>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</si>
  <si>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</si>
  <si>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</si>
  <si>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</si>
  <si>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</si>
  <si>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</si>
  <si>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</si>
  <si>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</si>
  <si>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</si>
  <si>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</si>
  <si>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</si>
  <si>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</si>
  <si>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</si>
  <si>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</si>
  <si>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</si>
  <si>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</si>
  <si>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</si>
  <si>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</si>
  <si>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</si>
  <si>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</si>
  <si>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</si>
  <si>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</si>
  <si>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</si>
  <si>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</si>
  <si>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</si>
  <si>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</si>
  <si>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</si>
  <si>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</si>
  <si>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</si>
  <si>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</si>
  <si>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</si>
  <si>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</si>
  <si>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</si>
  <si>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</si>
  <si>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</si>
  <si>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</si>
  <si>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</si>
  <si>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</si>
  <si>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</si>
  <si>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</si>
  <si>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</si>
  <si>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</si>
  <si>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</si>
  <si>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</si>
  <si>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</si>
  <si>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</si>
  <si>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</si>
  <si>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</si>
  <si>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</si>
  <si>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</si>
  <si>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</si>
  <si>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</si>
  <si>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</si>
  <si>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</si>
  <si>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</si>
  <si>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</si>
  <si>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</si>
  <si>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</si>
  <si>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</si>
  <si>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</si>
  <si>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</si>
  <si>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</si>
  <si>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</si>
  <si>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</si>
  <si>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</si>
  <si>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</si>
  <si>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19</t>
  </si>
  <si>
    <t>Выписка по лицевому счету по адресу г. Таштагол, ул. Ленина, д. 19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</si>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</sst>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2" fillId="0" borderId="32" xfId="33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1" xfId="33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33" xfId="33" applyNumberFormat="1" applyFont="1" applyFill="1" applyBorder="1" applyAlignment="1">
      <alignment horizontal="right" vertical="center" wrapText="1"/>
      <protection/>
    </xf>
    <xf numFmtId="4" fontId="7" fillId="0" borderId="26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5" xfId="33" applyNumberFormat="1" applyFont="1" applyFill="1" applyBorder="1" applyAlignment="1">
      <alignment horizontal="right" vertical="center" wrapText="1"/>
      <protection/>
    </xf>
    <xf numFmtId="4" fontId="7" fillId="0" borderId="34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36" borderId="29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6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6" borderId="4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36" borderId="10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20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37" borderId="15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38" borderId="29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2" fillId="0" borderId="27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4" borderId="30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8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11" fillId="0" borderId="29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4" fontId="0" fillId="37" borderId="29" xfId="0" applyNumberFormat="1" applyFont="1" applyFill="1" applyBorder="1" applyAlignment="1">
      <alignment horizontal="center"/>
    </xf>
    <xf numFmtId="4" fontId="12" fillId="36" borderId="15" xfId="0" applyNumberFormat="1" applyFont="1" applyFill="1" applyBorder="1" applyAlignment="1">
      <alignment horizont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46" xfId="0" applyNumberFormat="1" applyFont="1" applyFill="1" applyBorder="1" applyAlignment="1">
      <alignment horizontal="center" vertical="center" wrapText="1"/>
    </xf>
    <xf numFmtId="2" fontId="1" fillId="35" borderId="45" xfId="0" applyNumberFormat="1" applyFont="1" applyFill="1" applyBorder="1" applyAlignment="1">
      <alignment horizontal="center" vertical="center" wrapText="1"/>
    </xf>
    <xf numFmtId="2" fontId="1" fillId="35" borderId="39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8" borderId="45" xfId="0" applyNumberFormat="1" applyFont="1" applyFill="1" applyBorder="1" applyAlignment="1">
      <alignment horizontal="center" vertical="center" wrapText="1"/>
    </xf>
    <xf numFmtId="2" fontId="1" fillId="38" borderId="38" xfId="0" applyNumberFormat="1" applyFont="1" applyFill="1" applyBorder="1" applyAlignment="1">
      <alignment horizontal="center" vertical="center" wrapText="1"/>
    </xf>
    <xf numFmtId="2" fontId="1" fillId="38" borderId="39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2" fontId="8" fillId="34" borderId="45" xfId="0" applyNumberFormat="1" applyFont="1" applyFill="1" applyBorder="1" applyAlignment="1">
      <alignment horizontal="center" vertical="center" wrapText="1"/>
    </xf>
    <xf numFmtId="2" fontId="8" fillId="34" borderId="38" xfId="0" applyNumberFormat="1" applyFont="1" applyFill="1" applyBorder="1" applyAlignment="1">
      <alignment horizontal="center" vertical="center" wrapText="1"/>
    </xf>
    <xf numFmtId="2" fontId="8" fillId="34" borderId="3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textRotation="90"/>
    </xf>
    <xf numFmtId="0" fontId="1" fillId="37" borderId="38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43" fontId="0" fillId="0" borderId="29" xfId="60" applyFont="1" applyFill="1" applyBorder="1" applyAlignment="1">
      <alignment horizontal="center"/>
    </xf>
    <xf numFmtId="43" fontId="0" fillId="0" borderId="20" xfId="6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1" ySplit="1" topLeftCell="AQ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20" sqref="AG20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1.625" style="2" customWidth="1"/>
    <col min="4" max="4" width="10.375" style="2" customWidth="1"/>
    <col min="5" max="5" width="8.875" style="2" customWidth="1"/>
    <col min="6" max="6" width="9.00390625" style="2" customWidth="1"/>
    <col min="7" max="7" width="11.1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1" width="9.125" style="2" customWidth="1"/>
    <col min="22" max="22" width="11.003906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4" width="9.25390625" style="2" bestFit="1" customWidth="1"/>
    <col min="35" max="35" width="10.75390625" style="2" customWidth="1"/>
    <col min="36" max="36" width="9.25390625" style="2" bestFit="1" customWidth="1"/>
    <col min="37" max="37" width="10.375" style="2" customWidth="1"/>
    <col min="38" max="38" width="10.125" style="2" bestFit="1" customWidth="1"/>
    <col min="39" max="39" width="11.375" style="2" customWidth="1"/>
    <col min="40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10.875" style="2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125" style="2" customWidth="1"/>
    <col min="55" max="55" width="9.125" style="2" customWidth="1"/>
    <col min="56" max="57" width="10.625" style="2" customWidth="1"/>
    <col min="58" max="58" width="12.375" style="2" customWidth="1"/>
    <col min="59" max="16384" width="9.125" style="2" customWidth="1"/>
  </cols>
  <sheetData>
    <row r="1" spans="1:18" ht="21.75" customHeight="1">
      <c r="A1" s="241" t="s">
        <v>77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07" t="s">
        <v>79</v>
      </c>
      <c r="B3" s="243" t="s">
        <v>0</v>
      </c>
      <c r="C3" s="245" t="s">
        <v>1</v>
      </c>
      <c r="D3" s="247" t="s">
        <v>2</v>
      </c>
      <c r="E3" s="207" t="s">
        <v>11</v>
      </c>
      <c r="F3" s="249"/>
      <c r="G3" s="207" t="s">
        <v>12</v>
      </c>
      <c r="H3" s="208"/>
      <c r="I3" s="207" t="s">
        <v>13</v>
      </c>
      <c r="J3" s="208"/>
      <c r="K3" s="207" t="s">
        <v>14</v>
      </c>
      <c r="L3" s="208"/>
      <c r="M3" s="220" t="s">
        <v>15</v>
      </c>
      <c r="N3" s="208"/>
      <c r="O3" s="207" t="s">
        <v>16</v>
      </c>
      <c r="P3" s="208"/>
      <c r="Q3" s="207" t="s">
        <v>17</v>
      </c>
      <c r="R3" s="208"/>
      <c r="S3" s="207" t="s">
        <v>3</v>
      </c>
      <c r="T3" s="220"/>
      <c r="U3" s="232" t="s">
        <v>4</v>
      </c>
      <c r="V3" s="233"/>
      <c r="W3" s="233"/>
      <c r="X3" s="233"/>
      <c r="Y3" s="233"/>
      <c r="Z3" s="233"/>
      <c r="AA3" s="233"/>
      <c r="AB3" s="233"/>
      <c r="AC3" s="236" t="s">
        <v>80</v>
      </c>
      <c r="AD3" s="217" t="s">
        <v>6</v>
      </c>
      <c r="AE3" s="217" t="s">
        <v>7</v>
      </c>
      <c r="AF3" s="211" t="s">
        <v>81</v>
      </c>
      <c r="AG3" s="201" t="s">
        <v>8</v>
      </c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3"/>
      <c r="BC3" s="196" t="s">
        <v>82</v>
      </c>
      <c r="BD3" s="198"/>
      <c r="BE3" s="183" t="s">
        <v>9</v>
      </c>
      <c r="BF3" s="183" t="s">
        <v>10</v>
      </c>
    </row>
    <row r="4" spans="1:58" ht="36" customHeight="1" thickBot="1">
      <c r="A4" s="242"/>
      <c r="B4" s="244"/>
      <c r="C4" s="246"/>
      <c r="D4" s="248"/>
      <c r="E4" s="250"/>
      <c r="F4" s="251"/>
      <c r="G4" s="209"/>
      <c r="H4" s="210"/>
      <c r="I4" s="209"/>
      <c r="J4" s="210"/>
      <c r="K4" s="209"/>
      <c r="L4" s="210"/>
      <c r="M4" s="221"/>
      <c r="N4" s="222"/>
      <c r="O4" s="209"/>
      <c r="P4" s="210"/>
      <c r="Q4" s="209"/>
      <c r="R4" s="210"/>
      <c r="S4" s="209"/>
      <c r="T4" s="231"/>
      <c r="U4" s="234"/>
      <c r="V4" s="235"/>
      <c r="W4" s="235"/>
      <c r="X4" s="235"/>
      <c r="Y4" s="235"/>
      <c r="Z4" s="235"/>
      <c r="AA4" s="235"/>
      <c r="AB4" s="235"/>
      <c r="AC4" s="237"/>
      <c r="AD4" s="218"/>
      <c r="AE4" s="218"/>
      <c r="AF4" s="212"/>
      <c r="AG4" s="204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6"/>
      <c r="BC4" s="192" t="s">
        <v>83</v>
      </c>
      <c r="BD4" s="195" t="s">
        <v>84</v>
      </c>
      <c r="BE4" s="184"/>
      <c r="BF4" s="184"/>
    </row>
    <row r="5" spans="1:58" ht="29.25" customHeight="1" thickBot="1">
      <c r="A5" s="242"/>
      <c r="B5" s="244"/>
      <c r="C5" s="246"/>
      <c r="D5" s="248"/>
      <c r="E5" s="229" t="s">
        <v>18</v>
      </c>
      <c r="F5" s="223" t="s">
        <v>19</v>
      </c>
      <c r="G5" s="223" t="s">
        <v>18</v>
      </c>
      <c r="H5" s="223" t="s">
        <v>19</v>
      </c>
      <c r="I5" s="223" t="s">
        <v>18</v>
      </c>
      <c r="J5" s="223" t="s">
        <v>19</v>
      </c>
      <c r="K5" s="223" t="s">
        <v>18</v>
      </c>
      <c r="L5" s="223" t="s">
        <v>19</v>
      </c>
      <c r="M5" s="223" t="s">
        <v>18</v>
      </c>
      <c r="N5" s="223" t="s">
        <v>19</v>
      </c>
      <c r="O5" s="223" t="s">
        <v>18</v>
      </c>
      <c r="P5" s="223" t="s">
        <v>19</v>
      </c>
      <c r="Q5" s="223" t="s">
        <v>18</v>
      </c>
      <c r="R5" s="223" t="s">
        <v>19</v>
      </c>
      <c r="S5" s="223" t="s">
        <v>18</v>
      </c>
      <c r="T5" s="239" t="s">
        <v>19</v>
      </c>
      <c r="U5" s="214" t="s">
        <v>20</v>
      </c>
      <c r="V5" s="214" t="s">
        <v>21</v>
      </c>
      <c r="W5" s="214" t="s">
        <v>22</v>
      </c>
      <c r="X5" s="214" t="s">
        <v>23</v>
      </c>
      <c r="Y5" s="214" t="s">
        <v>24</v>
      </c>
      <c r="Z5" s="214" t="s">
        <v>25</v>
      </c>
      <c r="AA5" s="214" t="s">
        <v>26</v>
      </c>
      <c r="AB5" s="216" t="s">
        <v>27</v>
      </c>
      <c r="AC5" s="237"/>
      <c r="AD5" s="218"/>
      <c r="AE5" s="218"/>
      <c r="AF5" s="212"/>
      <c r="AG5" s="227" t="s">
        <v>28</v>
      </c>
      <c r="AH5" s="225" t="s">
        <v>29</v>
      </c>
      <c r="AI5" s="225" t="s">
        <v>30</v>
      </c>
      <c r="AJ5" s="181" t="s">
        <v>31</v>
      </c>
      <c r="AK5" s="225" t="s">
        <v>32</v>
      </c>
      <c r="AL5" s="181" t="s">
        <v>31</v>
      </c>
      <c r="AM5" s="181" t="s">
        <v>33</v>
      </c>
      <c r="AN5" s="181" t="s">
        <v>31</v>
      </c>
      <c r="AO5" s="181" t="s">
        <v>34</v>
      </c>
      <c r="AP5" s="181" t="s">
        <v>31</v>
      </c>
      <c r="AQ5" s="186" t="s">
        <v>85</v>
      </c>
      <c r="AR5" s="188" t="s">
        <v>31</v>
      </c>
      <c r="AS5" s="190" t="s">
        <v>86</v>
      </c>
      <c r="AT5" s="190" t="s">
        <v>87</v>
      </c>
      <c r="AU5" s="105" t="s">
        <v>31</v>
      </c>
      <c r="AV5" s="196" t="s">
        <v>88</v>
      </c>
      <c r="AW5" s="197"/>
      <c r="AX5" s="198"/>
      <c r="AY5" s="199" t="s">
        <v>17</v>
      </c>
      <c r="AZ5" s="195" t="s">
        <v>36</v>
      </c>
      <c r="BA5" s="195" t="s">
        <v>31</v>
      </c>
      <c r="BB5" s="195" t="s">
        <v>37</v>
      </c>
      <c r="BC5" s="193"/>
      <c r="BD5" s="181"/>
      <c r="BE5" s="184"/>
      <c r="BF5" s="184"/>
    </row>
    <row r="6" spans="1:58" ht="54" customHeight="1" thickBot="1">
      <c r="A6" s="242"/>
      <c r="B6" s="244"/>
      <c r="C6" s="246"/>
      <c r="D6" s="248"/>
      <c r="E6" s="230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40"/>
      <c r="U6" s="215"/>
      <c r="V6" s="215"/>
      <c r="W6" s="215"/>
      <c r="X6" s="215"/>
      <c r="Y6" s="215"/>
      <c r="Z6" s="215"/>
      <c r="AA6" s="215"/>
      <c r="AB6" s="204"/>
      <c r="AC6" s="238"/>
      <c r="AD6" s="219"/>
      <c r="AE6" s="219"/>
      <c r="AF6" s="213"/>
      <c r="AG6" s="228"/>
      <c r="AH6" s="226"/>
      <c r="AI6" s="226"/>
      <c r="AJ6" s="182"/>
      <c r="AK6" s="226"/>
      <c r="AL6" s="182"/>
      <c r="AM6" s="182"/>
      <c r="AN6" s="182"/>
      <c r="AO6" s="182"/>
      <c r="AP6" s="182"/>
      <c r="AQ6" s="187"/>
      <c r="AR6" s="189"/>
      <c r="AS6" s="191"/>
      <c r="AT6" s="191"/>
      <c r="AU6" s="107"/>
      <c r="AV6" s="106" t="s">
        <v>89</v>
      </c>
      <c r="AW6" s="106" t="s">
        <v>90</v>
      </c>
      <c r="AX6" s="106" t="s">
        <v>91</v>
      </c>
      <c r="AY6" s="200"/>
      <c r="AZ6" s="182"/>
      <c r="BA6" s="182"/>
      <c r="BB6" s="182"/>
      <c r="BC6" s="194"/>
      <c r="BD6" s="182"/>
      <c r="BE6" s="185"/>
      <c r="BF6" s="185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08">
        <v>43</v>
      </c>
      <c r="AR7" s="109">
        <v>44</v>
      </c>
      <c r="AS7" s="110">
        <v>45</v>
      </c>
      <c r="AT7" s="10">
        <v>46</v>
      </c>
      <c r="AU7" s="110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11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12"/>
      <c r="AR8" s="112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11"/>
    </row>
    <row r="9" spans="1:58" s="114" customFormat="1" ht="12.75">
      <c r="A9" s="113" t="s">
        <v>39</v>
      </c>
      <c r="B9" s="92">
        <v>4316.5</v>
      </c>
      <c r="C9" s="164">
        <f>B9*8.65</f>
        <v>37337.725</v>
      </c>
      <c r="D9" s="165">
        <f>C9*0.24088</f>
        <v>8993.911198</v>
      </c>
      <c r="E9" s="93">
        <v>2746.53</v>
      </c>
      <c r="F9" s="93">
        <v>817.54</v>
      </c>
      <c r="G9" s="93">
        <v>3707.92</v>
      </c>
      <c r="H9" s="93">
        <v>1103.69</v>
      </c>
      <c r="I9" s="93">
        <v>8926.31</v>
      </c>
      <c r="J9" s="93">
        <v>2657.02</v>
      </c>
      <c r="K9" s="93">
        <v>6179.74</v>
      </c>
      <c r="L9" s="93">
        <v>1839.48</v>
      </c>
      <c r="M9" s="90">
        <v>2197.23</v>
      </c>
      <c r="N9" s="90">
        <v>654.03</v>
      </c>
      <c r="O9" s="93">
        <v>0</v>
      </c>
      <c r="P9" s="93">
        <v>0</v>
      </c>
      <c r="Q9" s="93">
        <v>0</v>
      </c>
      <c r="R9" s="93">
        <v>0</v>
      </c>
      <c r="S9" s="93">
        <f>E9+G9+I9+K9+M9+O9+Q9</f>
        <v>23757.73</v>
      </c>
      <c r="T9" s="150">
        <f>P9+N9+L9+J9+H9+F9+R9</f>
        <v>7071.760000000001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100">
        <v>0</v>
      </c>
      <c r="AA9" s="100">
        <v>0</v>
      </c>
      <c r="AB9" s="100">
        <f>SUM(U9:AA9)</f>
        <v>0</v>
      </c>
      <c r="AC9" s="166">
        <f>D9+T9+AB9</f>
        <v>16065.671198</v>
      </c>
      <c r="AD9" s="167">
        <f>P9+Z9</f>
        <v>0</v>
      </c>
      <c r="AE9" s="152">
        <f>R9+AA9</f>
        <v>0</v>
      </c>
      <c r="AF9" s="152"/>
      <c r="AG9" s="25">
        <f>0.6*B9</f>
        <v>2589.9</v>
      </c>
      <c r="AH9" s="25">
        <f>B9*0.2*1.05826</f>
        <v>913.595858</v>
      </c>
      <c r="AI9" s="25">
        <f>0.8518*B9-0.01</f>
        <v>3676.7846999999997</v>
      </c>
      <c r="AJ9" s="25">
        <f>AI9*0.18</f>
        <v>661.821246</v>
      </c>
      <c r="AK9" s="25">
        <f>1.04*B9*0.9531</f>
        <v>4278.618396</v>
      </c>
      <c r="AL9" s="25">
        <f>AK9*0.18</f>
        <v>770.15131128</v>
      </c>
      <c r="AM9" s="25">
        <f>(1.91)*B9*0.9531</f>
        <v>7857.847246499999</v>
      </c>
      <c r="AN9" s="25">
        <f>AM9*0.18</f>
        <v>1414.4125043699996</v>
      </c>
      <c r="AO9" s="25"/>
      <c r="AP9" s="25">
        <f>AO9*0.18</f>
        <v>0</v>
      </c>
      <c r="AQ9" s="153"/>
      <c r="AR9" s="153"/>
      <c r="AS9" s="98">
        <v>5410.54</v>
      </c>
      <c r="AT9" s="98"/>
      <c r="AU9" s="98">
        <f>(AS9+AT9)*0.18</f>
        <v>973.8972</v>
      </c>
      <c r="AV9" s="154"/>
      <c r="AW9" s="155"/>
      <c r="AX9" s="25">
        <f>AV9*AW9*1.12*1.18</f>
        <v>0</v>
      </c>
      <c r="AY9" s="156"/>
      <c r="AZ9" s="157"/>
      <c r="BA9" s="157">
        <f>AZ9*0.18</f>
        <v>0</v>
      </c>
      <c r="BB9" s="157">
        <f>SUM(AG9:BA9)-AV9-AW9</f>
        <v>28547.56846215</v>
      </c>
      <c r="BC9" s="158"/>
      <c r="BD9" s="18">
        <f>BB9-(AF9-BC9)</f>
        <v>28547.56846215</v>
      </c>
      <c r="BE9" s="115">
        <f>AC9-BB9</f>
        <v>-12481.89726415</v>
      </c>
      <c r="BF9" s="116">
        <f>AB9-S9</f>
        <v>-23757.73</v>
      </c>
    </row>
    <row r="10" spans="1:58" ht="12.75">
      <c r="A10" s="14" t="s">
        <v>40</v>
      </c>
      <c r="B10" s="92">
        <v>4316.5</v>
      </c>
      <c r="C10" s="164">
        <f>B10*8.65</f>
        <v>37337.725</v>
      </c>
      <c r="D10" s="165">
        <f>C10*0.24088</f>
        <v>8993.911198</v>
      </c>
      <c r="E10" s="93">
        <v>2722.71</v>
      </c>
      <c r="F10" s="93">
        <v>796.1</v>
      </c>
      <c r="G10" s="93">
        <v>3675.75</v>
      </c>
      <c r="H10" s="93">
        <v>1074.72</v>
      </c>
      <c r="I10" s="93">
        <v>8848.9</v>
      </c>
      <c r="J10" s="93">
        <v>2587.3</v>
      </c>
      <c r="K10" s="93">
        <v>6126.15</v>
      </c>
      <c r="L10" s="93">
        <v>1791.22</v>
      </c>
      <c r="M10" s="90">
        <v>2178.15</v>
      </c>
      <c r="N10" s="90">
        <v>636.88</v>
      </c>
      <c r="O10" s="93">
        <v>0</v>
      </c>
      <c r="P10" s="93">
        <v>0</v>
      </c>
      <c r="Q10" s="93">
        <v>0</v>
      </c>
      <c r="R10" s="93">
        <v>0</v>
      </c>
      <c r="S10" s="93">
        <f>E10+G10+I10+K10+M10+O10+Q10</f>
        <v>23551.660000000003</v>
      </c>
      <c r="T10" s="150">
        <f>P10+N10+L10+J10+H10+F10+R10</f>
        <v>6886.22</v>
      </c>
      <c r="U10" s="93">
        <v>1786.25</v>
      </c>
      <c r="V10" s="93">
        <v>2411.47</v>
      </c>
      <c r="W10" s="93">
        <v>6160.85</v>
      </c>
      <c r="X10" s="93">
        <v>4019.04</v>
      </c>
      <c r="Y10" s="93">
        <v>1429.02</v>
      </c>
      <c r="Z10" s="93">
        <v>0</v>
      </c>
      <c r="AA10" s="100">
        <v>0</v>
      </c>
      <c r="AB10" s="168">
        <f>SUM(U10:AA10)</f>
        <v>15806.630000000001</v>
      </c>
      <c r="AC10" s="151">
        <f>D10+T10+AB10</f>
        <v>31686.761198</v>
      </c>
      <c r="AD10" s="152">
        <f>P10+Z10</f>
        <v>0</v>
      </c>
      <c r="AE10" s="152">
        <f>R10+AA10</f>
        <v>0</v>
      </c>
      <c r="AF10" s="152"/>
      <c r="AG10" s="25">
        <f>0.6*B10</f>
        <v>2589.9</v>
      </c>
      <c r="AH10" s="25">
        <f>B10*0.201</f>
        <v>867.6165000000001</v>
      </c>
      <c r="AI10" s="25">
        <f>0.8518*B10-0.01</f>
        <v>3676.7846999999997</v>
      </c>
      <c r="AJ10" s="25">
        <f>AI10*0.18</f>
        <v>661.821246</v>
      </c>
      <c r="AK10" s="25">
        <f>1.04*B10*0.9531</f>
        <v>4278.618396</v>
      </c>
      <c r="AL10" s="25">
        <f>AK10*0.18</f>
        <v>770.15131128</v>
      </c>
      <c r="AM10" s="25">
        <f>(1.91)*B10*0.9531</f>
        <v>7857.847246499999</v>
      </c>
      <c r="AN10" s="25">
        <f>AM10*0.18</f>
        <v>1414.4125043699996</v>
      </c>
      <c r="AO10" s="25"/>
      <c r="AP10" s="25">
        <f>AO10*0.18</f>
        <v>0</v>
      </c>
      <c r="AQ10" s="153"/>
      <c r="AR10" s="153"/>
      <c r="AS10" s="98">
        <v>2820</v>
      </c>
      <c r="AT10" s="98"/>
      <c r="AU10" s="98">
        <f>(AS10+AT10)*0.18</f>
        <v>507.59999999999997</v>
      </c>
      <c r="AV10" s="154"/>
      <c r="AW10" s="155"/>
      <c r="AX10" s="25">
        <f>AV10*AW10*1.12*1.18</f>
        <v>0</v>
      </c>
      <c r="AY10" s="156"/>
      <c r="AZ10" s="157"/>
      <c r="BA10" s="157">
        <f>AZ10*0.18</f>
        <v>0</v>
      </c>
      <c r="BB10" s="157">
        <f>SUM(AG10:BA10)-AV10-AW10</f>
        <v>25444.751904149998</v>
      </c>
      <c r="BC10" s="158"/>
      <c r="BD10" s="18">
        <f>BB10-(AF10-BC10)</f>
        <v>25444.751904149998</v>
      </c>
      <c r="BE10" s="115">
        <f>AC10-BB10</f>
        <v>6242.009293850002</v>
      </c>
      <c r="BF10" s="115">
        <f>AB10-S10</f>
        <v>-7745.0300000000025</v>
      </c>
    </row>
    <row r="11" spans="1:58" ht="13.5" thickBot="1">
      <c r="A11" s="48" t="s">
        <v>41</v>
      </c>
      <c r="B11" s="92">
        <v>4316.5</v>
      </c>
      <c r="C11" s="164">
        <f>B11*8.65</f>
        <v>37337.725</v>
      </c>
      <c r="D11" s="165">
        <f>C11*0.24035</f>
        <v>8974.12220375</v>
      </c>
      <c r="E11" s="93">
        <v>2710.38</v>
      </c>
      <c r="F11" s="93">
        <v>827.78</v>
      </c>
      <c r="G11" s="93">
        <v>3659.11</v>
      </c>
      <c r="H11" s="93">
        <v>1117.51</v>
      </c>
      <c r="I11" s="93">
        <v>8815.07</v>
      </c>
      <c r="J11" s="93">
        <v>2690.29</v>
      </c>
      <c r="K11" s="93">
        <v>6098.4</v>
      </c>
      <c r="L11" s="93">
        <v>1862.52</v>
      </c>
      <c r="M11" s="90">
        <v>2149.33</v>
      </c>
      <c r="N11" s="94">
        <v>662.21</v>
      </c>
      <c r="O11" s="100">
        <v>0</v>
      </c>
      <c r="P11" s="100">
        <v>0</v>
      </c>
      <c r="Q11" s="100">
        <v>0</v>
      </c>
      <c r="R11" s="100">
        <v>0</v>
      </c>
      <c r="S11" s="93">
        <f>E11+G11+I11+K11+M11+O11+Q11</f>
        <v>23432.29</v>
      </c>
      <c r="T11" s="150">
        <f>P11+N11+L11+J11+H11+F11+R11</f>
        <v>7160.31</v>
      </c>
      <c r="U11" s="93">
        <v>3005.44</v>
      </c>
      <c r="V11" s="93">
        <v>4057.74</v>
      </c>
      <c r="W11" s="93">
        <v>9731.83</v>
      </c>
      <c r="X11" s="93">
        <v>6763.38</v>
      </c>
      <c r="Y11" s="93">
        <v>2385.98</v>
      </c>
      <c r="Z11" s="93">
        <v>0</v>
      </c>
      <c r="AA11" s="100">
        <v>0</v>
      </c>
      <c r="AB11" s="168">
        <f>SUM(U11:AA11)</f>
        <v>25944.370000000003</v>
      </c>
      <c r="AC11" s="151">
        <f>D11+T11+AB11</f>
        <v>42078.802203750005</v>
      </c>
      <c r="AD11" s="152">
        <f>P11+Z11</f>
        <v>0</v>
      </c>
      <c r="AE11" s="152">
        <f>R11+AA11</f>
        <v>0</v>
      </c>
      <c r="AF11" s="152"/>
      <c r="AG11" s="25">
        <f>0.6*B11</f>
        <v>2589.9</v>
      </c>
      <c r="AH11" s="25">
        <f>B11*0.2*1.02524</f>
        <v>885.089692</v>
      </c>
      <c r="AI11" s="25">
        <f>0.84932*B11</f>
        <v>3666.08978</v>
      </c>
      <c r="AJ11" s="25">
        <f>AI11*0.18</f>
        <v>659.8961604</v>
      </c>
      <c r="AK11" s="25">
        <f>1.04*B11*0.95033</f>
        <v>4266.1834228</v>
      </c>
      <c r="AL11" s="25">
        <f>AK11*0.18</f>
        <v>767.9130161039999</v>
      </c>
      <c r="AM11" s="25">
        <f>(1.91)*B11*0.95033-0.1</f>
        <v>7834.909939949999</v>
      </c>
      <c r="AN11" s="25">
        <f>AM11*0.18</f>
        <v>1410.2837891909999</v>
      </c>
      <c r="AO11" s="25"/>
      <c r="AP11" s="25">
        <f>AO11*0.18</f>
        <v>0</v>
      </c>
      <c r="AQ11" s="153"/>
      <c r="AR11" s="153"/>
      <c r="AS11" s="98">
        <v>14627</v>
      </c>
      <c r="AT11" s="98"/>
      <c r="AU11" s="98">
        <f>(AS11+AT11)*0.18</f>
        <v>2632.86</v>
      </c>
      <c r="AV11" s="154"/>
      <c r="AW11" s="155"/>
      <c r="AX11" s="25">
        <f>AV11*AW11*1.12*1.18</f>
        <v>0</v>
      </c>
      <c r="AY11" s="156"/>
      <c r="AZ11" s="157"/>
      <c r="BA11" s="157">
        <f>AZ11*0.18</f>
        <v>0</v>
      </c>
      <c r="BB11" s="157">
        <f>SUM(AG11:BA11)-AV11-AW11</f>
        <v>39340.12580044499</v>
      </c>
      <c r="BC11" s="158"/>
      <c r="BD11" s="18">
        <f>BB11-(AF11-BC11)</f>
        <v>39340.12580044499</v>
      </c>
      <c r="BE11" s="115">
        <f>AC11-BB11</f>
        <v>2738.676403305013</v>
      </c>
      <c r="BF11" s="115">
        <f>AB11-S11</f>
        <v>2512.0800000000017</v>
      </c>
    </row>
    <row r="12" spans="1:58" s="24" customFormat="1" ht="15" customHeight="1" thickBot="1">
      <c r="A12" s="50" t="s">
        <v>3</v>
      </c>
      <c r="B12" s="82"/>
      <c r="C12" s="82">
        <f>SUM(C9:C11)</f>
        <v>112013.17499999999</v>
      </c>
      <c r="D12" s="82">
        <f aca="true" t="shared" si="0" ref="D12:BD12">SUM(D9:D11)</f>
        <v>26961.94459975</v>
      </c>
      <c r="E12" s="82">
        <f t="shared" si="0"/>
        <v>8179.62</v>
      </c>
      <c r="F12" s="82">
        <f t="shared" si="0"/>
        <v>2441.42</v>
      </c>
      <c r="G12" s="82">
        <f t="shared" si="0"/>
        <v>11042.78</v>
      </c>
      <c r="H12" s="82">
        <f t="shared" si="0"/>
        <v>3295.92</v>
      </c>
      <c r="I12" s="82">
        <f t="shared" si="0"/>
        <v>26590.28</v>
      </c>
      <c r="J12" s="82">
        <f t="shared" si="0"/>
        <v>7934.61</v>
      </c>
      <c r="K12" s="82">
        <f t="shared" si="0"/>
        <v>18404.29</v>
      </c>
      <c r="L12" s="82">
        <f t="shared" si="0"/>
        <v>5493.219999999999</v>
      </c>
      <c r="M12" s="82">
        <f t="shared" si="0"/>
        <v>6524.71</v>
      </c>
      <c r="N12" s="82">
        <f t="shared" si="0"/>
        <v>1953.12</v>
      </c>
      <c r="O12" s="82">
        <f t="shared" si="0"/>
        <v>0</v>
      </c>
      <c r="P12" s="82">
        <f t="shared" si="0"/>
        <v>0</v>
      </c>
      <c r="Q12" s="82">
        <f t="shared" si="0"/>
        <v>0</v>
      </c>
      <c r="R12" s="82">
        <f t="shared" si="0"/>
        <v>0</v>
      </c>
      <c r="S12" s="82">
        <f t="shared" si="0"/>
        <v>70741.68</v>
      </c>
      <c r="T12" s="82">
        <f t="shared" si="0"/>
        <v>21118.29</v>
      </c>
      <c r="U12" s="82">
        <f t="shared" si="0"/>
        <v>4791.6900000000005</v>
      </c>
      <c r="V12" s="82">
        <f t="shared" si="0"/>
        <v>6469.209999999999</v>
      </c>
      <c r="W12" s="82">
        <f t="shared" si="0"/>
        <v>15892.68</v>
      </c>
      <c r="X12" s="82">
        <f t="shared" si="0"/>
        <v>10782.42</v>
      </c>
      <c r="Y12" s="82">
        <f t="shared" si="0"/>
        <v>3815</v>
      </c>
      <c r="Z12" s="82">
        <f t="shared" si="0"/>
        <v>0</v>
      </c>
      <c r="AA12" s="82">
        <f t="shared" si="0"/>
        <v>0</v>
      </c>
      <c r="AB12" s="82">
        <f t="shared" si="0"/>
        <v>41751</v>
      </c>
      <c r="AC12" s="82">
        <f t="shared" si="0"/>
        <v>89831.23459975001</v>
      </c>
      <c r="AD12" s="82">
        <f t="shared" si="0"/>
        <v>0</v>
      </c>
      <c r="AE12" s="82">
        <f t="shared" si="0"/>
        <v>0</v>
      </c>
      <c r="AF12" s="82">
        <f t="shared" si="0"/>
        <v>0</v>
      </c>
      <c r="AG12" s="82">
        <f t="shared" si="0"/>
        <v>7769.700000000001</v>
      </c>
      <c r="AH12" s="82">
        <f t="shared" si="0"/>
        <v>2666.3020500000002</v>
      </c>
      <c r="AI12" s="82">
        <f t="shared" si="0"/>
        <v>11019.659179999999</v>
      </c>
      <c r="AJ12" s="82">
        <f t="shared" si="0"/>
        <v>1983.5386524</v>
      </c>
      <c r="AK12" s="82">
        <f t="shared" si="0"/>
        <v>12823.4202148</v>
      </c>
      <c r="AL12" s="82">
        <f t="shared" si="0"/>
        <v>2308.215638664</v>
      </c>
      <c r="AM12" s="82">
        <f t="shared" si="0"/>
        <v>23550.604432949996</v>
      </c>
      <c r="AN12" s="82">
        <f t="shared" si="0"/>
        <v>4239.108797931</v>
      </c>
      <c r="AO12" s="82">
        <f t="shared" si="0"/>
        <v>0</v>
      </c>
      <c r="AP12" s="82">
        <f t="shared" si="0"/>
        <v>0</v>
      </c>
      <c r="AQ12" s="117">
        <f t="shared" si="0"/>
        <v>0</v>
      </c>
      <c r="AR12" s="117">
        <f t="shared" si="0"/>
        <v>0</v>
      </c>
      <c r="AS12" s="118">
        <f t="shared" si="0"/>
        <v>22857.54</v>
      </c>
      <c r="AT12" s="118">
        <f t="shared" si="0"/>
        <v>0</v>
      </c>
      <c r="AU12" s="118">
        <f t="shared" si="0"/>
        <v>4114.3572</v>
      </c>
      <c r="AV12" s="82">
        <f t="shared" si="0"/>
        <v>0</v>
      </c>
      <c r="AW12" s="82">
        <f t="shared" si="0"/>
        <v>0</v>
      </c>
      <c r="AX12" s="82">
        <f t="shared" si="0"/>
        <v>0</v>
      </c>
      <c r="AY12" s="82">
        <f t="shared" si="0"/>
        <v>0</v>
      </c>
      <c r="AZ12" s="82">
        <f t="shared" si="0"/>
        <v>0</v>
      </c>
      <c r="BA12" s="82">
        <f t="shared" si="0"/>
        <v>0</v>
      </c>
      <c r="BB12" s="82">
        <f t="shared" si="0"/>
        <v>93332.446166745</v>
      </c>
      <c r="BC12" s="82">
        <f t="shared" si="0"/>
        <v>0</v>
      </c>
      <c r="BD12" s="82">
        <f t="shared" si="0"/>
        <v>93332.446166745</v>
      </c>
      <c r="BE12" s="82">
        <f>SUM(BE9:BE11)</f>
        <v>-3501.2115669949853</v>
      </c>
      <c r="BF12" s="119">
        <f>SUM(BF9:BF11)</f>
        <v>-28990.68</v>
      </c>
    </row>
    <row r="13" spans="1:58" ht="15" customHeight="1">
      <c r="A13" s="8" t="s">
        <v>42</v>
      </c>
      <c r="B13" s="79"/>
      <c r="C13" s="120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123"/>
      <c r="Q13" s="124"/>
      <c r="R13" s="124"/>
      <c r="S13" s="124"/>
      <c r="T13" s="124"/>
      <c r="U13" s="125"/>
      <c r="V13" s="125"/>
      <c r="W13" s="125"/>
      <c r="X13" s="125"/>
      <c r="Y13" s="125"/>
      <c r="Z13" s="125"/>
      <c r="AA13" s="126"/>
      <c r="AB13" s="126"/>
      <c r="AC13" s="127"/>
      <c r="AD13" s="128"/>
      <c r="AE13" s="128"/>
      <c r="AF13" s="61"/>
      <c r="AG13" s="61"/>
      <c r="AH13" s="61"/>
      <c r="AI13" s="61"/>
      <c r="AJ13" s="61"/>
      <c r="AK13" s="61"/>
      <c r="AL13" s="61"/>
      <c r="AM13" s="61"/>
      <c r="AN13" s="80"/>
      <c r="AO13" s="80"/>
      <c r="AP13" s="80"/>
      <c r="AQ13" s="129"/>
      <c r="AR13" s="130"/>
      <c r="AS13" s="131"/>
      <c r="AT13" s="131"/>
      <c r="AU13" s="132"/>
      <c r="AV13" s="61"/>
      <c r="AW13" s="61"/>
      <c r="AX13" s="62"/>
      <c r="AY13" s="1"/>
      <c r="AZ13" s="1"/>
      <c r="BA13" s="1"/>
      <c r="BB13" s="1"/>
      <c r="BC13" s="1"/>
      <c r="BD13" s="1"/>
      <c r="BE13" s="1"/>
      <c r="BF13" s="111"/>
    </row>
    <row r="14" spans="1:58" ht="12.75">
      <c r="A14" s="14" t="s">
        <v>43</v>
      </c>
      <c r="B14" s="159">
        <v>4316.5</v>
      </c>
      <c r="C14" s="164">
        <f aca="true" t="shared" si="1" ref="C14:C25">B14*8.65</f>
        <v>37337.725</v>
      </c>
      <c r="D14" s="165">
        <f>C14*0.125</f>
        <v>4667.215625</v>
      </c>
      <c r="E14" s="93">
        <v>2649.2</v>
      </c>
      <c r="F14" s="93">
        <v>819.04</v>
      </c>
      <c r="G14" s="93">
        <v>3576.51</v>
      </c>
      <c r="H14" s="93">
        <v>1105.72</v>
      </c>
      <c r="I14" s="93">
        <v>8610</v>
      </c>
      <c r="J14" s="93">
        <v>2661.88</v>
      </c>
      <c r="K14" s="93">
        <v>5960.75</v>
      </c>
      <c r="L14" s="93">
        <v>1842.85</v>
      </c>
      <c r="M14" s="90">
        <v>2119.37</v>
      </c>
      <c r="N14" s="94">
        <v>655.22</v>
      </c>
      <c r="O14" s="100">
        <v>0</v>
      </c>
      <c r="P14" s="100">
        <v>0</v>
      </c>
      <c r="Q14" s="100">
        <v>0</v>
      </c>
      <c r="R14" s="100">
        <v>0</v>
      </c>
      <c r="S14" s="93">
        <f aca="true" t="shared" si="2" ref="S14:S25">E14+G14+I14+K14+M14+O14+Q14</f>
        <v>22915.829999999998</v>
      </c>
      <c r="T14" s="150">
        <f aca="true" t="shared" si="3" ref="T14:T25">P14+N14+L14+J14+H14+F14+R14</f>
        <v>7084.71</v>
      </c>
      <c r="U14" s="93">
        <v>1912.23</v>
      </c>
      <c r="V14" s="93">
        <v>2581.37</v>
      </c>
      <c r="W14" s="93">
        <v>6081.64</v>
      </c>
      <c r="X14" s="93">
        <v>4301.54</v>
      </c>
      <c r="Y14" s="93">
        <v>1529.22</v>
      </c>
      <c r="Z14" s="93">
        <v>0</v>
      </c>
      <c r="AA14" s="100">
        <v>0</v>
      </c>
      <c r="AB14" s="169">
        <f aca="true" t="shared" si="4" ref="AB14:AB19">SUM(U14:AA14)</f>
        <v>16406.000000000004</v>
      </c>
      <c r="AC14" s="151">
        <f aca="true" t="shared" si="5" ref="AC14:AC22">D14+T14+AB14</f>
        <v>28157.925625000003</v>
      </c>
      <c r="AD14" s="152">
        <f aca="true" t="shared" si="6" ref="AD14:AD25">P14+Z14</f>
        <v>0</v>
      </c>
      <c r="AE14" s="152">
        <f aca="true" t="shared" si="7" ref="AE14:AE25">R14+AA14</f>
        <v>0</v>
      </c>
      <c r="AF14" s="152"/>
      <c r="AG14" s="25">
        <f>0.6*B14*0.9</f>
        <v>2330.9100000000003</v>
      </c>
      <c r="AH14" s="25">
        <f>B14*0.2*0.891</f>
        <v>769.2003000000001</v>
      </c>
      <c r="AI14" s="25">
        <f>0.85*B14*0.867-0.02</f>
        <v>3181.024675</v>
      </c>
      <c r="AJ14" s="25">
        <f aca="true" t="shared" si="8" ref="AJ14:AJ19">AI14*0.18</f>
        <v>572.5844415</v>
      </c>
      <c r="AK14" s="25">
        <f>0.83*B14*0.8685</f>
        <v>3111.5706075</v>
      </c>
      <c r="AL14" s="25">
        <f aca="true" t="shared" si="9" ref="AL14:AL19">AK14*0.18</f>
        <v>560.08270935</v>
      </c>
      <c r="AM14" s="25">
        <f>1.91*B14*0.8686</f>
        <v>7161.185729</v>
      </c>
      <c r="AN14" s="25">
        <f aca="true" t="shared" si="10" ref="AN14:AN19">AM14*0.18</f>
        <v>1289.01343122</v>
      </c>
      <c r="AO14" s="25"/>
      <c r="AP14" s="25">
        <f aca="true" t="shared" si="11" ref="AP14:AP19">AO14*0.18</f>
        <v>0</v>
      </c>
      <c r="AQ14" s="153"/>
      <c r="AR14" s="153">
        <f aca="true" t="shared" si="12" ref="AR14:AR19">AQ14*0.18</f>
        <v>0</v>
      </c>
      <c r="AS14" s="98">
        <v>18105</v>
      </c>
      <c r="AT14" s="98"/>
      <c r="AU14" s="98">
        <f>(AS14+AT14)*0.18+0.01</f>
        <v>3258.9100000000003</v>
      </c>
      <c r="AV14" s="154">
        <v>508</v>
      </c>
      <c r="AW14" s="155">
        <v>2.75</v>
      </c>
      <c r="AX14" s="25">
        <f aca="true" t="shared" si="13" ref="AX14:AX19">AV14*AW14*1.12*1.18</f>
        <v>1846.2752</v>
      </c>
      <c r="AY14" s="156"/>
      <c r="AZ14" s="157"/>
      <c r="BA14" s="157">
        <f>AZ14*0.18</f>
        <v>0</v>
      </c>
      <c r="BB14" s="157">
        <f>SUM(AG14:AU14)</f>
        <v>40339.48189357</v>
      </c>
      <c r="BC14" s="158"/>
      <c r="BD14" s="133">
        <f>BB14-(AF14-BC14)</f>
        <v>40339.48189357</v>
      </c>
      <c r="BE14" s="115">
        <f>(AC14-BB14)+(AF14-BC14)</f>
        <v>-12181.556268569999</v>
      </c>
      <c r="BF14" s="115">
        <f>AB14-S14</f>
        <v>-6509.8299999999945</v>
      </c>
    </row>
    <row r="15" spans="1:58" ht="12.75">
      <c r="A15" s="14" t="s">
        <v>44</v>
      </c>
      <c r="B15" s="159">
        <v>4316.5</v>
      </c>
      <c r="C15" s="164">
        <f t="shared" si="1"/>
        <v>37337.725</v>
      </c>
      <c r="D15" s="165">
        <f>C15*0.125</f>
        <v>4667.215625</v>
      </c>
      <c r="E15" s="93">
        <v>2746.85</v>
      </c>
      <c r="F15" s="93">
        <v>803.22</v>
      </c>
      <c r="G15" s="93">
        <v>3708.33</v>
      </c>
      <c r="H15" s="93">
        <v>1084.35</v>
      </c>
      <c r="I15" s="93">
        <v>8927.28</v>
      </c>
      <c r="J15" s="93">
        <v>2610.46</v>
      </c>
      <c r="K15" s="93">
        <v>6180.44</v>
      </c>
      <c r="L15" s="93">
        <v>1807.25</v>
      </c>
      <c r="M15" s="90">
        <v>2197.48</v>
      </c>
      <c r="N15" s="94">
        <v>642.56</v>
      </c>
      <c r="O15" s="100">
        <v>0</v>
      </c>
      <c r="P15" s="100">
        <v>0</v>
      </c>
      <c r="Q15" s="100">
        <v>0</v>
      </c>
      <c r="R15" s="100">
        <v>0</v>
      </c>
      <c r="S15" s="93">
        <f t="shared" si="2"/>
        <v>23760.38</v>
      </c>
      <c r="T15" s="150">
        <f t="shared" si="3"/>
        <v>6947.840000000001</v>
      </c>
      <c r="U15" s="93">
        <v>2098.85</v>
      </c>
      <c r="V15" s="93">
        <v>2833.47</v>
      </c>
      <c r="W15" s="93">
        <v>6787.79</v>
      </c>
      <c r="X15" s="93">
        <v>4722.47</v>
      </c>
      <c r="Y15" s="93">
        <v>1679.1</v>
      </c>
      <c r="Z15" s="93">
        <v>0</v>
      </c>
      <c r="AA15" s="100">
        <v>0</v>
      </c>
      <c r="AB15" s="168">
        <f t="shared" si="4"/>
        <v>18121.68</v>
      </c>
      <c r="AC15" s="151">
        <f t="shared" si="5"/>
        <v>29736.735625</v>
      </c>
      <c r="AD15" s="152">
        <f t="shared" si="6"/>
        <v>0</v>
      </c>
      <c r="AE15" s="152">
        <f t="shared" si="7"/>
        <v>0</v>
      </c>
      <c r="AF15" s="152"/>
      <c r="AG15" s="25">
        <f>0.6*B15*0.9</f>
        <v>2330.9100000000003</v>
      </c>
      <c r="AH15" s="25">
        <f>B15*0.2*0.9153</f>
        <v>790.17849</v>
      </c>
      <c r="AI15" s="25">
        <f>0.85*B15*0.867</f>
        <v>3181.044675</v>
      </c>
      <c r="AJ15" s="25">
        <f t="shared" si="8"/>
        <v>572.5880415</v>
      </c>
      <c r="AK15" s="25">
        <f>0.83*B15*0.8684</f>
        <v>3111.2123379999994</v>
      </c>
      <c r="AL15" s="25">
        <f t="shared" si="9"/>
        <v>560.0182208399999</v>
      </c>
      <c r="AM15" s="25">
        <f>(1.91)*B15*0.8684</f>
        <v>7159.536825999999</v>
      </c>
      <c r="AN15" s="25">
        <f t="shared" si="10"/>
        <v>1288.7166286799998</v>
      </c>
      <c r="AO15" s="25"/>
      <c r="AP15" s="25">
        <f t="shared" si="11"/>
        <v>0</v>
      </c>
      <c r="AQ15" s="153"/>
      <c r="AR15" s="153">
        <f t="shared" si="12"/>
        <v>0</v>
      </c>
      <c r="AS15" s="98">
        <v>9693</v>
      </c>
      <c r="AT15" s="98"/>
      <c r="AU15" s="98">
        <f>(AS15+AT15)*0.18</f>
        <v>1744.74</v>
      </c>
      <c r="AV15" s="154">
        <v>407</v>
      </c>
      <c r="AW15" s="155">
        <v>2.75</v>
      </c>
      <c r="AX15" s="25">
        <f t="shared" si="13"/>
        <v>1479.2008</v>
      </c>
      <c r="AY15" s="156"/>
      <c r="AZ15" s="157"/>
      <c r="BA15" s="157">
        <f>AZ15*0.18</f>
        <v>0</v>
      </c>
      <c r="BB15" s="157">
        <f>SUM(AG15:AU15)+AY15</f>
        <v>30431.94522002</v>
      </c>
      <c r="BC15" s="170"/>
      <c r="BD15" s="133">
        <f>BB15-(AF15-BC15)</f>
        <v>30431.94522002</v>
      </c>
      <c r="BE15" s="115">
        <f>(AC15-BB15)+(AF15-BC15)</f>
        <v>-695.2095950199982</v>
      </c>
      <c r="BF15" s="115">
        <f>AB15-S15</f>
        <v>-5638.700000000001</v>
      </c>
    </row>
    <row r="16" spans="1:58" ht="13.5" thickBot="1">
      <c r="A16" s="134" t="s">
        <v>45</v>
      </c>
      <c r="B16" s="171">
        <v>4316.5</v>
      </c>
      <c r="C16" s="164">
        <f t="shared" si="1"/>
        <v>37337.725</v>
      </c>
      <c r="D16" s="165">
        <f>C16*0.125</f>
        <v>4667.215625</v>
      </c>
      <c r="E16" s="93">
        <v>2655.61</v>
      </c>
      <c r="F16" s="93">
        <v>802</v>
      </c>
      <c r="G16" s="93">
        <v>3585.18</v>
      </c>
      <c r="H16" s="93">
        <v>1082.71</v>
      </c>
      <c r="I16" s="93">
        <v>8630.83</v>
      </c>
      <c r="J16" s="93">
        <v>2606.5</v>
      </c>
      <c r="K16" s="93">
        <v>5975.2</v>
      </c>
      <c r="L16" s="93">
        <v>1804.51</v>
      </c>
      <c r="M16" s="90">
        <v>2124.47</v>
      </c>
      <c r="N16" s="94">
        <v>641.59</v>
      </c>
      <c r="O16" s="100">
        <v>0</v>
      </c>
      <c r="P16" s="100">
        <v>0</v>
      </c>
      <c r="Q16" s="100">
        <v>0</v>
      </c>
      <c r="R16" s="100">
        <v>0</v>
      </c>
      <c r="S16" s="93">
        <f t="shared" si="2"/>
        <v>22971.29</v>
      </c>
      <c r="T16" s="150">
        <f t="shared" si="3"/>
        <v>6937.31</v>
      </c>
      <c r="U16" s="95">
        <v>2999.91</v>
      </c>
      <c r="V16" s="95">
        <v>4050.04</v>
      </c>
      <c r="W16" s="95">
        <v>9577.39</v>
      </c>
      <c r="X16" s="95">
        <v>6750.36</v>
      </c>
      <c r="Y16" s="95">
        <v>2400.19</v>
      </c>
      <c r="Z16" s="95">
        <v>0</v>
      </c>
      <c r="AA16" s="163">
        <v>0</v>
      </c>
      <c r="AB16" s="169">
        <f t="shared" si="4"/>
        <v>25777.89</v>
      </c>
      <c r="AC16" s="151">
        <f t="shared" si="5"/>
        <v>37382.415625</v>
      </c>
      <c r="AD16" s="152">
        <f t="shared" si="6"/>
        <v>0</v>
      </c>
      <c r="AE16" s="152">
        <f t="shared" si="7"/>
        <v>0</v>
      </c>
      <c r="AF16" s="152"/>
      <c r="AG16" s="25">
        <f>0.6*B16*0.9</f>
        <v>2330.9100000000003</v>
      </c>
      <c r="AH16" s="172">
        <f>B16*0.2*0.9082</f>
        <v>784.04906</v>
      </c>
      <c r="AI16" s="25">
        <f>0.85*B16*0.8675</f>
        <v>3182.8791875</v>
      </c>
      <c r="AJ16" s="25">
        <f t="shared" si="8"/>
        <v>572.91825375</v>
      </c>
      <c r="AK16" s="172">
        <f>0.83*B16*0.838</f>
        <v>3002.2984099999994</v>
      </c>
      <c r="AL16" s="25">
        <f t="shared" si="9"/>
        <v>540.4137137999999</v>
      </c>
      <c r="AM16" s="25">
        <f>1.91*B16*0.8381</f>
        <v>6909.728021499999</v>
      </c>
      <c r="AN16" s="25">
        <f t="shared" si="10"/>
        <v>1243.7510438699999</v>
      </c>
      <c r="AO16" s="25"/>
      <c r="AP16" s="25">
        <f t="shared" si="11"/>
        <v>0</v>
      </c>
      <c r="AQ16" s="153"/>
      <c r="AR16" s="153">
        <f t="shared" si="12"/>
        <v>0</v>
      </c>
      <c r="AS16" s="98">
        <v>3082</v>
      </c>
      <c r="AT16" s="98"/>
      <c r="AU16" s="98">
        <f>(AS16+AT16)*0.18</f>
        <v>554.76</v>
      </c>
      <c r="AV16" s="154">
        <v>383</v>
      </c>
      <c r="AW16" s="155">
        <v>2.75</v>
      </c>
      <c r="AX16" s="25">
        <f t="shared" si="13"/>
        <v>1391.9752</v>
      </c>
      <c r="AY16" s="156"/>
      <c r="AZ16" s="157"/>
      <c r="BA16" s="157">
        <f>AZ16*0.18</f>
        <v>0</v>
      </c>
      <c r="BB16" s="157">
        <f>SUM(AG16:AU16)</f>
        <v>22203.70769042</v>
      </c>
      <c r="BC16" s="170"/>
      <c r="BD16" s="135">
        <f>BB16-(AF16-BC16)</f>
        <v>22203.70769042</v>
      </c>
      <c r="BE16" s="136">
        <f>(AC16-BB16)+(AF16-BC16)</f>
        <v>15178.707934580001</v>
      </c>
      <c r="BF16" s="136">
        <f>AB16-S16</f>
        <v>2806.5999999999985</v>
      </c>
    </row>
    <row r="17" spans="1:58" ht="13.5" thickBot="1">
      <c r="A17" s="137" t="s">
        <v>46</v>
      </c>
      <c r="B17" s="173">
        <v>4316.5</v>
      </c>
      <c r="C17" s="164">
        <f t="shared" si="1"/>
        <v>37337.725</v>
      </c>
      <c r="D17" s="165">
        <f>C17*0.125</f>
        <v>4667.215625</v>
      </c>
      <c r="E17" s="95">
        <v>2758.4</v>
      </c>
      <c r="F17" s="95">
        <v>791.21</v>
      </c>
      <c r="G17" s="95">
        <v>3723.92</v>
      </c>
      <c r="H17" s="95">
        <v>1068.14</v>
      </c>
      <c r="I17" s="95">
        <v>8964.89</v>
      </c>
      <c r="J17" s="95">
        <v>2571.43</v>
      </c>
      <c r="K17" s="95">
        <v>6206.45</v>
      </c>
      <c r="L17" s="95">
        <v>1780.23</v>
      </c>
      <c r="M17" s="96">
        <v>2206.72</v>
      </c>
      <c r="N17" s="97">
        <v>632.96</v>
      </c>
      <c r="O17" s="163">
        <v>0</v>
      </c>
      <c r="P17" s="163">
        <v>0</v>
      </c>
      <c r="Q17" s="163">
        <v>0</v>
      </c>
      <c r="R17" s="163">
        <v>0</v>
      </c>
      <c r="S17" s="93">
        <f t="shared" si="2"/>
        <v>23860.38</v>
      </c>
      <c r="T17" s="150">
        <f t="shared" si="3"/>
        <v>6843.97</v>
      </c>
      <c r="U17" s="93">
        <v>2139.85</v>
      </c>
      <c r="V17" s="93">
        <v>2888.79</v>
      </c>
      <c r="W17" s="93">
        <v>7035.66</v>
      </c>
      <c r="X17" s="93">
        <v>4814.33</v>
      </c>
      <c r="Y17" s="93">
        <v>1711.54</v>
      </c>
      <c r="Z17" s="93">
        <v>0</v>
      </c>
      <c r="AA17" s="93">
        <v>0</v>
      </c>
      <c r="AB17" s="169">
        <f t="shared" si="4"/>
        <v>18590.17</v>
      </c>
      <c r="AC17" s="151">
        <f t="shared" si="5"/>
        <v>30101.355624999997</v>
      </c>
      <c r="AD17" s="152">
        <f t="shared" si="6"/>
        <v>0</v>
      </c>
      <c r="AE17" s="152">
        <f t="shared" si="7"/>
        <v>0</v>
      </c>
      <c r="AF17" s="152"/>
      <c r="AG17" s="25">
        <f>0.6*B17*0.9</f>
        <v>2330.9100000000003</v>
      </c>
      <c r="AH17" s="172">
        <f>B17*0.2*0.9234</f>
        <v>797.1712200000001</v>
      </c>
      <c r="AI17" s="25">
        <f>0.85*B17*0.8934</f>
        <v>3277.906935</v>
      </c>
      <c r="AJ17" s="25">
        <f t="shared" si="8"/>
        <v>590.0232483</v>
      </c>
      <c r="AK17" s="25">
        <f>0.83*B17*0.8498</f>
        <v>3044.5742109999997</v>
      </c>
      <c r="AL17" s="25">
        <f t="shared" si="9"/>
        <v>548.0233579799999</v>
      </c>
      <c r="AM17" s="25">
        <f>(1.91)*B17*0.8498</f>
        <v>7006.188846999999</v>
      </c>
      <c r="AN17" s="25">
        <f t="shared" si="10"/>
        <v>1261.11399246</v>
      </c>
      <c r="AO17" s="25"/>
      <c r="AP17" s="25">
        <f t="shared" si="11"/>
        <v>0</v>
      </c>
      <c r="AQ17" s="153"/>
      <c r="AR17" s="153">
        <f t="shared" si="12"/>
        <v>0</v>
      </c>
      <c r="AS17" s="98">
        <v>11085.49</v>
      </c>
      <c r="AT17" s="98"/>
      <c r="AU17" s="98">
        <f>(AS17+AT17)*0.18</f>
        <v>1995.3881999999999</v>
      </c>
      <c r="AV17" s="154">
        <v>307</v>
      </c>
      <c r="AW17" s="155">
        <v>2.75</v>
      </c>
      <c r="AX17" s="25">
        <f>AV17*AW17*1.12*1.18+AX14+AX15+AX16</f>
        <v>5833.212</v>
      </c>
      <c r="AY17" s="156"/>
      <c r="AZ17" s="157"/>
      <c r="BA17" s="157">
        <f>AZ17*0.18</f>
        <v>0</v>
      </c>
      <c r="BB17" s="157">
        <f aca="true" t="shared" si="14" ref="BB17:BB22">SUM(AG17:BA17)-AV17-AW17</f>
        <v>37770.00201174</v>
      </c>
      <c r="BC17" s="170"/>
      <c r="BD17" s="138">
        <f>(AC17-BA17)+(AF17-BB17)</f>
        <v>-7668.646386740002</v>
      </c>
      <c r="BE17" s="136">
        <f>(AC17-BB17)+(AF17-BC17)</f>
        <v>-7668.646386740002</v>
      </c>
      <c r="BF17" s="136">
        <f aca="true" t="shared" si="15" ref="BF17:BF25">AB17-S17</f>
        <v>-5270.210000000003</v>
      </c>
    </row>
    <row r="18" spans="1:58" ht="13.5" thickBot="1">
      <c r="A18" s="14" t="s">
        <v>47</v>
      </c>
      <c r="B18" s="171">
        <v>4316.5</v>
      </c>
      <c r="C18" s="164">
        <f t="shared" si="1"/>
        <v>37337.725</v>
      </c>
      <c r="D18" s="149">
        <f aca="true" t="shared" si="16" ref="D18:D25">C18-E18-F18-G18-H18-I18-J18-K18-L18-M18-N18</f>
        <v>3240.495000000001</v>
      </c>
      <c r="E18" s="95">
        <v>3064.28</v>
      </c>
      <c r="F18" s="95">
        <v>871.19</v>
      </c>
      <c r="G18" s="95">
        <v>4150.49</v>
      </c>
      <c r="H18" s="95">
        <v>1180.85</v>
      </c>
      <c r="I18" s="95">
        <v>9972.77</v>
      </c>
      <c r="J18" s="95">
        <v>2835.97</v>
      </c>
      <c r="K18" s="95">
        <v>6908.44</v>
      </c>
      <c r="L18" s="95">
        <v>1964.87</v>
      </c>
      <c r="M18" s="96">
        <v>2451.49</v>
      </c>
      <c r="N18" s="97">
        <v>696.88</v>
      </c>
      <c r="O18" s="163">
        <v>0</v>
      </c>
      <c r="P18" s="163">
        <v>0</v>
      </c>
      <c r="Q18" s="163">
        <v>0</v>
      </c>
      <c r="R18" s="163">
        <v>0</v>
      </c>
      <c r="S18" s="93">
        <f t="shared" si="2"/>
        <v>26547.47</v>
      </c>
      <c r="T18" s="150">
        <f t="shared" si="3"/>
        <v>7549.76</v>
      </c>
      <c r="U18" s="95">
        <v>2717.16</v>
      </c>
      <c r="V18" s="95">
        <v>3668.32</v>
      </c>
      <c r="W18" s="95">
        <v>8808.21</v>
      </c>
      <c r="X18" s="95">
        <v>6113.67</v>
      </c>
      <c r="Y18" s="95">
        <v>2173.8</v>
      </c>
      <c r="Z18" s="95">
        <v>0</v>
      </c>
      <c r="AA18" s="163">
        <v>0</v>
      </c>
      <c r="AB18" s="169">
        <f t="shared" si="4"/>
        <v>23481.16</v>
      </c>
      <c r="AC18" s="151">
        <f t="shared" si="5"/>
        <v>34271.415</v>
      </c>
      <c r="AD18" s="152">
        <f t="shared" si="6"/>
        <v>0</v>
      </c>
      <c r="AE18" s="152">
        <f t="shared" si="7"/>
        <v>0</v>
      </c>
      <c r="AF18" s="152"/>
      <c r="AG18" s="25">
        <f aca="true" t="shared" si="17" ref="AG18:AG25">0.6*B18</f>
        <v>2589.9</v>
      </c>
      <c r="AH18" s="25">
        <f>B18*0.2*1.01</f>
        <v>871.9330000000001</v>
      </c>
      <c r="AI18" s="25">
        <f>0.85*B18</f>
        <v>3669.025</v>
      </c>
      <c r="AJ18" s="25">
        <f t="shared" si="8"/>
        <v>660.4245</v>
      </c>
      <c r="AK18" s="25">
        <f>0.83*B18</f>
        <v>3582.6949999999997</v>
      </c>
      <c r="AL18" s="25">
        <f t="shared" si="9"/>
        <v>644.8851</v>
      </c>
      <c r="AM18" s="25">
        <f>(1.91)*B18</f>
        <v>8244.515</v>
      </c>
      <c r="AN18" s="25">
        <f t="shared" si="10"/>
        <v>1484.0126999999998</v>
      </c>
      <c r="AO18" s="25"/>
      <c r="AP18" s="25">
        <f t="shared" si="11"/>
        <v>0</v>
      </c>
      <c r="AQ18" s="153"/>
      <c r="AR18" s="153">
        <f t="shared" si="12"/>
        <v>0</v>
      </c>
      <c r="AS18" s="98">
        <v>2227.7</v>
      </c>
      <c r="AT18" s="98"/>
      <c r="AU18" s="98">
        <f>(AS18+AT18)*0.18</f>
        <v>400.98599999999993</v>
      </c>
      <c r="AV18" s="154">
        <v>263</v>
      </c>
      <c r="AW18" s="155">
        <v>2.75</v>
      </c>
      <c r="AX18" s="25">
        <f t="shared" si="13"/>
        <v>955.8472</v>
      </c>
      <c r="AY18" s="156"/>
      <c r="AZ18" s="157"/>
      <c r="BA18" s="157">
        <f aca="true" t="shared" si="18" ref="BA18:BA25">AZ18*0.18</f>
        <v>0</v>
      </c>
      <c r="BB18" s="157">
        <f t="shared" si="14"/>
        <v>25331.9235</v>
      </c>
      <c r="BC18" s="170"/>
      <c r="BD18" s="18">
        <f aca="true" t="shared" si="19" ref="BD18:BD25">BB18-(AF18-BC18)</f>
        <v>25331.9235</v>
      </c>
      <c r="BE18" s="136">
        <f>(AC18-BB18)+(AF18-BC18)</f>
        <v>8939.4915</v>
      </c>
      <c r="BF18" s="136">
        <f t="shared" si="15"/>
        <v>-3066.3100000000013</v>
      </c>
    </row>
    <row r="19" spans="1:58" ht="13.5" thickBot="1">
      <c r="A19" s="134" t="s">
        <v>48</v>
      </c>
      <c r="B19" s="171">
        <v>4316.5</v>
      </c>
      <c r="C19" s="164">
        <f t="shared" si="1"/>
        <v>37337.725</v>
      </c>
      <c r="D19" s="149">
        <f t="shared" si="16"/>
        <v>3282.8250000000035</v>
      </c>
      <c r="E19" s="95">
        <v>3064.68</v>
      </c>
      <c r="F19" s="95">
        <v>865.92</v>
      </c>
      <c r="G19" s="95">
        <v>4150.99</v>
      </c>
      <c r="H19" s="95">
        <v>1173.71</v>
      </c>
      <c r="I19" s="95">
        <v>9974.02</v>
      </c>
      <c r="J19" s="95">
        <v>2818.82</v>
      </c>
      <c r="K19" s="95">
        <v>6909.32</v>
      </c>
      <c r="L19" s="95">
        <v>1952.98</v>
      </c>
      <c r="M19" s="96">
        <v>2451.8</v>
      </c>
      <c r="N19" s="97">
        <v>692.66</v>
      </c>
      <c r="O19" s="163">
        <v>0</v>
      </c>
      <c r="P19" s="163">
        <v>0</v>
      </c>
      <c r="Q19" s="163">
        <v>0</v>
      </c>
      <c r="R19" s="163">
        <v>0</v>
      </c>
      <c r="S19" s="93">
        <f t="shared" si="2"/>
        <v>26550.81</v>
      </c>
      <c r="T19" s="150">
        <f t="shared" si="3"/>
        <v>7504.09</v>
      </c>
      <c r="U19" s="95">
        <v>2682.61</v>
      </c>
      <c r="V19" s="95">
        <v>3631.01</v>
      </c>
      <c r="W19" s="95">
        <v>8714.24</v>
      </c>
      <c r="X19" s="95">
        <v>6045.23</v>
      </c>
      <c r="Y19" s="95">
        <v>2146.15</v>
      </c>
      <c r="Z19" s="95">
        <v>0</v>
      </c>
      <c r="AA19" s="163">
        <v>0</v>
      </c>
      <c r="AB19" s="169">
        <f t="shared" si="4"/>
        <v>23219.24</v>
      </c>
      <c r="AC19" s="151">
        <f t="shared" si="5"/>
        <v>34006.155000000006</v>
      </c>
      <c r="AD19" s="152">
        <f t="shared" si="6"/>
        <v>0</v>
      </c>
      <c r="AE19" s="152">
        <f t="shared" si="7"/>
        <v>0</v>
      </c>
      <c r="AF19" s="152"/>
      <c r="AG19" s="25">
        <f t="shared" si="17"/>
        <v>2589.9</v>
      </c>
      <c r="AH19" s="25">
        <f>B19*0.2*1.01045</f>
        <v>872.3214850000002</v>
      </c>
      <c r="AI19" s="25">
        <f>0.85*B19</f>
        <v>3669.025</v>
      </c>
      <c r="AJ19" s="25">
        <f t="shared" si="8"/>
        <v>660.4245</v>
      </c>
      <c r="AK19" s="25">
        <f>0.83*B19</f>
        <v>3582.6949999999997</v>
      </c>
      <c r="AL19" s="25">
        <f t="shared" si="9"/>
        <v>644.8851</v>
      </c>
      <c r="AM19" s="25">
        <f>(1.91)*B19</f>
        <v>8244.515</v>
      </c>
      <c r="AN19" s="25">
        <f t="shared" si="10"/>
        <v>1484.0126999999998</v>
      </c>
      <c r="AO19" s="25"/>
      <c r="AP19" s="25">
        <f t="shared" si="11"/>
        <v>0</v>
      </c>
      <c r="AQ19" s="153"/>
      <c r="AR19" s="153">
        <f t="shared" si="12"/>
        <v>0</v>
      </c>
      <c r="AS19" s="98">
        <v>253.5</v>
      </c>
      <c r="AT19" s="98"/>
      <c r="AU19" s="98">
        <f>(AS19+AT19)*0.18</f>
        <v>45.629999999999995</v>
      </c>
      <c r="AV19" s="154">
        <v>233</v>
      </c>
      <c r="AW19" s="155">
        <v>2.75</v>
      </c>
      <c r="AX19" s="25">
        <f t="shared" si="13"/>
        <v>846.8152000000001</v>
      </c>
      <c r="AY19" s="156"/>
      <c r="AZ19" s="157"/>
      <c r="BA19" s="157">
        <f t="shared" si="18"/>
        <v>0</v>
      </c>
      <c r="BB19" s="157">
        <f t="shared" si="14"/>
        <v>22893.723985</v>
      </c>
      <c r="BC19" s="170"/>
      <c r="BD19" s="139">
        <f t="shared" si="19"/>
        <v>22893.723985</v>
      </c>
      <c r="BE19" s="136">
        <f aca="true" t="shared" si="20" ref="BE19:BE25">(AC19-BB19)+(AF19-BC19)</f>
        <v>11112.431015000006</v>
      </c>
      <c r="BF19" s="136">
        <f t="shared" si="15"/>
        <v>-3331.5699999999997</v>
      </c>
    </row>
    <row r="20" spans="1:58" ht="13.5" thickBot="1">
      <c r="A20" s="137" t="s">
        <v>49</v>
      </c>
      <c r="B20" s="159">
        <v>4317.6</v>
      </c>
      <c r="C20" s="164">
        <f t="shared" si="1"/>
        <v>37347.240000000005</v>
      </c>
      <c r="D20" s="149">
        <f t="shared" si="16"/>
        <v>3299.01000000001</v>
      </c>
      <c r="E20" s="95">
        <v>2994.11</v>
      </c>
      <c r="F20" s="95">
        <v>935.67</v>
      </c>
      <c r="G20" s="95">
        <v>4055.44</v>
      </c>
      <c r="H20" s="95">
        <v>1268.28</v>
      </c>
      <c r="I20" s="95">
        <v>9744.39</v>
      </c>
      <c r="J20" s="95">
        <v>3045.93</v>
      </c>
      <c r="K20" s="95">
        <v>6750.3</v>
      </c>
      <c r="L20" s="95">
        <v>2110.32</v>
      </c>
      <c r="M20" s="96">
        <v>2395.32</v>
      </c>
      <c r="N20" s="97">
        <v>748.47</v>
      </c>
      <c r="O20" s="163">
        <v>0</v>
      </c>
      <c r="P20" s="163">
        <v>0</v>
      </c>
      <c r="Q20" s="163">
        <v>0</v>
      </c>
      <c r="R20" s="163">
        <v>0</v>
      </c>
      <c r="S20" s="93">
        <f t="shared" si="2"/>
        <v>25939.559999999998</v>
      </c>
      <c r="T20" s="150">
        <f t="shared" si="3"/>
        <v>8108.669999999999</v>
      </c>
      <c r="U20" s="95">
        <v>3326.54</v>
      </c>
      <c r="V20" s="95">
        <v>4504.2</v>
      </c>
      <c r="W20" s="95">
        <v>10821.59</v>
      </c>
      <c r="X20" s="95">
        <v>7498.16</v>
      </c>
      <c r="Y20" s="95">
        <v>2661.18</v>
      </c>
      <c r="Z20" s="95">
        <v>0</v>
      </c>
      <c r="AA20" s="163">
        <v>0</v>
      </c>
      <c r="AB20" s="169">
        <f aca="true" t="shared" si="21" ref="AB20:AB25">SUM(U20:AA20)</f>
        <v>28811.670000000002</v>
      </c>
      <c r="AC20" s="151">
        <f t="shared" si="5"/>
        <v>40219.35000000001</v>
      </c>
      <c r="AD20" s="152">
        <f t="shared" si="6"/>
        <v>0</v>
      </c>
      <c r="AE20" s="152">
        <f t="shared" si="7"/>
        <v>0</v>
      </c>
      <c r="AF20" s="152"/>
      <c r="AG20" s="25">
        <f t="shared" si="17"/>
        <v>2590.56</v>
      </c>
      <c r="AH20" s="25">
        <f>B20*0.2*0.99426</f>
        <v>858.5633952000002</v>
      </c>
      <c r="AI20" s="25">
        <f>0.85*B20*0.9857</f>
        <v>3617.479572</v>
      </c>
      <c r="AJ20" s="25">
        <f aca="true" t="shared" si="22" ref="AJ20:AJ25">AI20*0.18</f>
        <v>651.14632296</v>
      </c>
      <c r="AK20" s="25">
        <f>0.83*B20*0.9905</f>
        <v>3549.5637240000005</v>
      </c>
      <c r="AL20" s="25">
        <f aca="true" t="shared" si="23" ref="AL20:AL25">AK20*0.18</f>
        <v>638.92147032</v>
      </c>
      <c r="AM20" s="25">
        <f>(1.91)*B20*0.9905</f>
        <v>8168.273148</v>
      </c>
      <c r="AN20" s="25">
        <f aca="true" t="shared" si="24" ref="AN20:AN25">AM20*0.18</f>
        <v>1470.28916664</v>
      </c>
      <c r="AO20" s="25"/>
      <c r="AP20" s="25">
        <f aca="true" t="shared" si="25" ref="AP20:AP25">AO20*0.18</f>
        <v>0</v>
      </c>
      <c r="AQ20" s="153"/>
      <c r="AR20" s="153">
        <f aca="true" t="shared" si="26" ref="AR20:AR25">AQ20*0.18</f>
        <v>0</v>
      </c>
      <c r="AS20" s="98">
        <v>476.2</v>
      </c>
      <c r="AT20" s="98"/>
      <c r="AU20" s="98">
        <f aca="true" t="shared" si="27" ref="AU20:AU25">(AS20+AT20)*0.18</f>
        <v>85.716</v>
      </c>
      <c r="AV20" s="154">
        <v>248</v>
      </c>
      <c r="AW20" s="155">
        <v>2.75</v>
      </c>
      <c r="AX20" s="25">
        <f aca="true" t="shared" si="28" ref="AX20:AX25">AV20*AW20*1.12*1.18</f>
        <v>901.3312</v>
      </c>
      <c r="AY20" s="156"/>
      <c r="AZ20" s="157"/>
      <c r="BA20" s="157">
        <f t="shared" si="18"/>
        <v>0</v>
      </c>
      <c r="BB20" s="157">
        <f t="shared" si="14"/>
        <v>23008.043999120004</v>
      </c>
      <c r="BC20" s="170"/>
      <c r="BD20" s="18">
        <f t="shared" si="19"/>
        <v>23008.043999120004</v>
      </c>
      <c r="BE20" s="136">
        <f t="shared" si="20"/>
        <v>17211.30600088001</v>
      </c>
      <c r="BF20" s="136">
        <f t="shared" si="15"/>
        <v>2872.110000000004</v>
      </c>
    </row>
    <row r="21" spans="1:58" ht="13.5" thickBot="1">
      <c r="A21" s="14" t="s">
        <v>50</v>
      </c>
      <c r="B21" s="159">
        <v>4317.6</v>
      </c>
      <c r="C21" s="164">
        <f t="shared" si="1"/>
        <v>37347.240000000005</v>
      </c>
      <c r="D21" s="149">
        <f t="shared" si="16"/>
        <v>3280.1300000000024</v>
      </c>
      <c r="E21" s="95">
        <v>3027.03</v>
      </c>
      <c r="F21" s="95">
        <v>904.94</v>
      </c>
      <c r="G21" s="95">
        <v>4100.04</v>
      </c>
      <c r="H21" s="95">
        <v>1226.62</v>
      </c>
      <c r="I21" s="95">
        <v>9851.56</v>
      </c>
      <c r="J21" s="95">
        <v>2945.87</v>
      </c>
      <c r="K21" s="95">
        <v>6824.47</v>
      </c>
      <c r="L21" s="95">
        <v>2041.02</v>
      </c>
      <c r="M21" s="96">
        <v>2421.67</v>
      </c>
      <c r="N21" s="97">
        <v>723.89</v>
      </c>
      <c r="O21" s="163">
        <v>0</v>
      </c>
      <c r="P21" s="163">
        <v>0</v>
      </c>
      <c r="Q21" s="95">
        <v>0</v>
      </c>
      <c r="R21" s="95">
        <v>0</v>
      </c>
      <c r="S21" s="93">
        <f t="shared" si="2"/>
        <v>26224.769999999997</v>
      </c>
      <c r="T21" s="150">
        <f t="shared" si="3"/>
        <v>7842.34</v>
      </c>
      <c r="U21" s="95">
        <v>2788.41</v>
      </c>
      <c r="V21" s="95">
        <v>3776.23</v>
      </c>
      <c r="W21" s="95">
        <v>9071.61</v>
      </c>
      <c r="X21" s="95">
        <v>6285.8</v>
      </c>
      <c r="Y21" s="95">
        <v>2230.84</v>
      </c>
      <c r="Z21" s="95">
        <v>0</v>
      </c>
      <c r="AA21" s="163">
        <v>0</v>
      </c>
      <c r="AB21" s="169">
        <f t="shared" si="21"/>
        <v>24152.89</v>
      </c>
      <c r="AC21" s="151">
        <f t="shared" si="5"/>
        <v>35275.36</v>
      </c>
      <c r="AD21" s="152">
        <f t="shared" si="6"/>
        <v>0</v>
      </c>
      <c r="AE21" s="152">
        <f t="shared" si="7"/>
        <v>0</v>
      </c>
      <c r="AF21" s="152"/>
      <c r="AG21" s="25">
        <f t="shared" si="17"/>
        <v>2590.56</v>
      </c>
      <c r="AH21" s="25">
        <f>B21*0.2*0.99875</f>
        <v>862.4406000000001</v>
      </c>
      <c r="AI21" s="25">
        <f>0.85*B21*0.98526</f>
        <v>3615.8647896</v>
      </c>
      <c r="AJ21" s="25">
        <f t="shared" si="22"/>
        <v>650.8556621280001</v>
      </c>
      <c r="AK21" s="25">
        <f>0.83*B21*0.99</f>
        <v>3547.77192</v>
      </c>
      <c r="AL21" s="25">
        <f t="shared" si="23"/>
        <v>638.5989456</v>
      </c>
      <c r="AM21" s="25">
        <f>(1.91)*B21*0.99</f>
        <v>8164.14984</v>
      </c>
      <c r="AN21" s="25">
        <f t="shared" si="24"/>
        <v>1469.5469712</v>
      </c>
      <c r="AO21" s="25"/>
      <c r="AP21" s="25">
        <f t="shared" si="25"/>
        <v>0</v>
      </c>
      <c r="AQ21" s="153"/>
      <c r="AR21" s="153">
        <f t="shared" si="26"/>
        <v>0</v>
      </c>
      <c r="AS21" s="98">
        <v>16617.73</v>
      </c>
      <c r="AT21" s="98"/>
      <c r="AU21" s="98">
        <f t="shared" si="27"/>
        <v>2991.1913999999997</v>
      </c>
      <c r="AV21" s="154">
        <v>293</v>
      </c>
      <c r="AW21" s="155">
        <v>2.75</v>
      </c>
      <c r="AX21" s="25">
        <f t="shared" si="28"/>
        <v>1064.8792</v>
      </c>
      <c r="AY21" s="156"/>
      <c r="AZ21" s="157"/>
      <c r="BA21" s="157">
        <f t="shared" si="18"/>
        <v>0</v>
      </c>
      <c r="BB21" s="157">
        <f t="shared" si="14"/>
        <v>42213.58932852801</v>
      </c>
      <c r="BC21" s="170"/>
      <c r="BD21" s="18">
        <f t="shared" si="19"/>
        <v>42213.58932852801</v>
      </c>
      <c r="BE21" s="136">
        <f t="shared" si="20"/>
        <v>-6938.22932852801</v>
      </c>
      <c r="BF21" s="136">
        <f t="shared" si="15"/>
        <v>-2071.8799999999974</v>
      </c>
    </row>
    <row r="22" spans="1:58" ht="13.5" thickBot="1">
      <c r="A22" s="134" t="s">
        <v>51</v>
      </c>
      <c r="B22" s="92">
        <v>4317.6</v>
      </c>
      <c r="C22" s="164">
        <f t="shared" si="1"/>
        <v>37347.240000000005</v>
      </c>
      <c r="D22" s="149">
        <f t="shared" si="16"/>
        <v>3270.310000000002</v>
      </c>
      <c r="E22" s="93">
        <v>3043.08</v>
      </c>
      <c r="F22" s="93">
        <v>890.04</v>
      </c>
      <c r="G22" s="93">
        <v>4121.77</v>
      </c>
      <c r="H22" s="93">
        <v>1206.4</v>
      </c>
      <c r="I22" s="93">
        <v>9903.76</v>
      </c>
      <c r="J22" s="93">
        <v>2897.36</v>
      </c>
      <c r="K22" s="93">
        <v>6860.66</v>
      </c>
      <c r="L22" s="93">
        <v>2007.37</v>
      </c>
      <c r="M22" s="90">
        <v>2434.54</v>
      </c>
      <c r="N22" s="94">
        <v>711.95</v>
      </c>
      <c r="O22" s="100">
        <v>0</v>
      </c>
      <c r="P22" s="100">
        <v>0</v>
      </c>
      <c r="Q22" s="100">
        <v>0</v>
      </c>
      <c r="R22" s="100">
        <v>0</v>
      </c>
      <c r="S22" s="93">
        <f t="shared" si="2"/>
        <v>26363.81</v>
      </c>
      <c r="T22" s="150">
        <f t="shared" si="3"/>
        <v>7713.12</v>
      </c>
      <c r="U22" s="93">
        <v>2588.18</v>
      </c>
      <c r="V22" s="93">
        <v>3504.52</v>
      </c>
      <c r="W22" s="93">
        <v>8422.17</v>
      </c>
      <c r="X22" s="93">
        <v>5834.06</v>
      </c>
      <c r="Y22" s="93">
        <v>2070.58</v>
      </c>
      <c r="Z22" s="93">
        <v>0</v>
      </c>
      <c r="AA22" s="100">
        <v>0</v>
      </c>
      <c r="AB22" s="169">
        <f t="shared" si="21"/>
        <v>22419.510000000002</v>
      </c>
      <c r="AC22" s="151">
        <f t="shared" si="5"/>
        <v>33402.94</v>
      </c>
      <c r="AD22" s="152">
        <f t="shared" si="6"/>
        <v>0</v>
      </c>
      <c r="AE22" s="152">
        <f t="shared" si="7"/>
        <v>0</v>
      </c>
      <c r="AF22" s="152"/>
      <c r="AG22" s="25">
        <f t="shared" si="17"/>
        <v>2590.56</v>
      </c>
      <c r="AH22" s="25">
        <f>B22*0.2*0.9997</f>
        <v>863.2609440000001</v>
      </c>
      <c r="AI22" s="25">
        <f>0.85*B22*0.98509</f>
        <v>3615.2408964</v>
      </c>
      <c r="AJ22" s="25">
        <f t="shared" si="22"/>
        <v>650.743361352</v>
      </c>
      <c r="AK22" s="25">
        <f>0.83*B22*0.98981</f>
        <v>3547.09103448</v>
      </c>
      <c r="AL22" s="25">
        <f t="shared" si="23"/>
        <v>638.4763862064</v>
      </c>
      <c r="AM22" s="25">
        <f>(1.91)*B22*0.9898</f>
        <v>8162.5005168</v>
      </c>
      <c r="AN22" s="25">
        <f t="shared" si="24"/>
        <v>1469.2500930239999</v>
      </c>
      <c r="AO22" s="25"/>
      <c r="AP22" s="25">
        <f t="shared" si="25"/>
        <v>0</v>
      </c>
      <c r="AQ22" s="153"/>
      <c r="AR22" s="153">
        <f t="shared" si="26"/>
        <v>0</v>
      </c>
      <c r="AS22" s="98"/>
      <c r="AT22" s="98"/>
      <c r="AU22" s="98">
        <f t="shared" si="27"/>
        <v>0</v>
      </c>
      <c r="AV22" s="154">
        <v>349</v>
      </c>
      <c r="AW22" s="155">
        <v>2.75</v>
      </c>
      <c r="AX22" s="25">
        <f t="shared" si="28"/>
        <v>1268.4056</v>
      </c>
      <c r="AY22" s="156"/>
      <c r="AZ22" s="157"/>
      <c r="BA22" s="157">
        <f t="shared" si="18"/>
        <v>0</v>
      </c>
      <c r="BB22" s="157">
        <f t="shared" si="14"/>
        <v>22805.528832262396</v>
      </c>
      <c r="BC22" s="170"/>
      <c r="BD22" s="139">
        <f t="shared" si="19"/>
        <v>22805.528832262396</v>
      </c>
      <c r="BE22" s="136">
        <f t="shared" si="20"/>
        <v>10597.411167737606</v>
      </c>
      <c r="BF22" s="136">
        <f t="shared" si="15"/>
        <v>-3944.2999999999993</v>
      </c>
    </row>
    <row r="23" spans="1:58" ht="13.5" thickBot="1">
      <c r="A23" s="140" t="s">
        <v>39</v>
      </c>
      <c r="B23" s="92">
        <v>4317.6</v>
      </c>
      <c r="C23" s="148">
        <f t="shared" si="1"/>
        <v>37347.240000000005</v>
      </c>
      <c r="D23" s="149">
        <f t="shared" si="16"/>
        <v>3264.620000000006</v>
      </c>
      <c r="E23" s="99">
        <f>3090.88+0.02</f>
        <v>3090.9</v>
      </c>
      <c r="F23" s="93">
        <v>842.9</v>
      </c>
      <c r="G23" s="93">
        <f>4186.49-0.01</f>
        <v>4186.48</v>
      </c>
      <c r="H23" s="93">
        <v>1142.55</v>
      </c>
      <c r="I23" s="93">
        <f>10059.3+0.01</f>
        <v>10059.31</v>
      </c>
      <c r="J23" s="93">
        <v>2743.95</v>
      </c>
      <c r="K23" s="93">
        <f>6968.4-0.01</f>
        <v>6968.389999999999</v>
      </c>
      <c r="L23" s="93">
        <v>1901.12</v>
      </c>
      <c r="M23" s="93">
        <f>2472.76-0.01</f>
        <v>2472.75</v>
      </c>
      <c r="N23" s="100">
        <v>674.27</v>
      </c>
      <c r="O23" s="100">
        <v>0</v>
      </c>
      <c r="P23" s="100">
        <v>0</v>
      </c>
      <c r="Q23" s="93">
        <v>0</v>
      </c>
      <c r="R23" s="93">
        <v>0</v>
      </c>
      <c r="S23" s="93">
        <f t="shared" si="2"/>
        <v>26777.829999999998</v>
      </c>
      <c r="T23" s="150">
        <f t="shared" si="3"/>
        <v>7304.79</v>
      </c>
      <c r="U23" s="101">
        <f>2573.61+1074.65</f>
        <v>3648.26</v>
      </c>
      <c r="V23" s="93">
        <f>3484.1+1455.74</f>
        <v>4939.84</v>
      </c>
      <c r="W23" s="93">
        <f>8366.13+3497.65</f>
        <v>11863.779999999999</v>
      </c>
      <c r="X23" s="93">
        <f>5800.39+2422.95</f>
        <v>8223.34</v>
      </c>
      <c r="Y23" s="93">
        <f>2058.87+859.75</f>
        <v>2918.62</v>
      </c>
      <c r="Z23" s="100">
        <v>0</v>
      </c>
      <c r="AA23" s="100">
        <v>0</v>
      </c>
      <c r="AB23" s="100">
        <f t="shared" si="21"/>
        <v>31593.839999999997</v>
      </c>
      <c r="AC23" s="151">
        <f>AB23+T23+D23</f>
        <v>42163.25</v>
      </c>
      <c r="AD23" s="152">
        <f t="shared" si="6"/>
        <v>0</v>
      </c>
      <c r="AE23" s="152">
        <f t="shared" si="7"/>
        <v>0</v>
      </c>
      <c r="AF23" s="152"/>
      <c r="AG23" s="25">
        <f t="shared" si="17"/>
        <v>2590.56</v>
      </c>
      <c r="AH23" s="25">
        <f>B23*0.2</f>
        <v>863.5200000000001</v>
      </c>
      <c r="AI23" s="25">
        <f>0.847*B23</f>
        <v>3657.0072</v>
      </c>
      <c r="AJ23" s="25">
        <f t="shared" si="22"/>
        <v>658.261296</v>
      </c>
      <c r="AK23" s="25">
        <f>0.83*B23</f>
        <v>3583.608</v>
      </c>
      <c r="AL23" s="25">
        <f t="shared" si="23"/>
        <v>645.04944</v>
      </c>
      <c r="AM23" s="25">
        <f>(2.25/1.18)*B23</f>
        <v>8232.71186440678</v>
      </c>
      <c r="AN23" s="25">
        <f t="shared" si="24"/>
        <v>1481.8881355932203</v>
      </c>
      <c r="AO23" s="25"/>
      <c r="AP23" s="25">
        <f t="shared" si="25"/>
        <v>0</v>
      </c>
      <c r="AQ23" s="153"/>
      <c r="AR23" s="153">
        <f t="shared" si="26"/>
        <v>0</v>
      </c>
      <c r="AS23" s="98">
        <v>250.25</v>
      </c>
      <c r="AT23" s="98"/>
      <c r="AU23" s="98">
        <f t="shared" si="27"/>
        <v>45.045</v>
      </c>
      <c r="AV23" s="154">
        <v>425</v>
      </c>
      <c r="AW23" s="155">
        <v>2.75</v>
      </c>
      <c r="AX23" s="25">
        <f t="shared" si="28"/>
        <v>1544.6200000000001</v>
      </c>
      <c r="AY23" s="156"/>
      <c r="AZ23" s="174"/>
      <c r="BA23" s="157">
        <f t="shared" si="18"/>
        <v>0</v>
      </c>
      <c r="BB23" s="157">
        <f>SUM(AG23:AU23)+AX23+AY23+AZ23+BA23</f>
        <v>23552.520935999997</v>
      </c>
      <c r="BC23" s="170"/>
      <c r="BD23" s="141">
        <f t="shared" si="19"/>
        <v>23552.520935999997</v>
      </c>
      <c r="BE23" s="136">
        <f t="shared" si="20"/>
        <v>18610.729064000003</v>
      </c>
      <c r="BF23" s="136">
        <f t="shared" si="15"/>
        <v>4816.009999999998</v>
      </c>
    </row>
    <row r="24" spans="1:58" ht="13.5" thickBot="1">
      <c r="A24" s="14" t="s">
        <v>40</v>
      </c>
      <c r="B24" s="159">
        <v>4330.6</v>
      </c>
      <c r="C24" s="148">
        <f t="shared" si="1"/>
        <v>37459.69</v>
      </c>
      <c r="D24" s="149">
        <f t="shared" si="16"/>
        <v>3377.069999999994</v>
      </c>
      <c r="E24" s="93">
        <v>3096.66</v>
      </c>
      <c r="F24" s="93">
        <v>837.14</v>
      </c>
      <c r="G24" s="93">
        <v>4194.29</v>
      </c>
      <c r="H24" s="93">
        <v>1134.74</v>
      </c>
      <c r="I24" s="93">
        <v>10078.06</v>
      </c>
      <c r="J24" s="93">
        <v>2725.2</v>
      </c>
      <c r="K24" s="93">
        <v>6981.38</v>
      </c>
      <c r="L24" s="93">
        <v>1888.13</v>
      </c>
      <c r="M24" s="90">
        <v>2477.36</v>
      </c>
      <c r="N24" s="94">
        <v>669.66</v>
      </c>
      <c r="O24" s="100">
        <v>0</v>
      </c>
      <c r="P24" s="100">
        <v>0</v>
      </c>
      <c r="Q24" s="100">
        <v>0</v>
      </c>
      <c r="R24" s="100">
        <v>0</v>
      </c>
      <c r="S24" s="93">
        <f t="shared" si="2"/>
        <v>26827.75</v>
      </c>
      <c r="T24" s="150">
        <f t="shared" si="3"/>
        <v>7254.87</v>
      </c>
      <c r="U24" s="93">
        <v>3651.7</v>
      </c>
      <c r="V24" s="93">
        <v>4944.12</v>
      </c>
      <c r="W24" s="93">
        <v>11881.59</v>
      </c>
      <c r="X24" s="93">
        <v>8230.68</v>
      </c>
      <c r="Y24" s="93">
        <v>2921.49</v>
      </c>
      <c r="Z24" s="93">
        <v>0</v>
      </c>
      <c r="AA24" s="100">
        <v>0</v>
      </c>
      <c r="AB24" s="100">
        <f t="shared" si="21"/>
        <v>31629.58</v>
      </c>
      <c r="AC24" s="151">
        <f>D24+T24+AB24</f>
        <v>42261.52</v>
      </c>
      <c r="AD24" s="152">
        <f t="shared" si="6"/>
        <v>0</v>
      </c>
      <c r="AE24" s="152">
        <f t="shared" si="7"/>
        <v>0</v>
      </c>
      <c r="AF24" s="152"/>
      <c r="AG24" s="25">
        <f t="shared" si="17"/>
        <v>2598.36</v>
      </c>
      <c r="AH24" s="25">
        <f>B24*0.2</f>
        <v>866.1200000000001</v>
      </c>
      <c r="AI24" s="25">
        <f>0.85*B24</f>
        <v>3681.01</v>
      </c>
      <c r="AJ24" s="25">
        <f t="shared" si="22"/>
        <v>662.5818</v>
      </c>
      <c r="AK24" s="25">
        <f>0.83*B24</f>
        <v>3594.398</v>
      </c>
      <c r="AL24" s="25">
        <f t="shared" si="23"/>
        <v>646.99164</v>
      </c>
      <c r="AM24" s="25">
        <f>(1.91)*B24</f>
        <v>8271.446</v>
      </c>
      <c r="AN24" s="25">
        <f t="shared" si="24"/>
        <v>1488.8602799999999</v>
      </c>
      <c r="AO24" s="25"/>
      <c r="AP24" s="25">
        <f t="shared" si="25"/>
        <v>0</v>
      </c>
      <c r="AQ24" s="153"/>
      <c r="AR24" s="153">
        <f t="shared" si="26"/>
        <v>0</v>
      </c>
      <c r="AS24" s="98">
        <v>1259</v>
      </c>
      <c r="AT24" s="98"/>
      <c r="AU24" s="98">
        <f t="shared" si="27"/>
        <v>226.62</v>
      </c>
      <c r="AV24" s="154">
        <v>470</v>
      </c>
      <c r="AW24" s="155">
        <v>2.75</v>
      </c>
      <c r="AX24" s="25">
        <f t="shared" si="28"/>
        <v>1708.1680000000001</v>
      </c>
      <c r="AY24" s="156"/>
      <c r="AZ24" s="157"/>
      <c r="BA24" s="157">
        <f t="shared" si="18"/>
        <v>0</v>
      </c>
      <c r="BB24" s="157">
        <f>SUM(AG24:AU24)+AX24+AY24+AZ24+BA24</f>
        <v>25003.555720000004</v>
      </c>
      <c r="BC24" s="158"/>
      <c r="BD24" s="62">
        <f t="shared" si="19"/>
        <v>25003.555720000004</v>
      </c>
      <c r="BE24" s="136">
        <f t="shared" si="20"/>
        <v>17257.964279999993</v>
      </c>
      <c r="BF24" s="136">
        <f t="shared" si="15"/>
        <v>4801.830000000002</v>
      </c>
    </row>
    <row r="25" spans="1:58" s="114" customFormat="1" ht="13.5" thickBot="1">
      <c r="A25" s="113" t="s">
        <v>41</v>
      </c>
      <c r="B25" s="92">
        <v>4329.2</v>
      </c>
      <c r="C25" s="148">
        <f t="shared" si="1"/>
        <v>37447.58</v>
      </c>
      <c r="D25" s="149">
        <f t="shared" si="16"/>
        <v>3355.720000000004</v>
      </c>
      <c r="E25" s="93">
        <v>3099.81</v>
      </c>
      <c r="F25" s="93">
        <v>835.1</v>
      </c>
      <c r="G25" s="93">
        <v>4198.43</v>
      </c>
      <c r="H25" s="93">
        <v>1131.97</v>
      </c>
      <c r="I25" s="93">
        <v>10088.19</v>
      </c>
      <c r="J25" s="93">
        <v>2718.56</v>
      </c>
      <c r="K25" s="93">
        <v>6988.36</v>
      </c>
      <c r="L25" s="93">
        <v>1883.53</v>
      </c>
      <c r="M25" s="90">
        <v>2479.88</v>
      </c>
      <c r="N25" s="94">
        <v>668.03</v>
      </c>
      <c r="O25" s="100">
        <v>0</v>
      </c>
      <c r="P25" s="100">
        <v>0</v>
      </c>
      <c r="Q25" s="100"/>
      <c r="R25" s="100"/>
      <c r="S25" s="93">
        <f t="shared" si="2"/>
        <v>26854.670000000002</v>
      </c>
      <c r="T25" s="150">
        <f t="shared" si="3"/>
        <v>7237.1900000000005</v>
      </c>
      <c r="U25" s="93">
        <v>3325.82</v>
      </c>
      <c r="V25" s="93">
        <v>4504.15</v>
      </c>
      <c r="W25" s="93">
        <v>10822.87</v>
      </c>
      <c r="X25" s="93">
        <v>7497.57</v>
      </c>
      <c r="Y25" s="93">
        <v>2660.67</v>
      </c>
      <c r="Z25" s="93">
        <v>0</v>
      </c>
      <c r="AA25" s="100">
        <v>0</v>
      </c>
      <c r="AB25" s="100">
        <f t="shared" si="21"/>
        <v>28811.08</v>
      </c>
      <c r="AC25" s="151">
        <f>D25+T25+AB25</f>
        <v>39403.990000000005</v>
      </c>
      <c r="AD25" s="152">
        <f t="shared" si="6"/>
        <v>0</v>
      </c>
      <c r="AE25" s="152">
        <f t="shared" si="7"/>
        <v>0</v>
      </c>
      <c r="AF25" s="152"/>
      <c r="AG25" s="25">
        <f t="shared" si="17"/>
        <v>2597.52</v>
      </c>
      <c r="AH25" s="25">
        <f>B25*0.2</f>
        <v>865.84</v>
      </c>
      <c r="AI25" s="25">
        <f>0.85*B25</f>
        <v>3679.8199999999997</v>
      </c>
      <c r="AJ25" s="25">
        <f t="shared" si="22"/>
        <v>662.3675999999999</v>
      </c>
      <c r="AK25" s="25">
        <f>0.83*B25</f>
        <v>3593.236</v>
      </c>
      <c r="AL25" s="25">
        <f t="shared" si="23"/>
        <v>646.78248</v>
      </c>
      <c r="AM25" s="25">
        <f>(1.91)*B25</f>
        <v>8268.771999999999</v>
      </c>
      <c r="AN25" s="25">
        <f t="shared" si="24"/>
        <v>1488.3789599999998</v>
      </c>
      <c r="AO25" s="25"/>
      <c r="AP25" s="25">
        <f t="shared" si="25"/>
        <v>0</v>
      </c>
      <c r="AQ25" s="153"/>
      <c r="AR25" s="153">
        <f t="shared" si="26"/>
        <v>0</v>
      </c>
      <c r="AS25" s="98">
        <v>5438</v>
      </c>
      <c r="AT25" s="98"/>
      <c r="AU25" s="98">
        <f t="shared" si="27"/>
        <v>978.8399999999999</v>
      </c>
      <c r="AV25" s="154">
        <v>514</v>
      </c>
      <c r="AW25" s="155">
        <v>2.75</v>
      </c>
      <c r="AX25" s="25">
        <f t="shared" si="28"/>
        <v>1868.0816</v>
      </c>
      <c r="AY25" s="156"/>
      <c r="AZ25" s="157"/>
      <c r="BA25" s="157">
        <f t="shared" si="18"/>
        <v>0</v>
      </c>
      <c r="BB25" s="157">
        <f>SUM(AG25:BA25)-AV25-AW25</f>
        <v>30087.638639999997</v>
      </c>
      <c r="BC25" s="158"/>
      <c r="BD25" s="91">
        <f t="shared" si="19"/>
        <v>30087.638639999997</v>
      </c>
      <c r="BE25" s="136">
        <f t="shared" si="20"/>
        <v>9316.351360000008</v>
      </c>
      <c r="BF25" s="136">
        <f t="shared" si="15"/>
        <v>1956.4099999999999</v>
      </c>
    </row>
    <row r="26" spans="1:58" s="24" customFormat="1" ht="12.75">
      <c r="A26" s="19" t="s">
        <v>3</v>
      </c>
      <c r="B26" s="20"/>
      <c r="C26" s="20">
        <f>SUM(C14:C25)</f>
        <v>448322.58</v>
      </c>
      <c r="D26" s="20">
        <f aca="true" t="shared" si="29" ref="D26:BF26">SUM(D14:D25)</f>
        <v>45039.04250000001</v>
      </c>
      <c r="E26" s="20">
        <f t="shared" si="29"/>
        <v>35290.61</v>
      </c>
      <c r="F26" s="20">
        <f t="shared" si="29"/>
        <v>10198.37</v>
      </c>
      <c r="G26" s="20">
        <f t="shared" si="29"/>
        <v>47751.869999999995</v>
      </c>
      <c r="H26" s="20">
        <f t="shared" si="29"/>
        <v>13806.039999999999</v>
      </c>
      <c r="I26" s="20">
        <f t="shared" si="29"/>
        <v>114805.06</v>
      </c>
      <c r="J26" s="20">
        <f t="shared" si="29"/>
        <v>33181.93</v>
      </c>
      <c r="K26" s="20">
        <f t="shared" si="29"/>
        <v>79514.16</v>
      </c>
      <c r="L26" s="20">
        <f t="shared" si="29"/>
        <v>22984.179999999997</v>
      </c>
      <c r="M26" s="20">
        <f t="shared" si="29"/>
        <v>28232.850000000002</v>
      </c>
      <c r="N26" s="20">
        <f t="shared" si="29"/>
        <v>8158.14</v>
      </c>
      <c r="O26" s="20">
        <f t="shared" si="29"/>
        <v>0</v>
      </c>
      <c r="P26" s="20">
        <f t="shared" si="29"/>
        <v>0</v>
      </c>
      <c r="Q26" s="20">
        <f t="shared" si="29"/>
        <v>0</v>
      </c>
      <c r="R26" s="20">
        <f t="shared" si="29"/>
        <v>0</v>
      </c>
      <c r="S26" s="20">
        <f t="shared" si="29"/>
        <v>305594.55</v>
      </c>
      <c r="T26" s="20">
        <f t="shared" si="29"/>
        <v>88328.65999999999</v>
      </c>
      <c r="U26" s="20">
        <f t="shared" si="29"/>
        <v>33879.520000000004</v>
      </c>
      <c r="V26" s="20">
        <f t="shared" si="29"/>
        <v>45826.060000000005</v>
      </c>
      <c r="W26" s="20">
        <f t="shared" si="29"/>
        <v>109888.54</v>
      </c>
      <c r="X26" s="20">
        <f t="shared" si="29"/>
        <v>76317.20999999999</v>
      </c>
      <c r="Y26" s="20">
        <f t="shared" si="29"/>
        <v>27103.379999999997</v>
      </c>
      <c r="Z26" s="20">
        <f t="shared" si="29"/>
        <v>0</v>
      </c>
      <c r="AA26" s="20">
        <f t="shared" si="29"/>
        <v>0</v>
      </c>
      <c r="AB26" s="20">
        <f t="shared" si="29"/>
        <v>293014.71</v>
      </c>
      <c r="AC26" s="20">
        <f t="shared" si="29"/>
        <v>426382.41250000003</v>
      </c>
      <c r="AD26" s="20">
        <f t="shared" si="29"/>
        <v>0</v>
      </c>
      <c r="AE26" s="20">
        <f t="shared" si="29"/>
        <v>0</v>
      </c>
      <c r="AF26" s="20">
        <f t="shared" si="29"/>
        <v>0</v>
      </c>
      <c r="AG26" s="20">
        <f t="shared" si="29"/>
        <v>30061.560000000005</v>
      </c>
      <c r="AH26" s="20">
        <f t="shared" si="29"/>
        <v>10064.598494200001</v>
      </c>
      <c r="AI26" s="20">
        <f t="shared" si="29"/>
        <v>42027.3279305</v>
      </c>
      <c r="AJ26" s="20">
        <f t="shared" si="29"/>
        <v>7564.919027489999</v>
      </c>
      <c r="AK26" s="20">
        <f t="shared" si="29"/>
        <v>40850.714244979994</v>
      </c>
      <c r="AL26" s="20">
        <f t="shared" si="29"/>
        <v>7353.128564096399</v>
      </c>
      <c r="AM26" s="20">
        <f t="shared" si="29"/>
        <v>93993.52279270678</v>
      </c>
      <c r="AN26" s="20">
        <f t="shared" si="29"/>
        <v>16918.83410268722</v>
      </c>
      <c r="AO26" s="20">
        <f t="shared" si="29"/>
        <v>0</v>
      </c>
      <c r="AP26" s="20">
        <f t="shared" si="29"/>
        <v>0</v>
      </c>
      <c r="AQ26" s="142">
        <f t="shared" si="29"/>
        <v>0</v>
      </c>
      <c r="AR26" s="142">
        <f t="shared" si="29"/>
        <v>0</v>
      </c>
      <c r="AS26" s="21">
        <f t="shared" si="29"/>
        <v>68487.87</v>
      </c>
      <c r="AT26" s="21">
        <f t="shared" si="29"/>
        <v>0</v>
      </c>
      <c r="AU26" s="21">
        <f t="shared" si="29"/>
        <v>12327.826600000002</v>
      </c>
      <c r="AV26" s="20">
        <f t="shared" si="29"/>
        <v>4400</v>
      </c>
      <c r="AW26" s="20">
        <f t="shared" si="29"/>
        <v>33</v>
      </c>
      <c r="AX26" s="20">
        <f t="shared" si="29"/>
        <v>20708.811200000004</v>
      </c>
      <c r="AY26" s="20">
        <f t="shared" si="29"/>
        <v>0</v>
      </c>
      <c r="AZ26" s="20">
        <f t="shared" si="29"/>
        <v>0</v>
      </c>
      <c r="BA26" s="20">
        <f t="shared" si="29"/>
        <v>0</v>
      </c>
      <c r="BB26" s="20">
        <f t="shared" si="29"/>
        <v>345641.66175666044</v>
      </c>
      <c r="BC26" s="20">
        <f t="shared" si="29"/>
        <v>0</v>
      </c>
      <c r="BD26" s="20">
        <f t="shared" si="29"/>
        <v>300203.0133581804</v>
      </c>
      <c r="BE26" s="20">
        <f t="shared" si="29"/>
        <v>80740.7507433396</v>
      </c>
      <c r="BF26" s="143">
        <f t="shared" si="29"/>
        <v>-12579.839999999993</v>
      </c>
    </row>
    <row r="27" spans="1:58" s="24" customFormat="1" ht="12.75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3"/>
      <c r="AE27" s="10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86"/>
      <c r="AQ27" s="144"/>
      <c r="AR27" s="144"/>
      <c r="AS27" s="86"/>
      <c r="AT27" s="86"/>
      <c r="AU27" s="86"/>
      <c r="AV27" s="23"/>
      <c r="AW27" s="23"/>
      <c r="AX27" s="102"/>
      <c r="AY27" s="58"/>
      <c r="AZ27" s="58"/>
      <c r="BA27" s="58"/>
      <c r="BB27" s="58"/>
      <c r="BC27" s="58"/>
      <c r="BD27" s="58"/>
      <c r="BE27" s="58"/>
      <c r="BF27" s="145"/>
    </row>
    <row r="28" spans="1:58" s="24" customFormat="1" ht="13.5" thickBot="1">
      <c r="A28" s="27" t="s">
        <v>52</v>
      </c>
      <c r="B28" s="28"/>
      <c r="C28" s="28">
        <f>C12+C26</f>
        <v>560335.755</v>
      </c>
      <c r="D28" s="28">
        <f aca="true" t="shared" si="30" ref="D28:BF28">D12+D26</f>
        <v>72000.98709975001</v>
      </c>
      <c r="E28" s="28">
        <f t="shared" si="30"/>
        <v>43470.23</v>
      </c>
      <c r="F28" s="28">
        <f t="shared" si="30"/>
        <v>12639.79</v>
      </c>
      <c r="G28" s="28">
        <f t="shared" si="30"/>
        <v>58794.649999999994</v>
      </c>
      <c r="H28" s="28">
        <f t="shared" si="30"/>
        <v>17101.96</v>
      </c>
      <c r="I28" s="28">
        <f t="shared" si="30"/>
        <v>141395.34</v>
      </c>
      <c r="J28" s="28">
        <f t="shared" si="30"/>
        <v>41116.54</v>
      </c>
      <c r="K28" s="28">
        <f t="shared" si="30"/>
        <v>97918.45000000001</v>
      </c>
      <c r="L28" s="28">
        <f t="shared" si="30"/>
        <v>28477.399999999994</v>
      </c>
      <c r="M28" s="28">
        <f t="shared" si="30"/>
        <v>34757.560000000005</v>
      </c>
      <c r="N28" s="28">
        <f t="shared" si="30"/>
        <v>10111.26</v>
      </c>
      <c r="O28" s="28">
        <f t="shared" si="30"/>
        <v>0</v>
      </c>
      <c r="P28" s="28">
        <f t="shared" si="30"/>
        <v>0</v>
      </c>
      <c r="Q28" s="28">
        <f t="shared" si="30"/>
        <v>0</v>
      </c>
      <c r="R28" s="28">
        <f t="shared" si="30"/>
        <v>0</v>
      </c>
      <c r="S28" s="28">
        <f t="shared" si="30"/>
        <v>376336.23</v>
      </c>
      <c r="T28" s="28">
        <f t="shared" si="30"/>
        <v>109446.94999999998</v>
      </c>
      <c r="U28" s="28">
        <f t="shared" si="30"/>
        <v>38671.21000000001</v>
      </c>
      <c r="V28" s="28">
        <f t="shared" si="30"/>
        <v>52295.270000000004</v>
      </c>
      <c r="W28" s="28">
        <f t="shared" si="30"/>
        <v>125781.22</v>
      </c>
      <c r="X28" s="28">
        <f t="shared" si="30"/>
        <v>87099.62999999999</v>
      </c>
      <c r="Y28" s="28">
        <f t="shared" si="30"/>
        <v>30918.379999999997</v>
      </c>
      <c r="Z28" s="28">
        <f t="shared" si="30"/>
        <v>0</v>
      </c>
      <c r="AA28" s="28">
        <f t="shared" si="30"/>
        <v>0</v>
      </c>
      <c r="AB28" s="28">
        <f t="shared" si="30"/>
        <v>334765.71</v>
      </c>
      <c r="AC28" s="28">
        <f t="shared" si="30"/>
        <v>516213.64709975006</v>
      </c>
      <c r="AD28" s="28">
        <f t="shared" si="30"/>
        <v>0</v>
      </c>
      <c r="AE28" s="28">
        <f t="shared" si="30"/>
        <v>0</v>
      </c>
      <c r="AF28" s="28">
        <f t="shared" si="30"/>
        <v>0</v>
      </c>
      <c r="AG28" s="28">
        <f t="shared" si="30"/>
        <v>37831.26000000001</v>
      </c>
      <c r="AH28" s="28">
        <f t="shared" si="30"/>
        <v>12730.900544200002</v>
      </c>
      <c r="AI28" s="28">
        <f t="shared" si="30"/>
        <v>53046.987110500006</v>
      </c>
      <c r="AJ28" s="28">
        <f>AJ12+AJ26</f>
        <v>9548.45767989</v>
      </c>
      <c r="AK28" s="28">
        <f t="shared" si="30"/>
        <v>53674.13445977999</v>
      </c>
      <c r="AL28" s="28">
        <f t="shared" si="30"/>
        <v>9661.3442027604</v>
      </c>
      <c r="AM28" s="28">
        <f t="shared" si="30"/>
        <v>117544.12722565678</v>
      </c>
      <c r="AN28" s="28">
        <f t="shared" si="30"/>
        <v>21157.942900618218</v>
      </c>
      <c r="AO28" s="28">
        <f t="shared" si="30"/>
        <v>0</v>
      </c>
      <c r="AP28" s="28">
        <f t="shared" si="30"/>
        <v>0</v>
      </c>
      <c r="AQ28" s="146">
        <f t="shared" si="30"/>
        <v>0</v>
      </c>
      <c r="AR28" s="146">
        <f t="shared" si="30"/>
        <v>0</v>
      </c>
      <c r="AS28" s="147">
        <f t="shared" si="30"/>
        <v>91345.41</v>
      </c>
      <c r="AT28" s="147">
        <f t="shared" si="30"/>
        <v>0</v>
      </c>
      <c r="AU28" s="147">
        <f t="shared" si="30"/>
        <v>16442.183800000003</v>
      </c>
      <c r="AV28" s="28">
        <f t="shared" si="30"/>
        <v>4400</v>
      </c>
      <c r="AW28" s="28">
        <f t="shared" si="30"/>
        <v>33</v>
      </c>
      <c r="AX28" s="28">
        <f t="shared" si="30"/>
        <v>20708.811200000004</v>
      </c>
      <c r="AY28" s="28">
        <f t="shared" si="30"/>
        <v>0</v>
      </c>
      <c r="AZ28" s="28">
        <f t="shared" si="30"/>
        <v>0</v>
      </c>
      <c r="BA28" s="28">
        <f t="shared" si="30"/>
        <v>0</v>
      </c>
      <c r="BB28" s="28">
        <f t="shared" si="30"/>
        <v>438974.1079234054</v>
      </c>
      <c r="BC28" s="28">
        <f t="shared" si="30"/>
        <v>0</v>
      </c>
      <c r="BD28" s="28">
        <f t="shared" si="30"/>
        <v>393535.4595249254</v>
      </c>
      <c r="BE28" s="28">
        <f t="shared" si="30"/>
        <v>77239.53917634461</v>
      </c>
      <c r="BF28" s="28">
        <f t="shared" si="30"/>
        <v>-41570.51999999999</v>
      </c>
    </row>
    <row r="29" spans="1:58" ht="15" customHeight="1">
      <c r="A29" s="8" t="s">
        <v>92</v>
      </c>
      <c r="B29" s="79"/>
      <c r="C29" s="120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  <c r="P29" s="123"/>
      <c r="Q29" s="124"/>
      <c r="R29" s="124"/>
      <c r="S29" s="124"/>
      <c r="T29" s="124"/>
      <c r="U29" s="125"/>
      <c r="V29" s="125"/>
      <c r="W29" s="125"/>
      <c r="X29" s="125"/>
      <c r="Y29" s="125"/>
      <c r="Z29" s="125"/>
      <c r="AA29" s="126"/>
      <c r="AB29" s="126"/>
      <c r="AC29" s="127"/>
      <c r="AD29" s="128"/>
      <c r="AE29" s="128"/>
      <c r="AF29" s="61"/>
      <c r="AG29" s="61"/>
      <c r="AH29" s="61"/>
      <c r="AI29" s="61"/>
      <c r="AJ29" s="61"/>
      <c r="AK29" s="61"/>
      <c r="AL29" s="61"/>
      <c r="AM29" s="61"/>
      <c r="AN29" s="80"/>
      <c r="AO29" s="80"/>
      <c r="AP29" s="80"/>
      <c r="AQ29" s="129"/>
      <c r="AR29" s="130"/>
      <c r="AS29" s="131"/>
      <c r="AT29" s="131"/>
      <c r="AU29" s="132"/>
      <c r="AV29" s="61"/>
      <c r="AW29" s="61"/>
      <c r="AX29" s="62"/>
      <c r="AY29" s="1"/>
      <c r="AZ29" s="1"/>
      <c r="BA29" s="1"/>
      <c r="BB29" s="1"/>
      <c r="BC29" s="1"/>
      <c r="BD29" s="1"/>
      <c r="BE29" s="1"/>
      <c r="BF29" s="111"/>
    </row>
    <row r="30" spans="1:58" ht="12.75">
      <c r="A30" s="14" t="s">
        <v>43</v>
      </c>
      <c r="B30" s="92">
        <v>4329.2</v>
      </c>
      <c r="C30" s="148">
        <f aca="true" t="shared" si="31" ref="C30:C41">B30*8.65</f>
        <v>37447.58</v>
      </c>
      <c r="D30" s="149">
        <f aca="true" t="shared" si="32" ref="D30:D41">C30-E30-F30-G30-H30-I30-J30-K30-L30-M30-N30</f>
        <v>3355.720000000004</v>
      </c>
      <c r="E30" s="93">
        <v>3099.81</v>
      </c>
      <c r="F30" s="93">
        <v>835.1</v>
      </c>
      <c r="G30" s="93">
        <v>4198.43</v>
      </c>
      <c r="H30" s="93">
        <v>1131.97</v>
      </c>
      <c r="I30" s="93">
        <v>10088.19</v>
      </c>
      <c r="J30" s="93">
        <v>2718.56</v>
      </c>
      <c r="K30" s="93">
        <v>6988.36</v>
      </c>
      <c r="L30" s="93">
        <v>1883.53</v>
      </c>
      <c r="M30" s="90">
        <v>2479.88</v>
      </c>
      <c r="N30" s="94">
        <v>668.03</v>
      </c>
      <c r="O30" s="100">
        <v>0</v>
      </c>
      <c r="P30" s="100">
        <v>0</v>
      </c>
      <c r="Q30" s="100"/>
      <c r="R30" s="100"/>
      <c r="S30" s="93">
        <f aca="true" t="shared" si="33" ref="S30:S41">E30+G30+I30+K30+M30+O30+Q30</f>
        <v>26854.670000000002</v>
      </c>
      <c r="T30" s="150">
        <f aca="true" t="shared" si="34" ref="T30:T41">P30+N30+L30+J30+H30+F30+R30</f>
        <v>7237.1900000000005</v>
      </c>
      <c r="U30" s="93">
        <v>2394.82</v>
      </c>
      <c r="V30" s="93">
        <v>3243.91</v>
      </c>
      <c r="W30" s="93">
        <v>7793.06</v>
      </c>
      <c r="X30" s="93">
        <v>5399.31</v>
      </c>
      <c r="Y30" s="93">
        <v>1915.92</v>
      </c>
      <c r="Z30" s="93">
        <v>0</v>
      </c>
      <c r="AA30" s="100">
        <v>0</v>
      </c>
      <c r="AB30" s="100">
        <f>SUM(U30:AA30)</f>
        <v>20747.020000000004</v>
      </c>
      <c r="AC30" s="151">
        <f aca="true" t="shared" si="35" ref="AC30:AC41">D30+T30+AB30</f>
        <v>31339.930000000008</v>
      </c>
      <c r="AD30" s="152">
        <f aca="true" t="shared" si="36" ref="AD30:AD41">P30+Z30</f>
        <v>0</v>
      </c>
      <c r="AE30" s="152">
        <f aca="true" t="shared" si="37" ref="AE30:AE41">R30+AA30</f>
        <v>0</v>
      </c>
      <c r="AF30" s="152"/>
      <c r="AG30" s="25">
        <f aca="true" t="shared" si="38" ref="AG30:AG41">0.6*B30</f>
        <v>2597.52</v>
      </c>
      <c r="AH30" s="25">
        <f aca="true" t="shared" si="39" ref="AH30:AH41">B30*0.2</f>
        <v>865.84</v>
      </c>
      <c r="AI30" s="25">
        <f aca="true" t="shared" si="40" ref="AI30:AI41">1*B30</f>
        <v>4329.2</v>
      </c>
      <c r="AJ30" s="25">
        <v>0</v>
      </c>
      <c r="AK30" s="25">
        <f aca="true" t="shared" si="41" ref="AK30:AK41">0.98*B30</f>
        <v>4242.616</v>
      </c>
      <c r="AL30" s="25">
        <v>0</v>
      </c>
      <c r="AM30" s="25">
        <f aca="true" t="shared" si="42" ref="AM30:AM41">2.25*B30</f>
        <v>9740.699999999999</v>
      </c>
      <c r="AN30" s="25">
        <v>0</v>
      </c>
      <c r="AO30" s="25"/>
      <c r="AP30" s="25">
        <v>0</v>
      </c>
      <c r="AQ30" s="153"/>
      <c r="AR30" s="153"/>
      <c r="AS30" s="98">
        <v>36815</v>
      </c>
      <c r="AT30" s="98"/>
      <c r="AU30" s="98">
        <f aca="true" t="shared" si="43" ref="AU30:AU41">AT30*0.18</f>
        <v>0</v>
      </c>
      <c r="AV30" s="154">
        <v>508</v>
      </c>
      <c r="AW30" s="155">
        <v>2.75</v>
      </c>
      <c r="AX30" s="25">
        <f aca="true" t="shared" si="44" ref="AX30:AX41">AV30*AW30*1.4</f>
        <v>1955.8</v>
      </c>
      <c r="AY30" s="156"/>
      <c r="AZ30" s="157"/>
      <c r="BA30" s="157">
        <f aca="true" t="shared" si="45" ref="BA30:BA41">AZ30*0.18</f>
        <v>0</v>
      </c>
      <c r="BB30" s="157">
        <f aca="true" t="shared" si="46" ref="BB30:BB41">SUM(AG30:BA30)-AV30-AW30</f>
        <v>60546.676</v>
      </c>
      <c r="BC30" s="158"/>
      <c r="BD30" s="133"/>
      <c r="BE30" s="115">
        <f>(AC30-BB30)+(AF30-BC30)</f>
        <v>-29206.745999999992</v>
      </c>
      <c r="BF30" s="115">
        <f>AB30-S30</f>
        <v>-6107.649999999998</v>
      </c>
    </row>
    <row r="31" spans="1:58" ht="12.75">
      <c r="A31" s="14" t="s">
        <v>44</v>
      </c>
      <c r="B31" s="159">
        <v>4316.2</v>
      </c>
      <c r="C31" s="148">
        <f t="shared" si="31"/>
        <v>37335.13</v>
      </c>
      <c r="D31" s="149">
        <f t="shared" si="32"/>
        <v>3326.680000000001</v>
      </c>
      <c r="E31" s="175">
        <v>3089.95</v>
      </c>
      <c r="F31" s="176">
        <v>835.1</v>
      </c>
      <c r="G31" s="176">
        <v>4185.75</v>
      </c>
      <c r="H31" s="176">
        <v>1131.97</v>
      </c>
      <c r="I31" s="176">
        <v>10056.79</v>
      </c>
      <c r="J31" s="176">
        <v>2718.56</v>
      </c>
      <c r="K31" s="176">
        <v>6966.82</v>
      </c>
      <c r="L31" s="176">
        <v>1883.53</v>
      </c>
      <c r="M31" s="177">
        <v>2471.95</v>
      </c>
      <c r="N31" s="178">
        <v>668.03</v>
      </c>
      <c r="O31" s="179">
        <v>0</v>
      </c>
      <c r="P31" s="179">
        <v>0</v>
      </c>
      <c r="Q31" s="179">
        <v>0</v>
      </c>
      <c r="R31" s="179">
        <v>0</v>
      </c>
      <c r="S31" s="93">
        <f t="shared" si="33"/>
        <v>26771.260000000002</v>
      </c>
      <c r="T31" s="150">
        <f t="shared" si="34"/>
        <v>7237.1900000000005</v>
      </c>
      <c r="U31" s="93">
        <v>2613.47</v>
      </c>
      <c r="V31" s="93">
        <v>3539.34</v>
      </c>
      <c r="W31" s="93">
        <v>8504.36</v>
      </c>
      <c r="X31" s="93">
        <v>5891.46</v>
      </c>
      <c r="Y31" s="93">
        <v>2090.79</v>
      </c>
      <c r="Z31" s="93">
        <v>0</v>
      </c>
      <c r="AA31" s="100">
        <v>0</v>
      </c>
      <c r="AB31" s="100">
        <f>SUM(U31:AA31)</f>
        <v>22639.420000000002</v>
      </c>
      <c r="AC31" s="151">
        <f t="shared" si="35"/>
        <v>33203.29000000001</v>
      </c>
      <c r="AD31" s="152">
        <f t="shared" si="36"/>
        <v>0</v>
      </c>
      <c r="AE31" s="152">
        <f t="shared" si="37"/>
        <v>0</v>
      </c>
      <c r="AF31" s="152"/>
      <c r="AG31" s="25">
        <f t="shared" si="38"/>
        <v>2589.72</v>
      </c>
      <c r="AH31" s="25">
        <f t="shared" si="39"/>
        <v>863.24</v>
      </c>
      <c r="AI31" s="25">
        <f t="shared" si="40"/>
        <v>4316.2</v>
      </c>
      <c r="AJ31" s="25">
        <v>0</v>
      </c>
      <c r="AK31" s="25">
        <f t="shared" si="41"/>
        <v>4229.875999999999</v>
      </c>
      <c r="AL31" s="25">
        <v>0</v>
      </c>
      <c r="AM31" s="25">
        <f t="shared" si="42"/>
        <v>9711.449999999999</v>
      </c>
      <c r="AN31" s="25">
        <v>0</v>
      </c>
      <c r="AO31" s="25">
        <f>865.8*5.4</f>
        <v>4675.32</v>
      </c>
      <c r="AP31" s="25"/>
      <c r="AQ31" s="153"/>
      <c r="AR31" s="153"/>
      <c r="AS31" s="98">
        <v>1110</v>
      </c>
      <c r="AT31" s="98"/>
      <c r="AU31" s="98">
        <f t="shared" si="43"/>
        <v>0</v>
      </c>
      <c r="AV31" s="154">
        <v>407</v>
      </c>
      <c r="AW31" s="155">
        <v>2.75</v>
      </c>
      <c r="AX31" s="25">
        <f t="shared" si="44"/>
        <v>1566.9499999999998</v>
      </c>
      <c r="AY31" s="156"/>
      <c r="AZ31" s="157"/>
      <c r="BA31" s="157">
        <f t="shared" si="45"/>
        <v>0</v>
      </c>
      <c r="BB31" s="157">
        <f t="shared" si="46"/>
        <v>29062.755999999998</v>
      </c>
      <c r="BC31" s="158"/>
      <c r="BD31" s="133"/>
      <c r="BE31" s="115">
        <f aca="true" t="shared" si="47" ref="BE31:BE41">(AC31-BB31)+(AF31-BC31)</f>
        <v>4140.534000000011</v>
      </c>
      <c r="BF31" s="115">
        <f aca="true" t="shared" si="48" ref="BF31:BF41">AB31-S31</f>
        <v>-4131.84</v>
      </c>
    </row>
    <row r="32" spans="1:58" ht="13.5" thickBot="1">
      <c r="A32" s="134" t="s">
        <v>45</v>
      </c>
      <c r="B32" s="92">
        <v>4316.2</v>
      </c>
      <c r="C32" s="148">
        <f t="shared" si="31"/>
        <v>37335.13</v>
      </c>
      <c r="D32" s="149">
        <f t="shared" si="32"/>
        <v>3291.26</v>
      </c>
      <c r="E32" s="93">
        <v>3094.17</v>
      </c>
      <c r="F32" s="93">
        <v>835.1</v>
      </c>
      <c r="G32" s="93">
        <v>4191.08</v>
      </c>
      <c r="H32" s="93">
        <v>1131.97</v>
      </c>
      <c r="I32" s="93">
        <v>10070.13</v>
      </c>
      <c r="J32" s="93">
        <v>2718.56</v>
      </c>
      <c r="K32" s="93">
        <v>6975.94</v>
      </c>
      <c r="L32" s="93">
        <v>1883.53</v>
      </c>
      <c r="M32" s="90">
        <v>2475.36</v>
      </c>
      <c r="N32" s="94">
        <v>668.03</v>
      </c>
      <c r="O32" s="100">
        <v>0</v>
      </c>
      <c r="P32" s="100">
        <v>0</v>
      </c>
      <c r="Q32" s="100">
        <v>0</v>
      </c>
      <c r="R32" s="100">
        <v>0</v>
      </c>
      <c r="S32" s="93">
        <f t="shared" si="33"/>
        <v>26806.679999999997</v>
      </c>
      <c r="T32" s="150">
        <f t="shared" si="34"/>
        <v>7237.1900000000005</v>
      </c>
      <c r="U32" s="93">
        <v>2987.95</v>
      </c>
      <c r="V32" s="93">
        <v>4047.19</v>
      </c>
      <c r="W32" s="93">
        <v>9724.44</v>
      </c>
      <c r="X32" s="93">
        <v>6736.43</v>
      </c>
      <c r="Y32" s="93">
        <v>2390.4</v>
      </c>
      <c r="Z32" s="93">
        <v>0</v>
      </c>
      <c r="AA32" s="100">
        <v>0</v>
      </c>
      <c r="AB32" s="100">
        <f>SUM(U32:AA32)</f>
        <v>25886.410000000003</v>
      </c>
      <c r="AC32" s="151">
        <f t="shared" si="35"/>
        <v>36414.86</v>
      </c>
      <c r="AD32" s="152">
        <f t="shared" si="36"/>
        <v>0</v>
      </c>
      <c r="AE32" s="152">
        <f t="shared" si="37"/>
        <v>0</v>
      </c>
      <c r="AF32" s="152"/>
      <c r="AG32" s="25">
        <f t="shared" si="38"/>
        <v>2589.72</v>
      </c>
      <c r="AH32" s="25">
        <f t="shared" si="39"/>
        <v>863.24</v>
      </c>
      <c r="AI32" s="25">
        <f t="shared" si="40"/>
        <v>4316.2</v>
      </c>
      <c r="AJ32" s="25">
        <v>0</v>
      </c>
      <c r="AK32" s="25">
        <f t="shared" si="41"/>
        <v>4229.875999999999</v>
      </c>
      <c r="AL32" s="25">
        <v>0</v>
      </c>
      <c r="AM32" s="25">
        <f t="shared" si="42"/>
        <v>9711.449999999999</v>
      </c>
      <c r="AN32" s="25">
        <v>0</v>
      </c>
      <c r="AO32" s="25"/>
      <c r="AP32" s="25"/>
      <c r="AQ32" s="153"/>
      <c r="AR32" s="153"/>
      <c r="AS32" s="98">
        <v>922</v>
      </c>
      <c r="AT32" s="98"/>
      <c r="AU32" s="98">
        <f t="shared" si="43"/>
        <v>0</v>
      </c>
      <c r="AV32" s="154">
        <v>383</v>
      </c>
      <c r="AW32" s="155">
        <v>2.75</v>
      </c>
      <c r="AX32" s="25">
        <f t="shared" si="44"/>
        <v>1474.55</v>
      </c>
      <c r="AY32" s="156"/>
      <c r="AZ32" s="157"/>
      <c r="BA32" s="157">
        <f t="shared" si="45"/>
        <v>0</v>
      </c>
      <c r="BB32" s="157">
        <f t="shared" si="46"/>
        <v>24107.035999999996</v>
      </c>
      <c r="BC32" s="158"/>
      <c r="BD32" s="135"/>
      <c r="BE32" s="115">
        <f t="shared" si="47"/>
        <v>12307.824000000004</v>
      </c>
      <c r="BF32" s="115">
        <f t="shared" si="48"/>
        <v>-920.2699999999932</v>
      </c>
    </row>
    <row r="33" spans="1:58" ht="12.75">
      <c r="A33" s="137" t="s">
        <v>46</v>
      </c>
      <c r="B33" s="92">
        <v>4316.2</v>
      </c>
      <c r="C33" s="148">
        <f t="shared" si="31"/>
        <v>37335.13</v>
      </c>
      <c r="D33" s="149">
        <f t="shared" si="32"/>
        <v>3292.4699999999984</v>
      </c>
      <c r="E33" s="93">
        <v>3107.35</v>
      </c>
      <c r="F33" s="93">
        <v>821.78</v>
      </c>
      <c r="G33" s="93">
        <v>4208.96</v>
      </c>
      <c r="H33" s="93">
        <v>1113.91</v>
      </c>
      <c r="I33" s="93">
        <v>10113.03</v>
      </c>
      <c r="J33" s="93">
        <v>2675.2</v>
      </c>
      <c r="K33" s="93">
        <v>7005.66</v>
      </c>
      <c r="L33" s="93">
        <v>1853.49</v>
      </c>
      <c r="M33" s="90">
        <v>2485.91</v>
      </c>
      <c r="N33" s="94">
        <v>657.37</v>
      </c>
      <c r="O33" s="100">
        <v>0</v>
      </c>
      <c r="P33" s="100">
        <v>0</v>
      </c>
      <c r="Q33" s="100"/>
      <c r="R33" s="100"/>
      <c r="S33" s="93">
        <f t="shared" si="33"/>
        <v>26920.91</v>
      </c>
      <c r="T33" s="150">
        <f t="shared" si="34"/>
        <v>7121.749999999999</v>
      </c>
      <c r="U33" s="93">
        <v>2139.85</v>
      </c>
      <c r="V33" s="93">
        <v>2888.79</v>
      </c>
      <c r="W33" s="93">
        <v>7035.66</v>
      </c>
      <c r="X33" s="93">
        <v>4814.33</v>
      </c>
      <c r="Y33" s="93">
        <v>1711.54</v>
      </c>
      <c r="Z33" s="93">
        <v>0</v>
      </c>
      <c r="AA33" s="100">
        <v>0</v>
      </c>
      <c r="AB33" s="100">
        <f>SUM(U33:AA33)</f>
        <v>18590.17</v>
      </c>
      <c r="AC33" s="151">
        <f t="shared" si="35"/>
        <v>29004.389999999996</v>
      </c>
      <c r="AD33" s="152">
        <f t="shared" si="36"/>
        <v>0</v>
      </c>
      <c r="AE33" s="152">
        <f t="shared" si="37"/>
        <v>0</v>
      </c>
      <c r="AF33" s="152"/>
      <c r="AG33" s="25">
        <f t="shared" si="38"/>
        <v>2589.72</v>
      </c>
      <c r="AH33" s="25">
        <f t="shared" si="39"/>
        <v>863.24</v>
      </c>
      <c r="AI33" s="25">
        <f t="shared" si="40"/>
        <v>4316.2</v>
      </c>
      <c r="AJ33" s="25">
        <v>0</v>
      </c>
      <c r="AK33" s="25">
        <f t="shared" si="41"/>
        <v>4229.875999999999</v>
      </c>
      <c r="AL33" s="25">
        <v>0</v>
      </c>
      <c r="AM33" s="25">
        <f t="shared" si="42"/>
        <v>9711.449999999999</v>
      </c>
      <c r="AN33" s="25">
        <v>0</v>
      </c>
      <c r="AO33" s="25"/>
      <c r="AP33" s="25"/>
      <c r="AQ33" s="153"/>
      <c r="AR33" s="153"/>
      <c r="AS33" s="98">
        <v>12392</v>
      </c>
      <c r="AT33" s="98">
        <f>119+1476+292+850</f>
        <v>2737</v>
      </c>
      <c r="AU33" s="98">
        <f t="shared" si="43"/>
        <v>492.65999999999997</v>
      </c>
      <c r="AV33" s="154">
        <v>307</v>
      </c>
      <c r="AW33" s="155">
        <v>2.75</v>
      </c>
      <c r="AX33" s="25">
        <f t="shared" si="44"/>
        <v>1181.9499999999998</v>
      </c>
      <c r="AY33" s="156"/>
      <c r="AZ33" s="157"/>
      <c r="BA33" s="157">
        <f t="shared" si="45"/>
        <v>0</v>
      </c>
      <c r="BB33" s="157">
        <f t="shared" si="46"/>
        <v>38514.096</v>
      </c>
      <c r="BC33" s="158"/>
      <c r="BD33" s="91"/>
      <c r="BE33" s="115">
        <f t="shared" si="47"/>
        <v>-9509.706000000002</v>
      </c>
      <c r="BF33" s="115">
        <f t="shared" si="48"/>
        <v>-8330.740000000002</v>
      </c>
    </row>
    <row r="34" spans="1:58" ht="12.75">
      <c r="A34" s="14" t="s">
        <v>47</v>
      </c>
      <c r="B34" s="92">
        <v>4334.82</v>
      </c>
      <c r="C34" s="148">
        <f t="shared" si="31"/>
        <v>37496.193</v>
      </c>
      <c r="D34" s="149">
        <f t="shared" si="32"/>
        <v>3380.593000000002</v>
      </c>
      <c r="E34" s="93">
        <v>3127.45</v>
      </c>
      <c r="F34" s="93">
        <v>810.19</v>
      </c>
      <c r="G34" s="93">
        <v>4235.93</v>
      </c>
      <c r="H34" s="93">
        <v>1098.21</v>
      </c>
      <c r="I34" s="93">
        <v>10178.23</v>
      </c>
      <c r="J34" s="93">
        <v>2637.48</v>
      </c>
      <c r="K34" s="93">
        <v>7050.64</v>
      </c>
      <c r="L34" s="93">
        <v>1827.37</v>
      </c>
      <c r="M34" s="90">
        <v>2501.99</v>
      </c>
      <c r="N34" s="94">
        <v>648.11</v>
      </c>
      <c r="O34" s="100">
        <v>0</v>
      </c>
      <c r="P34" s="100">
        <v>0</v>
      </c>
      <c r="Q34" s="100"/>
      <c r="R34" s="100"/>
      <c r="S34" s="93">
        <f t="shared" si="33"/>
        <v>27094.239999999998</v>
      </c>
      <c r="T34" s="150">
        <f t="shared" si="34"/>
        <v>7021.360000000001</v>
      </c>
      <c r="U34" s="160">
        <v>3047.39</v>
      </c>
      <c r="V34" s="160">
        <v>4072.46</v>
      </c>
      <c r="W34" s="160">
        <v>9918.18</v>
      </c>
      <c r="X34" s="160">
        <v>6871.06</v>
      </c>
      <c r="Y34" s="160">
        <v>2438.13</v>
      </c>
      <c r="Z34" s="160">
        <v>0</v>
      </c>
      <c r="AA34" s="161">
        <v>0</v>
      </c>
      <c r="AB34" s="100">
        <f aca="true" t="shared" si="49" ref="AB34:AB41">SUM(U34:AA34)</f>
        <v>26347.22</v>
      </c>
      <c r="AC34" s="151">
        <f t="shared" si="35"/>
        <v>36749.173</v>
      </c>
      <c r="AD34" s="152">
        <f t="shared" si="36"/>
        <v>0</v>
      </c>
      <c r="AE34" s="152">
        <f t="shared" si="37"/>
        <v>0</v>
      </c>
      <c r="AF34" s="152"/>
      <c r="AG34" s="25">
        <f t="shared" si="38"/>
        <v>2600.892</v>
      </c>
      <c r="AH34" s="25">
        <f t="shared" si="39"/>
        <v>866.9639999999999</v>
      </c>
      <c r="AI34" s="25">
        <f t="shared" si="40"/>
        <v>4334.82</v>
      </c>
      <c r="AJ34" s="25">
        <v>0</v>
      </c>
      <c r="AK34" s="25">
        <f t="shared" si="41"/>
        <v>4248.1236</v>
      </c>
      <c r="AL34" s="25">
        <v>0</v>
      </c>
      <c r="AM34" s="25">
        <f t="shared" si="42"/>
        <v>9753.345</v>
      </c>
      <c r="AN34" s="25">
        <v>0</v>
      </c>
      <c r="AO34" s="25"/>
      <c r="AP34" s="25"/>
      <c r="AQ34" s="153"/>
      <c r="AR34" s="153"/>
      <c r="AS34" s="98">
        <v>3729</v>
      </c>
      <c r="AT34" s="98">
        <v>766.27</v>
      </c>
      <c r="AU34" s="98">
        <f t="shared" si="43"/>
        <v>137.9286</v>
      </c>
      <c r="AV34" s="154">
        <v>263</v>
      </c>
      <c r="AW34" s="155">
        <v>2.75</v>
      </c>
      <c r="AX34" s="25">
        <f t="shared" si="44"/>
        <v>1012.55</v>
      </c>
      <c r="AY34" s="156"/>
      <c r="AZ34" s="157"/>
      <c r="BA34" s="157">
        <f t="shared" si="45"/>
        <v>0</v>
      </c>
      <c r="BB34" s="157">
        <f t="shared" si="46"/>
        <v>27449.8932</v>
      </c>
      <c r="BC34" s="158"/>
      <c r="BD34" s="18"/>
      <c r="BE34" s="115">
        <f t="shared" si="47"/>
        <v>9299.279800000004</v>
      </c>
      <c r="BF34" s="115">
        <f t="shared" si="48"/>
        <v>-747.0199999999968</v>
      </c>
    </row>
    <row r="35" spans="1:58" ht="13.5" thickBot="1">
      <c r="A35" s="134" t="s">
        <v>48</v>
      </c>
      <c r="B35" s="92">
        <v>4334.82</v>
      </c>
      <c r="C35" s="148">
        <f t="shared" si="31"/>
        <v>37496.193</v>
      </c>
      <c r="D35" s="149">
        <f t="shared" si="32"/>
        <v>3380.9929999999968</v>
      </c>
      <c r="E35" s="93">
        <v>3133.76</v>
      </c>
      <c r="F35" s="93">
        <v>803.83</v>
      </c>
      <c r="G35" s="93">
        <v>4244.5</v>
      </c>
      <c r="H35" s="93">
        <v>1089.57</v>
      </c>
      <c r="I35" s="93">
        <v>10198.8</v>
      </c>
      <c r="J35" s="93">
        <v>2616.76</v>
      </c>
      <c r="K35" s="93">
        <v>7064.92</v>
      </c>
      <c r="L35" s="93">
        <v>1812.99</v>
      </c>
      <c r="M35" s="90">
        <v>2507.06</v>
      </c>
      <c r="N35" s="94">
        <v>643.01</v>
      </c>
      <c r="O35" s="100">
        <v>0</v>
      </c>
      <c r="P35" s="100">
        <v>0</v>
      </c>
      <c r="Q35" s="100">
        <v>0</v>
      </c>
      <c r="R35" s="100">
        <v>0</v>
      </c>
      <c r="S35" s="93">
        <f t="shared" si="33"/>
        <v>27149.039999999997</v>
      </c>
      <c r="T35" s="150">
        <f t="shared" si="34"/>
        <v>6966.16</v>
      </c>
      <c r="U35" s="93">
        <v>2527.78</v>
      </c>
      <c r="V35" s="93">
        <v>3367.93</v>
      </c>
      <c r="W35" s="93">
        <v>9890.67</v>
      </c>
      <c r="X35" s="93">
        <v>5698.11</v>
      </c>
      <c r="Y35" s="93">
        <v>2022.26</v>
      </c>
      <c r="Z35" s="93">
        <v>0</v>
      </c>
      <c r="AA35" s="100">
        <v>0</v>
      </c>
      <c r="AB35" s="100">
        <f t="shared" si="49"/>
        <v>23506.75</v>
      </c>
      <c r="AC35" s="151">
        <f t="shared" si="35"/>
        <v>33853.903</v>
      </c>
      <c r="AD35" s="152">
        <f t="shared" si="36"/>
        <v>0</v>
      </c>
      <c r="AE35" s="152">
        <f t="shared" si="37"/>
        <v>0</v>
      </c>
      <c r="AF35" s="152"/>
      <c r="AG35" s="25">
        <f t="shared" si="38"/>
        <v>2600.892</v>
      </c>
      <c r="AH35" s="25">
        <f t="shared" si="39"/>
        <v>866.9639999999999</v>
      </c>
      <c r="AI35" s="25">
        <f t="shared" si="40"/>
        <v>4334.82</v>
      </c>
      <c r="AJ35" s="25">
        <v>0</v>
      </c>
      <c r="AK35" s="25">
        <f t="shared" si="41"/>
        <v>4248.1236</v>
      </c>
      <c r="AL35" s="25">
        <v>0</v>
      </c>
      <c r="AM35" s="25">
        <f t="shared" si="42"/>
        <v>9753.345</v>
      </c>
      <c r="AN35" s="25">
        <v>0</v>
      </c>
      <c r="AO35" s="25"/>
      <c r="AP35" s="25"/>
      <c r="AQ35" s="153"/>
      <c r="AR35" s="153"/>
      <c r="AS35" s="98">
        <v>5936</v>
      </c>
      <c r="AT35" s="98"/>
      <c r="AU35" s="98">
        <f t="shared" si="43"/>
        <v>0</v>
      </c>
      <c r="AV35" s="154">
        <v>233</v>
      </c>
      <c r="AW35" s="155">
        <v>2.75</v>
      </c>
      <c r="AX35" s="25">
        <f t="shared" si="44"/>
        <v>897.05</v>
      </c>
      <c r="AY35" s="156"/>
      <c r="AZ35" s="157"/>
      <c r="BA35" s="157">
        <f t="shared" si="45"/>
        <v>0</v>
      </c>
      <c r="BB35" s="157">
        <f t="shared" si="46"/>
        <v>28637.1946</v>
      </c>
      <c r="BC35" s="158"/>
      <c r="BD35" s="139"/>
      <c r="BE35" s="115">
        <f t="shared" si="47"/>
        <v>5216.7083999999995</v>
      </c>
      <c r="BF35" s="115">
        <f t="shared" si="48"/>
        <v>-3642.2899999999972</v>
      </c>
    </row>
    <row r="36" spans="1:58" ht="12.75">
      <c r="A36" s="137" t="s">
        <v>49</v>
      </c>
      <c r="B36" s="92">
        <v>4334.82</v>
      </c>
      <c r="C36" s="148">
        <f t="shared" si="31"/>
        <v>37496.193</v>
      </c>
      <c r="D36" s="149">
        <f t="shared" si="32"/>
        <v>3336.2529999999997</v>
      </c>
      <c r="E36" s="99">
        <v>3942.86</v>
      </c>
      <c r="F36" s="93">
        <v>0</v>
      </c>
      <c r="G36" s="93">
        <v>5340.91</v>
      </c>
      <c r="H36" s="93">
        <v>0</v>
      </c>
      <c r="I36" s="93">
        <v>12832.4</v>
      </c>
      <c r="J36" s="93">
        <v>0</v>
      </c>
      <c r="K36" s="93">
        <v>8889.48</v>
      </c>
      <c r="L36" s="93">
        <v>0</v>
      </c>
      <c r="M36" s="90">
        <v>3154.29</v>
      </c>
      <c r="N36" s="94">
        <v>0</v>
      </c>
      <c r="O36" s="100">
        <v>0</v>
      </c>
      <c r="P36" s="100">
        <v>0</v>
      </c>
      <c r="Q36" s="100"/>
      <c r="R36" s="100"/>
      <c r="S36" s="93">
        <f t="shared" si="33"/>
        <v>34159.939999999995</v>
      </c>
      <c r="T36" s="150">
        <f t="shared" si="34"/>
        <v>0</v>
      </c>
      <c r="U36" s="99">
        <v>2867.94</v>
      </c>
      <c r="V36" s="93">
        <v>1975.51</v>
      </c>
      <c r="W36" s="93">
        <v>9334.09</v>
      </c>
      <c r="X36" s="93">
        <v>6466.09</v>
      </c>
      <c r="Y36" s="93">
        <v>2294.02</v>
      </c>
      <c r="Z36" s="93">
        <v>0</v>
      </c>
      <c r="AA36" s="100">
        <v>0</v>
      </c>
      <c r="AB36" s="100">
        <f t="shared" si="49"/>
        <v>22937.65</v>
      </c>
      <c r="AC36" s="151">
        <f t="shared" si="35"/>
        <v>26273.903000000002</v>
      </c>
      <c r="AD36" s="152">
        <f t="shared" si="36"/>
        <v>0</v>
      </c>
      <c r="AE36" s="152">
        <f t="shared" si="37"/>
        <v>0</v>
      </c>
      <c r="AF36" s="152"/>
      <c r="AG36" s="25">
        <f t="shared" si="38"/>
        <v>2600.892</v>
      </c>
      <c r="AH36" s="25">
        <f t="shared" si="39"/>
        <v>866.9639999999999</v>
      </c>
      <c r="AI36" s="25">
        <f t="shared" si="40"/>
        <v>4334.82</v>
      </c>
      <c r="AJ36" s="25">
        <v>0</v>
      </c>
      <c r="AK36" s="25">
        <f t="shared" si="41"/>
        <v>4248.1236</v>
      </c>
      <c r="AL36" s="25">
        <v>0</v>
      </c>
      <c r="AM36" s="25">
        <f t="shared" si="42"/>
        <v>9753.345</v>
      </c>
      <c r="AN36" s="25">
        <v>0</v>
      </c>
      <c r="AO36" s="25"/>
      <c r="AP36" s="25"/>
      <c r="AQ36" s="153"/>
      <c r="AR36" s="153"/>
      <c r="AS36" s="98"/>
      <c r="AT36" s="98"/>
      <c r="AU36" s="98">
        <f t="shared" si="43"/>
        <v>0</v>
      </c>
      <c r="AV36" s="154">
        <v>248</v>
      </c>
      <c r="AW36" s="155">
        <v>2.75</v>
      </c>
      <c r="AX36" s="25">
        <f t="shared" si="44"/>
        <v>954.8</v>
      </c>
      <c r="AY36" s="156"/>
      <c r="AZ36" s="157"/>
      <c r="BA36" s="157">
        <f t="shared" si="45"/>
        <v>0</v>
      </c>
      <c r="BB36" s="157">
        <f t="shared" si="46"/>
        <v>22758.9446</v>
      </c>
      <c r="BC36" s="158"/>
      <c r="BD36" s="18"/>
      <c r="BE36" s="115">
        <f t="shared" si="47"/>
        <v>3514.958400000003</v>
      </c>
      <c r="BF36" s="115">
        <f t="shared" si="48"/>
        <v>-11222.289999999994</v>
      </c>
    </row>
    <row r="37" spans="1:58" ht="12.75">
      <c r="A37" s="14" t="s">
        <v>50</v>
      </c>
      <c r="B37" s="92">
        <v>4334.82</v>
      </c>
      <c r="C37" s="148">
        <f t="shared" si="31"/>
        <v>37496.193</v>
      </c>
      <c r="D37" s="149">
        <f t="shared" si="32"/>
        <v>3361.512999999997</v>
      </c>
      <c r="E37" s="99">
        <v>3939.9</v>
      </c>
      <c r="F37" s="93">
        <v>0</v>
      </c>
      <c r="G37" s="93">
        <v>5337.04</v>
      </c>
      <c r="H37" s="93">
        <v>0</v>
      </c>
      <c r="I37" s="93">
        <v>12822.9</v>
      </c>
      <c r="J37" s="93">
        <v>0</v>
      </c>
      <c r="K37" s="93">
        <v>8882.93</v>
      </c>
      <c r="L37" s="93">
        <v>0</v>
      </c>
      <c r="M37" s="90">
        <v>3151.91</v>
      </c>
      <c r="N37" s="94">
        <v>0</v>
      </c>
      <c r="O37" s="100">
        <v>0</v>
      </c>
      <c r="P37" s="100">
        <v>0</v>
      </c>
      <c r="Q37" s="100"/>
      <c r="R37" s="100"/>
      <c r="S37" s="93">
        <f t="shared" si="33"/>
        <v>34134.68</v>
      </c>
      <c r="T37" s="150">
        <f t="shared" si="34"/>
        <v>0</v>
      </c>
      <c r="U37" s="160">
        <v>3635.69</v>
      </c>
      <c r="V37" s="160">
        <v>4924.82</v>
      </c>
      <c r="W37" s="160">
        <v>11832.38</v>
      </c>
      <c r="X37" s="160">
        <v>8196.59</v>
      </c>
      <c r="Y37" s="160">
        <v>2908.98</v>
      </c>
      <c r="Z37" s="160">
        <v>0</v>
      </c>
      <c r="AA37" s="161">
        <v>0</v>
      </c>
      <c r="AB37" s="100">
        <f t="shared" si="49"/>
        <v>31498.46</v>
      </c>
      <c r="AC37" s="151">
        <f t="shared" si="35"/>
        <v>34859.973</v>
      </c>
      <c r="AD37" s="152">
        <f t="shared" si="36"/>
        <v>0</v>
      </c>
      <c r="AE37" s="152">
        <f t="shared" si="37"/>
        <v>0</v>
      </c>
      <c r="AF37" s="152"/>
      <c r="AG37" s="25">
        <f t="shared" si="38"/>
        <v>2600.892</v>
      </c>
      <c r="AH37" s="25">
        <f t="shared" si="39"/>
        <v>866.9639999999999</v>
      </c>
      <c r="AI37" s="25">
        <f t="shared" si="40"/>
        <v>4334.82</v>
      </c>
      <c r="AJ37" s="25">
        <v>0</v>
      </c>
      <c r="AK37" s="25">
        <f t="shared" si="41"/>
        <v>4248.1236</v>
      </c>
      <c r="AL37" s="25">
        <v>0</v>
      </c>
      <c r="AM37" s="25">
        <f t="shared" si="42"/>
        <v>9753.345</v>
      </c>
      <c r="AN37" s="25">
        <v>0</v>
      </c>
      <c r="AO37" s="25"/>
      <c r="AP37" s="25"/>
      <c r="AQ37" s="153"/>
      <c r="AR37" s="153"/>
      <c r="AS37" s="98">
        <v>8014</v>
      </c>
      <c r="AT37" s="98">
        <f>47.8+210</f>
        <v>257.8</v>
      </c>
      <c r="AU37" s="98">
        <f t="shared" si="43"/>
        <v>46.404</v>
      </c>
      <c r="AV37" s="154">
        <v>293</v>
      </c>
      <c r="AW37" s="155">
        <v>2.75</v>
      </c>
      <c r="AX37" s="25">
        <f t="shared" si="44"/>
        <v>1128.05</v>
      </c>
      <c r="AY37" s="156"/>
      <c r="AZ37" s="157"/>
      <c r="BA37" s="157">
        <f t="shared" si="45"/>
        <v>0</v>
      </c>
      <c r="BB37" s="157">
        <f t="shared" si="46"/>
        <v>31250.398599999997</v>
      </c>
      <c r="BC37" s="158"/>
      <c r="BD37" s="18"/>
      <c r="BE37" s="115">
        <f t="shared" si="47"/>
        <v>3609.5744000000013</v>
      </c>
      <c r="BF37" s="115">
        <f t="shared" si="48"/>
        <v>-2636.220000000001</v>
      </c>
    </row>
    <row r="38" spans="1:58" ht="15" thickBot="1">
      <c r="A38" s="134" t="s">
        <v>51</v>
      </c>
      <c r="B38" s="180">
        <v>4374.12</v>
      </c>
      <c r="C38" s="148">
        <f t="shared" si="31"/>
        <v>37836.138</v>
      </c>
      <c r="D38" s="149">
        <f t="shared" si="32"/>
        <v>2975.078000000003</v>
      </c>
      <c r="E38" s="93">
        <v>4023.95</v>
      </c>
      <c r="F38" s="93">
        <v>0</v>
      </c>
      <c r="G38" s="93">
        <v>5450.3</v>
      </c>
      <c r="H38" s="93">
        <v>0</v>
      </c>
      <c r="I38" s="93">
        <v>13095.81</v>
      </c>
      <c r="J38" s="93">
        <v>0</v>
      </c>
      <c r="K38" s="93">
        <v>9071.84</v>
      </c>
      <c r="L38" s="93">
        <v>0</v>
      </c>
      <c r="M38" s="90">
        <v>3219.16</v>
      </c>
      <c r="N38" s="94">
        <v>0</v>
      </c>
      <c r="O38" s="100">
        <v>0</v>
      </c>
      <c r="P38" s="100">
        <v>0</v>
      </c>
      <c r="Q38" s="100"/>
      <c r="R38" s="100"/>
      <c r="S38" s="93">
        <f t="shared" si="33"/>
        <v>34861.06</v>
      </c>
      <c r="T38" s="150">
        <f t="shared" si="34"/>
        <v>0</v>
      </c>
      <c r="U38" s="93">
        <v>4137.68</v>
      </c>
      <c r="V38" s="93">
        <v>5603.47</v>
      </c>
      <c r="W38" s="93">
        <v>13464.95</v>
      </c>
      <c r="X38" s="93">
        <v>9327.36</v>
      </c>
      <c r="Y38" s="93">
        <v>3310.04</v>
      </c>
      <c r="Z38" s="93">
        <v>0</v>
      </c>
      <c r="AA38" s="100">
        <v>0</v>
      </c>
      <c r="AB38" s="100">
        <f t="shared" si="49"/>
        <v>35843.5</v>
      </c>
      <c r="AC38" s="151">
        <f t="shared" si="35"/>
        <v>38818.578</v>
      </c>
      <c r="AD38" s="152">
        <f t="shared" si="36"/>
        <v>0</v>
      </c>
      <c r="AE38" s="152">
        <f t="shared" si="37"/>
        <v>0</v>
      </c>
      <c r="AF38" s="152"/>
      <c r="AG38" s="25">
        <f t="shared" si="38"/>
        <v>2624.4719999999998</v>
      </c>
      <c r="AH38" s="25">
        <f t="shared" si="39"/>
        <v>874.8240000000001</v>
      </c>
      <c r="AI38" s="25">
        <f t="shared" si="40"/>
        <v>4374.12</v>
      </c>
      <c r="AJ38" s="25">
        <v>0</v>
      </c>
      <c r="AK38" s="25">
        <f t="shared" si="41"/>
        <v>4286.6376</v>
      </c>
      <c r="AL38" s="25">
        <v>0</v>
      </c>
      <c r="AM38" s="25">
        <f t="shared" si="42"/>
        <v>9841.77</v>
      </c>
      <c r="AN38" s="25">
        <v>0</v>
      </c>
      <c r="AO38" s="25"/>
      <c r="AP38" s="25"/>
      <c r="AQ38" s="153"/>
      <c r="AR38" s="153"/>
      <c r="AS38" s="98">
        <v>12625</v>
      </c>
      <c r="AT38" s="98"/>
      <c r="AU38" s="162">
        <f t="shared" si="43"/>
        <v>0</v>
      </c>
      <c r="AV38" s="154">
        <v>349</v>
      </c>
      <c r="AW38" s="155">
        <v>2.75</v>
      </c>
      <c r="AX38" s="25">
        <f t="shared" si="44"/>
        <v>1343.6499999999999</v>
      </c>
      <c r="AY38" s="156"/>
      <c r="AZ38" s="157"/>
      <c r="BA38" s="157">
        <f t="shared" si="45"/>
        <v>0</v>
      </c>
      <c r="BB38" s="157">
        <f t="shared" si="46"/>
        <v>35970.473600000005</v>
      </c>
      <c r="BC38" s="158"/>
      <c r="BD38" s="139"/>
      <c r="BE38" s="115">
        <f t="shared" si="47"/>
        <v>2848.1043999999965</v>
      </c>
      <c r="BF38" s="115">
        <f t="shared" si="48"/>
        <v>982.4400000000023</v>
      </c>
    </row>
    <row r="39" spans="1:58" ht="12.75">
      <c r="A39" s="140" t="s">
        <v>39</v>
      </c>
      <c r="B39" s="92">
        <v>4374.12</v>
      </c>
      <c r="C39" s="148">
        <f t="shared" si="31"/>
        <v>37836.138</v>
      </c>
      <c r="D39" s="149">
        <f t="shared" si="32"/>
        <v>3318.2880000000005</v>
      </c>
      <c r="E39" s="95">
        <v>3984.28</v>
      </c>
      <c r="F39" s="95">
        <v>0</v>
      </c>
      <c r="G39" s="95">
        <v>5396.72</v>
      </c>
      <c r="H39" s="95">
        <v>0</v>
      </c>
      <c r="I39" s="95">
        <v>12966.89</v>
      </c>
      <c r="J39" s="95">
        <v>0</v>
      </c>
      <c r="K39" s="95">
        <v>8982.55</v>
      </c>
      <c r="L39" s="95">
        <v>0</v>
      </c>
      <c r="M39" s="96">
        <v>3187.41</v>
      </c>
      <c r="N39" s="97">
        <v>0</v>
      </c>
      <c r="O39" s="163">
        <v>0</v>
      </c>
      <c r="P39" s="163">
        <v>0</v>
      </c>
      <c r="Q39" s="163"/>
      <c r="R39" s="163"/>
      <c r="S39" s="93">
        <f t="shared" si="33"/>
        <v>34517.85</v>
      </c>
      <c r="T39" s="150">
        <f t="shared" si="34"/>
        <v>0</v>
      </c>
      <c r="U39" s="93">
        <v>3821.39</v>
      </c>
      <c r="V39" s="93">
        <v>5132.64</v>
      </c>
      <c r="W39" s="93">
        <v>14331.26</v>
      </c>
      <c r="X39" s="93">
        <v>8542.95</v>
      </c>
      <c r="Y39" s="93">
        <v>3037.13</v>
      </c>
      <c r="Z39" s="93">
        <v>0</v>
      </c>
      <c r="AA39" s="100">
        <v>0</v>
      </c>
      <c r="AB39" s="100">
        <f t="shared" si="49"/>
        <v>34865.37</v>
      </c>
      <c r="AC39" s="151">
        <f t="shared" si="35"/>
        <v>38183.658</v>
      </c>
      <c r="AD39" s="152">
        <f t="shared" si="36"/>
        <v>0</v>
      </c>
      <c r="AE39" s="152">
        <f t="shared" si="37"/>
        <v>0</v>
      </c>
      <c r="AF39" s="152">
        <v>100</v>
      </c>
      <c r="AG39" s="25">
        <f t="shared" si="38"/>
        <v>2624.4719999999998</v>
      </c>
      <c r="AH39" s="25">
        <f t="shared" si="39"/>
        <v>874.8240000000001</v>
      </c>
      <c r="AI39" s="25">
        <f t="shared" si="40"/>
        <v>4374.12</v>
      </c>
      <c r="AJ39" s="25">
        <v>0</v>
      </c>
      <c r="AK39" s="25">
        <f t="shared" si="41"/>
        <v>4286.6376</v>
      </c>
      <c r="AL39" s="25">
        <v>0</v>
      </c>
      <c r="AM39" s="25">
        <f t="shared" si="42"/>
        <v>9841.77</v>
      </c>
      <c r="AN39" s="25">
        <v>0</v>
      </c>
      <c r="AO39" s="25"/>
      <c r="AP39" s="25"/>
      <c r="AQ39" s="153"/>
      <c r="AR39" s="153"/>
      <c r="AS39" s="98">
        <v>746</v>
      </c>
      <c r="AT39" s="98"/>
      <c r="AU39" s="98">
        <f t="shared" si="43"/>
        <v>0</v>
      </c>
      <c r="AV39" s="154">
        <v>425</v>
      </c>
      <c r="AW39" s="155">
        <v>2.75</v>
      </c>
      <c r="AX39" s="25">
        <f t="shared" si="44"/>
        <v>1636.25</v>
      </c>
      <c r="AY39" s="156"/>
      <c r="AZ39" s="157"/>
      <c r="BA39" s="157">
        <f t="shared" si="45"/>
        <v>0</v>
      </c>
      <c r="BB39" s="157">
        <f t="shared" si="46"/>
        <v>24384.0736</v>
      </c>
      <c r="BC39" s="158">
        <v>25</v>
      </c>
      <c r="BD39" s="141"/>
      <c r="BE39" s="115">
        <f t="shared" si="47"/>
        <v>13874.584400000003</v>
      </c>
      <c r="BF39" s="115">
        <f t="shared" si="48"/>
        <v>347.5200000000041</v>
      </c>
    </row>
    <row r="40" spans="1:58" ht="12.75">
      <c r="A40" s="14" t="s">
        <v>40</v>
      </c>
      <c r="B40" s="92">
        <v>4374.12</v>
      </c>
      <c r="C40" s="148">
        <f t="shared" si="31"/>
        <v>37836.138</v>
      </c>
      <c r="D40" s="149">
        <f t="shared" si="32"/>
        <v>3288.9879999999994</v>
      </c>
      <c r="E40" s="93">
        <v>3987.72</v>
      </c>
      <c r="F40" s="93">
        <v>0</v>
      </c>
      <c r="G40" s="93">
        <v>5401.21</v>
      </c>
      <c r="H40" s="93">
        <v>0</v>
      </c>
      <c r="I40" s="93">
        <v>12977.91</v>
      </c>
      <c r="J40" s="93">
        <v>0</v>
      </c>
      <c r="K40" s="93">
        <v>8990.14</v>
      </c>
      <c r="L40" s="93">
        <v>0</v>
      </c>
      <c r="M40" s="90">
        <v>3190.17</v>
      </c>
      <c r="N40" s="94">
        <v>0</v>
      </c>
      <c r="O40" s="100">
        <v>0</v>
      </c>
      <c r="P40" s="100">
        <v>0</v>
      </c>
      <c r="Q40" s="100"/>
      <c r="R40" s="100"/>
      <c r="S40" s="93">
        <f t="shared" si="33"/>
        <v>34547.15</v>
      </c>
      <c r="T40" s="150">
        <f t="shared" si="34"/>
        <v>0</v>
      </c>
      <c r="U40" s="99">
        <v>3001.36</v>
      </c>
      <c r="V40" s="93">
        <v>4109.54</v>
      </c>
      <c r="W40" s="93">
        <v>10874.09</v>
      </c>
      <c r="X40" s="93">
        <v>6839.59</v>
      </c>
      <c r="Y40" s="93">
        <v>2421.01</v>
      </c>
      <c r="Z40" s="93">
        <v>0</v>
      </c>
      <c r="AA40" s="100">
        <v>0</v>
      </c>
      <c r="AB40" s="100">
        <f t="shared" si="49"/>
        <v>27245.589999999997</v>
      </c>
      <c r="AC40" s="151">
        <f t="shared" si="35"/>
        <v>30534.577999999994</v>
      </c>
      <c r="AD40" s="152">
        <f t="shared" si="36"/>
        <v>0</v>
      </c>
      <c r="AE40" s="152">
        <f t="shared" si="37"/>
        <v>0</v>
      </c>
      <c r="AF40" s="152">
        <f>100</f>
        <v>100</v>
      </c>
      <c r="AG40" s="25">
        <f t="shared" si="38"/>
        <v>2624.4719999999998</v>
      </c>
      <c r="AH40" s="25">
        <f t="shared" si="39"/>
        <v>874.8240000000001</v>
      </c>
      <c r="AI40" s="25">
        <f t="shared" si="40"/>
        <v>4374.12</v>
      </c>
      <c r="AJ40" s="25">
        <v>0</v>
      </c>
      <c r="AK40" s="25">
        <f t="shared" si="41"/>
        <v>4286.6376</v>
      </c>
      <c r="AL40" s="25">
        <v>0</v>
      </c>
      <c r="AM40" s="25">
        <f t="shared" si="42"/>
        <v>9841.77</v>
      </c>
      <c r="AN40" s="25">
        <v>0</v>
      </c>
      <c r="AO40" s="25"/>
      <c r="AP40" s="25"/>
      <c r="AQ40" s="153"/>
      <c r="AR40" s="153"/>
      <c r="AS40" s="98">
        <v>2850</v>
      </c>
      <c r="AT40" s="98"/>
      <c r="AU40" s="98">
        <f t="shared" si="43"/>
        <v>0</v>
      </c>
      <c r="AV40" s="154">
        <v>470</v>
      </c>
      <c r="AW40" s="155">
        <v>2.75</v>
      </c>
      <c r="AX40" s="25">
        <f t="shared" si="44"/>
        <v>1809.4999999999998</v>
      </c>
      <c r="AY40" s="156"/>
      <c r="AZ40" s="157"/>
      <c r="BA40" s="157">
        <f t="shared" si="45"/>
        <v>0</v>
      </c>
      <c r="BB40" s="157">
        <f t="shared" si="46"/>
        <v>26661.3236</v>
      </c>
      <c r="BC40" s="158">
        <f>25</f>
        <v>25</v>
      </c>
      <c r="BD40" s="62"/>
      <c r="BE40" s="115">
        <f t="shared" si="47"/>
        <v>3948.2543999999943</v>
      </c>
      <c r="BF40" s="115">
        <f t="shared" si="48"/>
        <v>-7301.560000000005</v>
      </c>
    </row>
    <row r="41" spans="1:58" s="114" customFormat="1" ht="12.75">
      <c r="A41" s="113" t="s">
        <v>41</v>
      </c>
      <c r="B41" s="92">
        <v>4374.12</v>
      </c>
      <c r="C41" s="148">
        <f t="shared" si="31"/>
        <v>37836.138</v>
      </c>
      <c r="D41" s="149">
        <f t="shared" si="32"/>
        <v>3299.857999999996</v>
      </c>
      <c r="E41" s="93">
        <v>3986.44</v>
      </c>
      <c r="F41" s="93">
        <v>0</v>
      </c>
      <c r="G41" s="93">
        <v>5399.54</v>
      </c>
      <c r="H41" s="93">
        <v>0</v>
      </c>
      <c r="I41" s="93">
        <v>12973.82</v>
      </c>
      <c r="J41" s="93">
        <v>0</v>
      </c>
      <c r="K41" s="93">
        <v>8987.33</v>
      </c>
      <c r="L41" s="93">
        <v>0</v>
      </c>
      <c r="M41" s="90">
        <v>3189.15</v>
      </c>
      <c r="N41" s="94">
        <v>0</v>
      </c>
      <c r="O41" s="100">
        <v>0</v>
      </c>
      <c r="P41" s="100">
        <v>0</v>
      </c>
      <c r="Q41" s="100"/>
      <c r="R41" s="100"/>
      <c r="S41" s="93">
        <f t="shared" si="33"/>
        <v>34536.28</v>
      </c>
      <c r="T41" s="150">
        <f t="shared" si="34"/>
        <v>0</v>
      </c>
      <c r="U41" s="93">
        <v>4165.4</v>
      </c>
      <c r="V41" s="93">
        <v>5642.14</v>
      </c>
      <c r="W41" s="93">
        <v>13364.09</v>
      </c>
      <c r="X41" s="93">
        <v>9391</v>
      </c>
      <c r="Y41" s="93">
        <v>3332.3</v>
      </c>
      <c r="Z41" s="93">
        <v>0</v>
      </c>
      <c r="AA41" s="100">
        <v>0</v>
      </c>
      <c r="AB41" s="100">
        <f t="shared" si="49"/>
        <v>35894.93</v>
      </c>
      <c r="AC41" s="151">
        <f t="shared" si="35"/>
        <v>39194.78799999999</v>
      </c>
      <c r="AD41" s="152">
        <f t="shared" si="36"/>
        <v>0</v>
      </c>
      <c r="AE41" s="152">
        <f t="shared" si="37"/>
        <v>0</v>
      </c>
      <c r="AF41" s="152">
        <f>100</f>
        <v>100</v>
      </c>
      <c r="AG41" s="25">
        <f t="shared" si="38"/>
        <v>2624.4719999999998</v>
      </c>
      <c r="AH41" s="25">
        <f t="shared" si="39"/>
        <v>874.8240000000001</v>
      </c>
      <c r="AI41" s="25">
        <f t="shared" si="40"/>
        <v>4374.12</v>
      </c>
      <c r="AJ41" s="25">
        <v>0</v>
      </c>
      <c r="AK41" s="25">
        <f t="shared" si="41"/>
        <v>4286.6376</v>
      </c>
      <c r="AL41" s="25">
        <v>0</v>
      </c>
      <c r="AM41" s="25">
        <f t="shared" si="42"/>
        <v>9841.77</v>
      </c>
      <c r="AN41" s="25">
        <v>0</v>
      </c>
      <c r="AO41" s="25"/>
      <c r="AP41" s="25"/>
      <c r="AQ41" s="153"/>
      <c r="AR41" s="153"/>
      <c r="AS41" s="98">
        <v>2556</v>
      </c>
      <c r="AT41" s="98">
        <f>283.91+2245.76</f>
        <v>2529.67</v>
      </c>
      <c r="AU41" s="98">
        <f t="shared" si="43"/>
        <v>455.3406</v>
      </c>
      <c r="AV41" s="154">
        <v>514</v>
      </c>
      <c r="AW41" s="155">
        <v>2.75</v>
      </c>
      <c r="AX41" s="25">
        <f t="shared" si="44"/>
        <v>1978.8999999999999</v>
      </c>
      <c r="AY41" s="156"/>
      <c r="AZ41" s="157"/>
      <c r="BA41" s="157">
        <f t="shared" si="45"/>
        <v>0</v>
      </c>
      <c r="BB41" s="157">
        <f t="shared" si="46"/>
        <v>29521.734200000003</v>
      </c>
      <c r="BC41" s="158">
        <f>25</f>
        <v>25</v>
      </c>
      <c r="BD41" s="91"/>
      <c r="BE41" s="115">
        <f t="shared" si="47"/>
        <v>9748.05379999999</v>
      </c>
      <c r="BF41" s="115">
        <f t="shared" si="48"/>
        <v>1358.6500000000015</v>
      </c>
    </row>
    <row r="42" spans="1:58" s="24" customFormat="1" ht="12.75">
      <c r="A42" s="19" t="s">
        <v>3</v>
      </c>
      <c r="B42" s="20"/>
      <c r="C42" s="20">
        <f>SUM(C30:C41)</f>
        <v>450782.2939999999</v>
      </c>
      <c r="D42" s="20">
        <f aca="true" t="shared" si="50" ref="D42:BF42">SUM(D30:D41)</f>
        <v>39607.69399999999</v>
      </c>
      <c r="E42" s="20">
        <f t="shared" si="50"/>
        <v>42517.64000000001</v>
      </c>
      <c r="F42" s="20">
        <f t="shared" si="50"/>
        <v>4941.1</v>
      </c>
      <c r="G42" s="20">
        <f t="shared" si="50"/>
        <v>57590.37</v>
      </c>
      <c r="H42" s="20">
        <f t="shared" si="50"/>
        <v>6697.599999999999</v>
      </c>
      <c r="I42" s="20">
        <f t="shared" si="50"/>
        <v>138374.9</v>
      </c>
      <c r="J42" s="20">
        <f t="shared" si="50"/>
        <v>16085.12</v>
      </c>
      <c r="K42" s="20">
        <f t="shared" si="50"/>
        <v>95856.61</v>
      </c>
      <c r="L42" s="20">
        <f t="shared" si="50"/>
        <v>11144.44</v>
      </c>
      <c r="M42" s="20">
        <f t="shared" si="50"/>
        <v>34014.24</v>
      </c>
      <c r="N42" s="20">
        <f t="shared" si="50"/>
        <v>3952.58</v>
      </c>
      <c r="O42" s="20">
        <f t="shared" si="50"/>
        <v>0</v>
      </c>
      <c r="P42" s="20">
        <f t="shared" si="50"/>
        <v>0</v>
      </c>
      <c r="Q42" s="20">
        <f t="shared" si="50"/>
        <v>0</v>
      </c>
      <c r="R42" s="20">
        <f t="shared" si="50"/>
        <v>0</v>
      </c>
      <c r="S42" s="20">
        <f t="shared" si="50"/>
        <v>368353.76</v>
      </c>
      <c r="T42" s="20">
        <f t="shared" si="50"/>
        <v>42820.84</v>
      </c>
      <c r="U42" s="20">
        <f t="shared" si="50"/>
        <v>37340.72</v>
      </c>
      <c r="V42" s="20">
        <f t="shared" si="50"/>
        <v>48547.74</v>
      </c>
      <c r="W42" s="20">
        <f t="shared" si="50"/>
        <v>126067.23</v>
      </c>
      <c r="X42" s="20">
        <f t="shared" si="50"/>
        <v>84174.27999999998</v>
      </c>
      <c r="Y42" s="20">
        <f t="shared" si="50"/>
        <v>29872.52</v>
      </c>
      <c r="Z42" s="20">
        <f t="shared" si="50"/>
        <v>0</v>
      </c>
      <c r="AA42" s="20">
        <f t="shared" si="50"/>
        <v>0</v>
      </c>
      <c r="AB42" s="20">
        <f t="shared" si="50"/>
        <v>326002.48999999993</v>
      </c>
      <c r="AC42" s="20">
        <f t="shared" si="50"/>
        <v>408431.024</v>
      </c>
      <c r="AD42" s="20">
        <f t="shared" si="50"/>
        <v>0</v>
      </c>
      <c r="AE42" s="20">
        <f t="shared" si="50"/>
        <v>0</v>
      </c>
      <c r="AF42" s="20">
        <f t="shared" si="50"/>
        <v>300</v>
      </c>
      <c r="AG42" s="20">
        <f t="shared" si="50"/>
        <v>31268.136000000006</v>
      </c>
      <c r="AH42" s="20">
        <f t="shared" si="50"/>
        <v>10422.712000000001</v>
      </c>
      <c r="AI42" s="20">
        <f t="shared" si="50"/>
        <v>52113.56000000001</v>
      </c>
      <c r="AJ42" s="20">
        <f t="shared" si="50"/>
        <v>0</v>
      </c>
      <c r="AK42" s="20">
        <f t="shared" si="50"/>
        <v>51071.2888</v>
      </c>
      <c r="AL42" s="20">
        <f t="shared" si="50"/>
        <v>0</v>
      </c>
      <c r="AM42" s="20">
        <f t="shared" si="50"/>
        <v>117255.51000000001</v>
      </c>
      <c r="AN42" s="20">
        <f t="shared" si="50"/>
        <v>0</v>
      </c>
      <c r="AO42" s="20">
        <f t="shared" si="50"/>
        <v>4675.32</v>
      </c>
      <c r="AP42" s="20">
        <f t="shared" si="50"/>
        <v>0</v>
      </c>
      <c r="AQ42" s="142">
        <f t="shared" si="50"/>
        <v>0</v>
      </c>
      <c r="AR42" s="142">
        <f t="shared" si="50"/>
        <v>0</v>
      </c>
      <c r="AS42" s="21">
        <f t="shared" si="50"/>
        <v>87695</v>
      </c>
      <c r="AT42" s="21">
        <f t="shared" si="50"/>
        <v>6290.74</v>
      </c>
      <c r="AU42" s="21">
        <f t="shared" si="50"/>
        <v>1132.3332</v>
      </c>
      <c r="AV42" s="20">
        <f t="shared" si="50"/>
        <v>4400</v>
      </c>
      <c r="AW42" s="20">
        <f t="shared" si="50"/>
        <v>33</v>
      </c>
      <c r="AX42" s="20">
        <f t="shared" si="50"/>
        <v>16940</v>
      </c>
      <c r="AY42" s="20">
        <f t="shared" si="50"/>
        <v>0</v>
      </c>
      <c r="AZ42" s="20">
        <f t="shared" si="50"/>
        <v>0</v>
      </c>
      <c r="BA42" s="20">
        <f t="shared" si="50"/>
        <v>0</v>
      </c>
      <c r="BB42" s="20">
        <f t="shared" si="50"/>
        <v>378864.6</v>
      </c>
      <c r="BC42" s="20">
        <f t="shared" si="50"/>
        <v>75</v>
      </c>
      <c r="BD42" s="20">
        <f t="shared" si="50"/>
        <v>0</v>
      </c>
      <c r="BE42" s="20">
        <f t="shared" si="50"/>
        <v>29791.424000000014</v>
      </c>
      <c r="BF42" s="143">
        <f t="shared" si="50"/>
        <v>-42351.269999999975</v>
      </c>
    </row>
    <row r="43" spans="1:58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3"/>
      <c r="AE43" s="10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86"/>
      <c r="AQ43" s="144"/>
      <c r="AR43" s="144"/>
      <c r="AS43" s="86"/>
      <c r="AT43" s="86"/>
      <c r="AU43" s="86"/>
      <c r="AV43" s="23"/>
      <c r="AW43" s="23"/>
      <c r="AX43" s="102"/>
      <c r="AY43" s="58"/>
      <c r="AZ43" s="58"/>
      <c r="BA43" s="58"/>
      <c r="BB43" s="58"/>
      <c r="BC43" s="58"/>
      <c r="BD43" s="58"/>
      <c r="BE43" s="58"/>
      <c r="BF43" s="145"/>
    </row>
    <row r="44" spans="1:58" s="24" customFormat="1" ht="13.5" thickBot="1">
      <c r="A44" s="27" t="s">
        <v>52</v>
      </c>
      <c r="B44" s="28"/>
      <c r="C44" s="28">
        <f>C28+C42</f>
        <v>1011118.0489999999</v>
      </c>
      <c r="D44" s="28">
        <f aca="true" t="shared" si="51" ref="D44:BF44">D28+D42</f>
        <v>111608.68109975</v>
      </c>
      <c r="E44" s="28">
        <f t="shared" si="51"/>
        <v>85987.87000000001</v>
      </c>
      <c r="F44" s="28">
        <f t="shared" si="51"/>
        <v>17580.89</v>
      </c>
      <c r="G44" s="28">
        <f t="shared" si="51"/>
        <v>116385.01999999999</v>
      </c>
      <c r="H44" s="28">
        <f t="shared" si="51"/>
        <v>23799.559999999998</v>
      </c>
      <c r="I44" s="28">
        <f t="shared" si="51"/>
        <v>279770.24</v>
      </c>
      <c r="J44" s="28">
        <f t="shared" si="51"/>
        <v>57201.66</v>
      </c>
      <c r="K44" s="28">
        <f t="shared" si="51"/>
        <v>193775.06</v>
      </c>
      <c r="L44" s="28">
        <f t="shared" si="51"/>
        <v>39621.84</v>
      </c>
      <c r="M44" s="28">
        <f t="shared" si="51"/>
        <v>68771.8</v>
      </c>
      <c r="N44" s="28">
        <f t="shared" si="51"/>
        <v>14063.84</v>
      </c>
      <c r="O44" s="28">
        <f t="shared" si="51"/>
        <v>0</v>
      </c>
      <c r="P44" s="28">
        <f t="shared" si="51"/>
        <v>0</v>
      </c>
      <c r="Q44" s="28">
        <f t="shared" si="51"/>
        <v>0</v>
      </c>
      <c r="R44" s="28">
        <f t="shared" si="51"/>
        <v>0</v>
      </c>
      <c r="S44" s="28">
        <f t="shared" si="51"/>
        <v>744689.99</v>
      </c>
      <c r="T44" s="28">
        <f t="shared" si="51"/>
        <v>152267.78999999998</v>
      </c>
      <c r="U44" s="28">
        <f t="shared" si="51"/>
        <v>76011.93000000001</v>
      </c>
      <c r="V44" s="28">
        <f t="shared" si="51"/>
        <v>100843.01000000001</v>
      </c>
      <c r="W44" s="28">
        <f t="shared" si="51"/>
        <v>251848.45</v>
      </c>
      <c r="X44" s="28">
        <f t="shared" si="51"/>
        <v>171273.90999999997</v>
      </c>
      <c r="Y44" s="28">
        <f t="shared" si="51"/>
        <v>60790.899999999994</v>
      </c>
      <c r="Z44" s="28">
        <f t="shared" si="51"/>
        <v>0</v>
      </c>
      <c r="AA44" s="28">
        <f t="shared" si="51"/>
        <v>0</v>
      </c>
      <c r="AB44" s="28">
        <f t="shared" si="51"/>
        <v>660768.2</v>
      </c>
      <c r="AC44" s="28">
        <f t="shared" si="51"/>
        <v>924644.6710997501</v>
      </c>
      <c r="AD44" s="28">
        <f t="shared" si="51"/>
        <v>0</v>
      </c>
      <c r="AE44" s="28">
        <f t="shared" si="51"/>
        <v>0</v>
      </c>
      <c r="AF44" s="28">
        <f t="shared" si="51"/>
        <v>300</v>
      </c>
      <c r="AG44" s="28">
        <f t="shared" si="51"/>
        <v>69099.39600000001</v>
      </c>
      <c r="AH44" s="28">
        <f t="shared" si="51"/>
        <v>23153.612544200005</v>
      </c>
      <c r="AI44" s="28">
        <f t="shared" si="51"/>
        <v>105160.54711050002</v>
      </c>
      <c r="AJ44" s="28">
        <f t="shared" si="51"/>
        <v>9548.45767989</v>
      </c>
      <c r="AK44" s="28">
        <f t="shared" si="51"/>
        <v>104745.42325977999</v>
      </c>
      <c r="AL44" s="28">
        <f t="shared" si="51"/>
        <v>9661.3442027604</v>
      </c>
      <c r="AM44" s="28">
        <f t="shared" si="51"/>
        <v>234799.63722565677</v>
      </c>
      <c r="AN44" s="28">
        <f t="shared" si="51"/>
        <v>21157.942900618218</v>
      </c>
      <c r="AO44" s="28">
        <f t="shared" si="51"/>
        <v>4675.32</v>
      </c>
      <c r="AP44" s="28">
        <f t="shared" si="51"/>
        <v>0</v>
      </c>
      <c r="AQ44" s="146">
        <f t="shared" si="51"/>
        <v>0</v>
      </c>
      <c r="AR44" s="146">
        <f t="shared" si="51"/>
        <v>0</v>
      </c>
      <c r="AS44" s="147">
        <f t="shared" si="51"/>
        <v>179040.41</v>
      </c>
      <c r="AT44" s="147">
        <f t="shared" si="51"/>
        <v>6290.74</v>
      </c>
      <c r="AU44" s="147">
        <f t="shared" si="51"/>
        <v>17574.517000000003</v>
      </c>
      <c r="AV44" s="28">
        <f t="shared" si="51"/>
        <v>8800</v>
      </c>
      <c r="AW44" s="28">
        <f t="shared" si="51"/>
        <v>66</v>
      </c>
      <c r="AX44" s="28">
        <f t="shared" si="51"/>
        <v>37648.811200000004</v>
      </c>
      <c r="AY44" s="28">
        <f t="shared" si="51"/>
        <v>0</v>
      </c>
      <c r="AZ44" s="28">
        <f t="shared" si="51"/>
        <v>0</v>
      </c>
      <c r="BA44" s="28">
        <f t="shared" si="51"/>
        <v>0</v>
      </c>
      <c r="BB44" s="28">
        <f t="shared" si="51"/>
        <v>817838.7079234053</v>
      </c>
      <c r="BC44" s="28">
        <f t="shared" si="51"/>
        <v>75</v>
      </c>
      <c r="BD44" s="28">
        <f t="shared" si="51"/>
        <v>393535.4595249254</v>
      </c>
      <c r="BE44" s="28">
        <f t="shared" si="51"/>
        <v>107030.96317634462</v>
      </c>
      <c r="BF44" s="28">
        <f t="shared" si="51"/>
        <v>-83921.78999999996</v>
      </c>
    </row>
  </sheetData>
  <sheetProtection/>
  <mergeCells count="67">
    <mergeCell ref="A1:N1"/>
    <mergeCell ref="A3:A6"/>
    <mergeCell ref="B3:B6"/>
    <mergeCell ref="C3:C6"/>
    <mergeCell ref="D3:D6"/>
    <mergeCell ref="I5:I6"/>
    <mergeCell ref="J5:J6"/>
    <mergeCell ref="K5:K6"/>
    <mergeCell ref="E3:F4"/>
    <mergeCell ref="G3:H4"/>
    <mergeCell ref="N5:N6"/>
    <mergeCell ref="O5:O6"/>
    <mergeCell ref="AL5:AL6"/>
    <mergeCell ref="S3:T4"/>
    <mergeCell ref="U3:AB4"/>
    <mergeCell ref="AC3:AC6"/>
    <mergeCell ref="AD3:AD6"/>
    <mergeCell ref="T5:T6"/>
    <mergeCell ref="U5:U6"/>
    <mergeCell ref="V5:V6"/>
    <mergeCell ref="E5:E6"/>
    <mergeCell ref="F5:F6"/>
    <mergeCell ref="G5:G6"/>
    <mergeCell ref="H5:H6"/>
    <mergeCell ref="L5:L6"/>
    <mergeCell ref="M5:M6"/>
    <mergeCell ref="AH5:AH6"/>
    <mergeCell ref="AI5:AI6"/>
    <mergeCell ref="AJ5:AJ6"/>
    <mergeCell ref="AK5:AK6"/>
    <mergeCell ref="AG5:AG6"/>
    <mergeCell ref="Y5:Y6"/>
    <mergeCell ref="I3:J4"/>
    <mergeCell ref="K3:L4"/>
    <mergeCell ref="M3:N4"/>
    <mergeCell ref="O3:P4"/>
    <mergeCell ref="AO5:AO6"/>
    <mergeCell ref="AP5:AP6"/>
    <mergeCell ref="P5:P6"/>
    <mergeCell ref="Q5:Q6"/>
    <mergeCell ref="R5:R6"/>
    <mergeCell ref="S5:S6"/>
    <mergeCell ref="Q3:R4"/>
    <mergeCell ref="AF3:AF6"/>
    <mergeCell ref="Z5:Z6"/>
    <mergeCell ref="AA5:AA6"/>
    <mergeCell ref="AB5:AB6"/>
    <mergeCell ref="AE3:AE6"/>
    <mergeCell ref="W5:W6"/>
    <mergeCell ref="X5:X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AM5:AM6"/>
    <mergeCell ref="AN5:AN6"/>
    <mergeCell ref="BE3:BE6"/>
    <mergeCell ref="AQ5:AQ6"/>
    <mergeCell ref="AR5:AR6"/>
    <mergeCell ref="AS5:AS6"/>
    <mergeCell ref="AT5:AT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C55" sqref="C55:D55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2.00390625" style="2" customWidth="1"/>
    <col min="4" max="4" width="10.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10.253906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271" t="s">
        <v>78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</row>
    <row r="7" spans="1:15" ht="12.75">
      <c r="A7" s="293" t="s">
        <v>94</v>
      </c>
      <c r="B7" s="293"/>
      <c r="C7" s="293"/>
      <c r="D7" s="293"/>
      <c r="E7" s="293"/>
      <c r="F7" s="293"/>
      <c r="G7" s="293"/>
      <c r="H7" s="104"/>
      <c r="I7" s="104"/>
      <c r="J7" s="104"/>
      <c r="K7" s="104"/>
      <c r="L7" s="104"/>
      <c r="M7" s="104"/>
      <c r="N7" s="104"/>
      <c r="O7" s="104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272" t="s">
        <v>56</v>
      </c>
      <c r="B10" s="275" t="s">
        <v>0</v>
      </c>
      <c r="C10" s="278" t="s">
        <v>57</v>
      </c>
      <c r="D10" s="281" t="s">
        <v>2</v>
      </c>
      <c r="E10" s="284" t="s">
        <v>58</v>
      </c>
      <c r="F10" s="208"/>
      <c r="G10" s="264" t="s">
        <v>75</v>
      </c>
      <c r="H10" s="264"/>
      <c r="I10" s="287" t="s">
        <v>8</v>
      </c>
      <c r="J10" s="288"/>
      <c r="K10" s="288"/>
      <c r="L10" s="288"/>
      <c r="M10" s="288"/>
      <c r="N10" s="289"/>
      <c r="O10" s="254" t="s">
        <v>59</v>
      </c>
      <c r="P10" s="254" t="s">
        <v>10</v>
      </c>
    </row>
    <row r="11" spans="1:16" ht="12.75">
      <c r="A11" s="273"/>
      <c r="B11" s="276"/>
      <c r="C11" s="279"/>
      <c r="D11" s="282"/>
      <c r="E11" s="285"/>
      <c r="F11" s="286"/>
      <c r="G11" s="265"/>
      <c r="H11" s="265"/>
      <c r="I11" s="290"/>
      <c r="J11" s="291"/>
      <c r="K11" s="291"/>
      <c r="L11" s="291"/>
      <c r="M11" s="291"/>
      <c r="N11" s="292"/>
      <c r="O11" s="255"/>
      <c r="P11" s="255"/>
    </row>
    <row r="12" spans="1:16" ht="26.25" customHeight="1">
      <c r="A12" s="273"/>
      <c r="B12" s="276"/>
      <c r="C12" s="279"/>
      <c r="D12" s="282"/>
      <c r="E12" s="257" t="s">
        <v>60</v>
      </c>
      <c r="F12" s="222"/>
      <c r="G12" s="33" t="s">
        <v>61</v>
      </c>
      <c r="H12" s="258" t="s">
        <v>5</v>
      </c>
      <c r="I12" s="260" t="s">
        <v>62</v>
      </c>
      <c r="J12" s="262" t="s">
        <v>30</v>
      </c>
      <c r="K12" s="262" t="s">
        <v>63</v>
      </c>
      <c r="L12" s="262" t="s">
        <v>35</v>
      </c>
      <c r="M12" s="262" t="s">
        <v>64</v>
      </c>
      <c r="N12" s="268" t="s">
        <v>37</v>
      </c>
      <c r="O12" s="255"/>
      <c r="P12" s="255"/>
    </row>
    <row r="13" spans="1:16" ht="66.75" customHeight="1" thickBot="1">
      <c r="A13" s="274"/>
      <c r="B13" s="277"/>
      <c r="C13" s="280"/>
      <c r="D13" s="283"/>
      <c r="E13" s="34" t="s">
        <v>65</v>
      </c>
      <c r="F13" s="35" t="s">
        <v>19</v>
      </c>
      <c r="G13" s="36" t="s">
        <v>76</v>
      </c>
      <c r="H13" s="259"/>
      <c r="I13" s="261"/>
      <c r="J13" s="263"/>
      <c r="K13" s="263"/>
      <c r="L13" s="263"/>
      <c r="M13" s="263"/>
      <c r="N13" s="269"/>
      <c r="O13" s="256"/>
      <c r="P13" s="256"/>
    </row>
    <row r="14" spans="1:16" ht="13.5" thickBot="1">
      <c r="A14" s="37">
        <v>1</v>
      </c>
      <c r="B14" s="38">
        <v>2</v>
      </c>
      <c r="C14" s="37">
        <v>3</v>
      </c>
      <c r="D14" s="38">
        <v>4</v>
      </c>
      <c r="E14" s="37">
        <v>5</v>
      </c>
      <c r="F14" s="38">
        <v>6</v>
      </c>
      <c r="G14" s="37">
        <v>7</v>
      </c>
      <c r="H14" s="38">
        <v>8</v>
      </c>
      <c r="I14" s="37">
        <v>9</v>
      </c>
      <c r="J14" s="38">
        <v>10</v>
      </c>
      <c r="K14" s="37">
        <v>11</v>
      </c>
      <c r="L14" s="38">
        <v>12</v>
      </c>
      <c r="M14" s="37">
        <v>13</v>
      </c>
      <c r="N14" s="38">
        <v>14</v>
      </c>
      <c r="O14" s="37">
        <v>15</v>
      </c>
      <c r="P14" s="39">
        <v>16</v>
      </c>
    </row>
    <row r="15" spans="1:16" ht="12.75">
      <c r="A15" s="8" t="s">
        <v>38</v>
      </c>
      <c r="B15" s="9"/>
      <c r="C15" s="32"/>
      <c r="D15" s="8"/>
      <c r="E15" s="9"/>
      <c r="F15" s="11"/>
      <c r="G15" s="40"/>
      <c r="H15" s="32"/>
      <c r="I15" s="8"/>
      <c r="J15" s="9"/>
      <c r="K15" s="9"/>
      <c r="L15" s="9"/>
      <c r="M15" s="9"/>
      <c r="N15" s="11"/>
      <c r="O15" s="41"/>
      <c r="P15" s="42"/>
    </row>
    <row r="16" spans="1:16" ht="12.75">
      <c r="A16" s="14" t="s">
        <v>39</v>
      </c>
      <c r="B16" s="15">
        <f>Лист1!B9</f>
        <v>4316.5</v>
      </c>
      <c r="C16" s="43">
        <f>Лист1!C9</f>
        <v>37337.725</v>
      </c>
      <c r="D16" s="44">
        <f>Лист1!D9</f>
        <v>8993.911198</v>
      </c>
      <c r="E16" s="16">
        <f>Лист1!S9</f>
        <v>23757.73</v>
      </c>
      <c r="F16" s="18">
        <f>Лист1!T9</f>
        <v>7071.760000000001</v>
      </c>
      <c r="G16" s="45">
        <f>Лист1!AB9</f>
        <v>0</v>
      </c>
      <c r="H16" s="45">
        <f>Лист1!AC9</f>
        <v>16065.671198</v>
      </c>
      <c r="I16" s="46">
        <f>Лист1!AG9</f>
        <v>2589.9</v>
      </c>
      <c r="J16" s="16">
        <f>Лист1!AI9</f>
        <v>3676.7846999999997</v>
      </c>
      <c r="K16" s="16">
        <f>Лист1!AH9+Лист1!AK9+Лист1!AL9+Лист1!AM9+Лист1!AN9+Лист1!AQ9+Лист1!AP9+Лист1!AR9+Лист1!AO9</f>
        <v>15234.625316149999</v>
      </c>
      <c r="L16" s="17">
        <f>Лист1!AS9+Лист1!AT9+Лист1!AU9</f>
        <v>6384.4372</v>
      </c>
      <c r="M16" s="17">
        <f>Лист1!AX9</f>
        <v>0</v>
      </c>
      <c r="N16" s="18">
        <f>Лист1!BB9</f>
        <v>28547.56846215</v>
      </c>
      <c r="O16" s="47">
        <f>Лист1!BE9</f>
        <v>-12481.89726415</v>
      </c>
      <c r="P16" s="47">
        <f>Лист1!BF9</f>
        <v>-23757.73</v>
      </c>
    </row>
    <row r="17" spans="1:16" ht="12.75">
      <c r="A17" s="14" t="s">
        <v>40</v>
      </c>
      <c r="B17" s="15">
        <f>Лист1!B10</f>
        <v>4316.5</v>
      </c>
      <c r="C17" s="43">
        <f>Лист1!C10</f>
        <v>37337.725</v>
      </c>
      <c r="D17" s="44">
        <f>Лист1!D10</f>
        <v>8993.911198</v>
      </c>
      <c r="E17" s="16">
        <f>Лист1!S10</f>
        <v>23551.660000000003</v>
      </c>
      <c r="F17" s="18">
        <f>Лист1!T10</f>
        <v>6886.22</v>
      </c>
      <c r="G17" s="45">
        <f>Лист1!AB10</f>
        <v>15806.630000000001</v>
      </c>
      <c r="H17" s="45">
        <f>Лист1!AC10</f>
        <v>31686.761198</v>
      </c>
      <c r="I17" s="46">
        <f>Лист1!AG10</f>
        <v>2589.9</v>
      </c>
      <c r="J17" s="16">
        <f>Лист1!AI10</f>
        <v>3676.7846999999997</v>
      </c>
      <c r="K17" s="16">
        <f>Лист1!AH10+Лист1!AK10+Лист1!AL10+Лист1!AM10+Лист1!AN10+Лист1!AQ10+Лист1!AP10+Лист1!AR10+Лист1!AO10</f>
        <v>15188.645958149998</v>
      </c>
      <c r="L17" s="17">
        <f>Лист1!AS10+Лист1!AT10+Лист1!AU10</f>
        <v>3327.6</v>
      </c>
      <c r="M17" s="17">
        <f>Лист1!AX10</f>
        <v>0</v>
      </c>
      <c r="N17" s="18">
        <f>Лист1!BB10</f>
        <v>25444.751904149998</v>
      </c>
      <c r="O17" s="47">
        <f>Лист1!BE10</f>
        <v>6242.009293850002</v>
      </c>
      <c r="P17" s="47">
        <f>Лист1!BF10</f>
        <v>-7745.0300000000025</v>
      </c>
    </row>
    <row r="18" spans="1:18" ht="13.5" thickBot="1">
      <c r="A18" s="48" t="s">
        <v>41</v>
      </c>
      <c r="B18" s="74">
        <f>Лист1!B11</f>
        <v>4316.5</v>
      </c>
      <c r="C18" s="49">
        <f>Лист1!C11</f>
        <v>37337.725</v>
      </c>
      <c r="D18" s="75">
        <f>Лист1!D11</f>
        <v>8974.12220375</v>
      </c>
      <c r="E18" s="76">
        <f>Лист1!S11</f>
        <v>23432.29</v>
      </c>
      <c r="F18" s="78">
        <f>Лист1!T11</f>
        <v>7160.31</v>
      </c>
      <c r="G18" s="77">
        <f>Лист1!AB11</f>
        <v>25944.370000000003</v>
      </c>
      <c r="H18" s="77">
        <f>Лист1!AC11</f>
        <v>42078.802203750005</v>
      </c>
      <c r="I18" s="46">
        <f>Лист1!AG11</f>
        <v>2589.9</v>
      </c>
      <c r="J18" s="16">
        <f>Лист1!AI11</f>
        <v>3666.08978</v>
      </c>
      <c r="K18" s="16">
        <f>Лист1!AH11+Лист1!AK11+Лист1!AL11+Лист1!AM11+Лист1!AN11+Лист1!AQ11+Лист1!AP11+Лист1!AR11+Лист1!AO11</f>
        <v>15164.379860045</v>
      </c>
      <c r="L18" s="17">
        <f>Лист1!AS11+Лист1!AT11+Лист1!AU11</f>
        <v>17259.86</v>
      </c>
      <c r="M18" s="17">
        <f>Лист1!AX11</f>
        <v>0</v>
      </c>
      <c r="N18" s="18">
        <f>Лист1!BB11</f>
        <v>39340.12580044499</v>
      </c>
      <c r="O18" s="47">
        <f>Лист1!BE11</f>
        <v>2738.676403305013</v>
      </c>
      <c r="P18" s="47">
        <f>Лист1!BF11</f>
        <v>2512.0800000000017</v>
      </c>
      <c r="Q18" s="1"/>
      <c r="R18" s="1"/>
    </row>
    <row r="19" spans="1:18" s="24" customFormat="1" ht="13.5" thickBot="1">
      <c r="A19" s="50" t="s">
        <v>3</v>
      </c>
      <c r="B19" s="82"/>
      <c r="C19" s="83">
        <f>SUM(C16:C18)</f>
        <v>112013.17499999999</v>
      </c>
      <c r="D19" s="89">
        <f aca="true" t="shared" si="0" ref="D19:P19">SUM(D16:D18)</f>
        <v>26961.94459975</v>
      </c>
      <c r="E19" s="83">
        <f t="shared" si="0"/>
        <v>70741.68</v>
      </c>
      <c r="F19" s="84">
        <f t="shared" si="0"/>
        <v>21118.29</v>
      </c>
      <c r="G19" s="88">
        <f t="shared" si="0"/>
        <v>41751</v>
      </c>
      <c r="H19" s="83">
        <f t="shared" si="0"/>
        <v>89831.23459975001</v>
      </c>
      <c r="I19" s="83">
        <f t="shared" si="0"/>
        <v>7769.700000000001</v>
      </c>
      <c r="J19" s="83">
        <f t="shared" si="0"/>
        <v>11019.659179999999</v>
      </c>
      <c r="K19" s="83">
        <f t="shared" si="0"/>
        <v>45587.651134345</v>
      </c>
      <c r="L19" s="83">
        <f t="shared" si="0"/>
        <v>26971.8972</v>
      </c>
      <c r="M19" s="83">
        <f t="shared" si="0"/>
        <v>0</v>
      </c>
      <c r="N19" s="83">
        <f t="shared" si="0"/>
        <v>93332.446166745</v>
      </c>
      <c r="O19" s="83">
        <f t="shared" si="0"/>
        <v>-3501.2115669949853</v>
      </c>
      <c r="P19" s="84">
        <f t="shared" si="0"/>
        <v>-28990.68</v>
      </c>
      <c r="Q19" s="57"/>
      <c r="R19" s="58"/>
    </row>
    <row r="20" spans="1:18" ht="12.75">
      <c r="A20" s="8" t="s">
        <v>42</v>
      </c>
      <c r="B20" s="79"/>
      <c r="C20" s="59"/>
      <c r="D20" s="60"/>
      <c r="E20" s="61"/>
      <c r="F20" s="62"/>
      <c r="G20" s="63"/>
      <c r="H20" s="63"/>
      <c r="I20" s="64"/>
      <c r="J20" s="61"/>
      <c r="K20" s="61"/>
      <c r="L20" s="80"/>
      <c r="M20" s="80"/>
      <c r="N20" s="62"/>
      <c r="O20" s="81"/>
      <c r="P20" s="81"/>
      <c r="Q20" s="1"/>
      <c r="R20" s="1"/>
    </row>
    <row r="21" spans="1:18" ht="12.75">
      <c r="A21" s="14" t="s">
        <v>43</v>
      </c>
      <c r="B21" s="15">
        <f>Лист1!B14</f>
        <v>4316.5</v>
      </c>
      <c r="C21" s="43">
        <f>Лист1!C14</f>
        <v>37337.725</v>
      </c>
      <c r="D21" s="44">
        <f>Лист1!D14</f>
        <v>4667.215625</v>
      </c>
      <c r="E21" s="16">
        <f>Лист1!S14</f>
        <v>22915.829999999998</v>
      </c>
      <c r="F21" s="18">
        <f>Лист1!T14</f>
        <v>7084.71</v>
      </c>
      <c r="G21" s="45">
        <f>Лист1!AB14</f>
        <v>16406.000000000004</v>
      </c>
      <c r="H21" s="45">
        <f>Лист1!AC14</f>
        <v>28157.925625000003</v>
      </c>
      <c r="I21" s="46">
        <f>Лист1!AG14</f>
        <v>2330.9100000000003</v>
      </c>
      <c r="J21" s="16">
        <f>Лист1!AI14</f>
        <v>3181.024675</v>
      </c>
      <c r="K21" s="16">
        <f>Лист1!AH14+Лист1!AK14+Лист1!AL14+Лист1!AM14+Лист1!AN14+Лист1!AO14+Лист1!AP14+Лист1!AR14+Лист1!AQ14</f>
        <v>12891.052777070001</v>
      </c>
      <c r="L21" s="17">
        <f>Лист1!AS14+Лист1!AT14+Лист1!AU14</f>
        <v>21363.91</v>
      </c>
      <c r="M21" s="17">
        <f>Лист1!AX14</f>
        <v>1846.2752</v>
      </c>
      <c r="N21" s="18">
        <f>Лист1!BB14</f>
        <v>40339.48189357</v>
      </c>
      <c r="O21" s="47">
        <f>Лист1!BE14</f>
        <v>-12181.556268569999</v>
      </c>
      <c r="P21" s="47">
        <f>Лист1!BF14</f>
        <v>-6509.8299999999945</v>
      </c>
      <c r="Q21" s="1"/>
      <c r="R21" s="1"/>
    </row>
    <row r="22" spans="1:18" ht="12.75">
      <c r="A22" s="14" t="s">
        <v>44</v>
      </c>
      <c r="B22" s="15">
        <f>Лист1!B15</f>
        <v>4316.5</v>
      </c>
      <c r="C22" s="43">
        <f>Лист1!C15</f>
        <v>37337.725</v>
      </c>
      <c r="D22" s="44">
        <f>Лист1!D15</f>
        <v>4667.215625</v>
      </c>
      <c r="E22" s="16">
        <f>Лист1!S15</f>
        <v>23760.38</v>
      </c>
      <c r="F22" s="18">
        <f>Лист1!T15</f>
        <v>6947.840000000001</v>
      </c>
      <c r="G22" s="45">
        <f>Лист1!AB15</f>
        <v>18121.68</v>
      </c>
      <c r="H22" s="45">
        <f>Лист1!AC15</f>
        <v>29736.735625</v>
      </c>
      <c r="I22" s="46">
        <f>Лист1!AG15</f>
        <v>2330.9100000000003</v>
      </c>
      <c r="J22" s="16">
        <f>Лист1!AI15</f>
        <v>3181.044675</v>
      </c>
      <c r="K22" s="16">
        <f>Лист1!AH15+Лист1!AK15+Лист1!AL15+Лист1!AM15+Лист1!AN15+Лист1!AO15+Лист1!AP15+Лист1!AR15+Лист1!AQ15</f>
        <v>12909.66250352</v>
      </c>
      <c r="L22" s="17">
        <f>Лист1!AS15+Лист1!AT15+Лист1!AU15</f>
        <v>11437.74</v>
      </c>
      <c r="M22" s="17">
        <f>Лист1!AX15</f>
        <v>1479.2008</v>
      </c>
      <c r="N22" s="18">
        <f>Лист1!BB15</f>
        <v>30431.94522002</v>
      </c>
      <c r="O22" s="47">
        <f>Лист1!BE15</f>
        <v>-695.2095950199982</v>
      </c>
      <c r="P22" s="47">
        <f>Лист1!BF15</f>
        <v>-5638.700000000001</v>
      </c>
      <c r="Q22" s="1"/>
      <c r="R22" s="1"/>
    </row>
    <row r="23" spans="1:18" ht="12.75">
      <c r="A23" s="14" t="s">
        <v>45</v>
      </c>
      <c r="B23" s="15">
        <f>Лист1!B16</f>
        <v>4316.5</v>
      </c>
      <c r="C23" s="43">
        <f>Лист1!C16</f>
        <v>37337.725</v>
      </c>
      <c r="D23" s="44">
        <f>Лист1!D16</f>
        <v>4667.215625</v>
      </c>
      <c r="E23" s="16">
        <f>Лист1!S16</f>
        <v>22971.29</v>
      </c>
      <c r="F23" s="18">
        <f>Лист1!T16</f>
        <v>6937.31</v>
      </c>
      <c r="G23" s="45">
        <f>Лист1!AB16</f>
        <v>25777.89</v>
      </c>
      <c r="H23" s="45">
        <f>Лист1!AC16</f>
        <v>37382.415625</v>
      </c>
      <c r="I23" s="46">
        <f>Лист1!AG16</f>
        <v>2330.9100000000003</v>
      </c>
      <c r="J23" s="16">
        <f>Лист1!AI16</f>
        <v>3182.8791875</v>
      </c>
      <c r="K23" s="16">
        <f>Лист1!AH16+Лист1!AK16+Лист1!AL16+Лист1!AM16+Лист1!AN16+Лист1!AO16+Лист1!AP16+Лист1!AR16+Лист1!AQ16</f>
        <v>12480.240249169998</v>
      </c>
      <c r="L23" s="17">
        <f>Лист1!AS16+Лист1!AT16+Лист1!AU16</f>
        <v>3636.76</v>
      </c>
      <c r="M23" s="17">
        <f>Лист1!AX16</f>
        <v>1391.9752</v>
      </c>
      <c r="N23" s="18">
        <f>Лист1!BB16</f>
        <v>22203.70769042</v>
      </c>
      <c r="O23" s="47">
        <f>Лист1!BE16</f>
        <v>15178.707934580001</v>
      </c>
      <c r="P23" s="47">
        <f>Лист1!BF16</f>
        <v>2806.5999999999985</v>
      </c>
      <c r="Q23" s="1"/>
      <c r="R23" s="1"/>
    </row>
    <row r="24" spans="1:18" ht="12.75">
      <c r="A24" s="14" t="s">
        <v>46</v>
      </c>
      <c r="B24" s="15">
        <f>Лист1!B17</f>
        <v>4316.5</v>
      </c>
      <c r="C24" s="43">
        <f>Лист1!C17</f>
        <v>37337.725</v>
      </c>
      <c r="D24" s="44">
        <f>Лист1!D17</f>
        <v>4667.215625</v>
      </c>
      <c r="E24" s="16">
        <f>Лист1!S17</f>
        <v>23860.38</v>
      </c>
      <c r="F24" s="18">
        <f>Лист1!T17</f>
        <v>6843.97</v>
      </c>
      <c r="G24" s="45">
        <f>Лист1!AB17</f>
        <v>18590.17</v>
      </c>
      <c r="H24" s="45">
        <f>Лист1!AC17</f>
        <v>30101.355624999997</v>
      </c>
      <c r="I24" s="46">
        <f>Лист1!AG17</f>
        <v>2330.9100000000003</v>
      </c>
      <c r="J24" s="16">
        <f>Лист1!AI17</f>
        <v>3277.906935</v>
      </c>
      <c r="K24" s="16">
        <f>Лист1!AH17+Лист1!AK17+Лист1!AL17+Лист1!AM17+Лист1!AN17+Лист1!AO17+Лист1!AP17+Лист1!AR17+Лист1!AQ17</f>
        <v>12657.071628439999</v>
      </c>
      <c r="L24" s="17">
        <f>Лист1!AS17+Лист1!AT17+Лист1!AU17</f>
        <v>13080.8782</v>
      </c>
      <c r="M24" s="17">
        <f>Лист1!AX17</f>
        <v>5833.212</v>
      </c>
      <c r="N24" s="18">
        <f>Лист1!BB17</f>
        <v>37770.00201174</v>
      </c>
      <c r="O24" s="47">
        <f>Лист1!BE17</f>
        <v>-7668.646386740002</v>
      </c>
      <c r="P24" s="47">
        <f>Лист1!BF17</f>
        <v>-5270.210000000003</v>
      </c>
      <c r="Q24" s="1"/>
      <c r="R24" s="1"/>
    </row>
    <row r="25" spans="1:18" ht="12.75">
      <c r="A25" s="14" t="s">
        <v>47</v>
      </c>
      <c r="B25" s="15">
        <f>Лист1!B18</f>
        <v>4316.5</v>
      </c>
      <c r="C25" s="43">
        <f>Лист1!C18</f>
        <v>37337.725</v>
      </c>
      <c r="D25" s="44">
        <f>Лист1!D18</f>
        <v>3240.495000000001</v>
      </c>
      <c r="E25" s="16">
        <f>Лист1!S18</f>
        <v>26547.47</v>
      </c>
      <c r="F25" s="18">
        <f>Лист1!T18</f>
        <v>7549.76</v>
      </c>
      <c r="G25" s="45">
        <f>Лист1!AB18</f>
        <v>23481.16</v>
      </c>
      <c r="H25" s="45">
        <f>Лист1!AC18</f>
        <v>34271.415</v>
      </c>
      <c r="I25" s="46">
        <f>Лист1!AG18</f>
        <v>2589.9</v>
      </c>
      <c r="J25" s="16">
        <f>Лист1!AI18</f>
        <v>3669.025</v>
      </c>
      <c r="K25" s="16">
        <f>Лист1!AH18+Лист1!AK18+Лист1!AL18+Лист1!AM18+Лист1!AN18+Лист1!AO18+Лист1!AP18+Лист1!AR18+Лист1!AQ18</f>
        <v>14828.040799999999</v>
      </c>
      <c r="L25" s="17">
        <f>Лист1!AS18+Лист1!AT18+Лист1!AU18</f>
        <v>2628.6859999999997</v>
      </c>
      <c r="M25" s="17">
        <f>Лист1!AX18</f>
        <v>955.8472</v>
      </c>
      <c r="N25" s="18">
        <f>Лист1!BB18</f>
        <v>25331.9235</v>
      </c>
      <c r="O25" s="47">
        <f>Лист1!BE18</f>
        <v>8939.4915</v>
      </c>
      <c r="P25" s="47">
        <f>Лист1!BF18</f>
        <v>-3066.3100000000013</v>
      </c>
      <c r="Q25" s="1"/>
      <c r="R25" s="1"/>
    </row>
    <row r="26" spans="1:18" ht="12.75">
      <c r="A26" s="14" t="s">
        <v>48</v>
      </c>
      <c r="B26" s="15">
        <f>Лист1!B19</f>
        <v>4316.5</v>
      </c>
      <c r="C26" s="43">
        <f>Лист1!C19</f>
        <v>37337.725</v>
      </c>
      <c r="D26" s="44">
        <f>Лист1!D19</f>
        <v>3282.8250000000035</v>
      </c>
      <c r="E26" s="16">
        <f>Лист1!S19</f>
        <v>26550.81</v>
      </c>
      <c r="F26" s="18">
        <f>Лист1!T19</f>
        <v>7504.09</v>
      </c>
      <c r="G26" s="45">
        <f>Лист1!AB19</f>
        <v>23219.24</v>
      </c>
      <c r="H26" s="45">
        <f>Лист1!AC19</f>
        <v>34006.155000000006</v>
      </c>
      <c r="I26" s="46">
        <f>Лист1!AG19</f>
        <v>2589.9</v>
      </c>
      <c r="J26" s="16">
        <f>Лист1!AI19</f>
        <v>3669.025</v>
      </c>
      <c r="K26" s="16">
        <f>Лист1!AH19+Лист1!AK19+Лист1!AL19+Лист1!AM19+Лист1!AN19+Лист1!AO19+Лист1!AP19+Лист1!AR19+Лист1!AQ19</f>
        <v>14828.429284999998</v>
      </c>
      <c r="L26" s="17">
        <f>Лист1!AS19+Лист1!AT19+Лист1!AU19</f>
        <v>299.13</v>
      </c>
      <c r="M26" s="17">
        <f>Лист1!AX19</f>
        <v>846.8152000000001</v>
      </c>
      <c r="N26" s="18">
        <f>Лист1!BB19</f>
        <v>22893.723985</v>
      </c>
      <c r="O26" s="47">
        <f>Лист1!BE19</f>
        <v>11112.431015000006</v>
      </c>
      <c r="P26" s="47">
        <f>Лист1!BF19</f>
        <v>-3331.5699999999997</v>
      </c>
      <c r="Q26" s="1"/>
      <c r="R26" s="1"/>
    </row>
    <row r="27" spans="1:18" ht="12.75">
      <c r="A27" s="14" t="s">
        <v>49</v>
      </c>
      <c r="B27" s="15">
        <f>Лист1!B20</f>
        <v>4317.6</v>
      </c>
      <c r="C27" s="43">
        <f>Лист1!C20</f>
        <v>37347.240000000005</v>
      </c>
      <c r="D27" s="44">
        <f>Лист1!D20</f>
        <v>3299.01000000001</v>
      </c>
      <c r="E27" s="16">
        <f>Лист1!S20</f>
        <v>25939.559999999998</v>
      </c>
      <c r="F27" s="18">
        <f>Лист1!T20</f>
        <v>8108.669999999999</v>
      </c>
      <c r="G27" s="45">
        <f>Лист1!AB20</f>
        <v>28811.670000000002</v>
      </c>
      <c r="H27" s="45">
        <f>Лист1!AC20</f>
        <v>40219.35000000001</v>
      </c>
      <c r="I27" s="46">
        <f>Лист1!AG20</f>
        <v>2590.56</v>
      </c>
      <c r="J27" s="16">
        <f>Лист1!AI20</f>
        <v>3617.479572</v>
      </c>
      <c r="K27" s="16">
        <f>Лист1!AH20+Лист1!AK20+Лист1!AL20+Лист1!AM20+Лист1!AN20+Лист1!AO20+Лист1!AP20+Лист1!AR20+Лист1!AQ20</f>
        <v>14685.61090416</v>
      </c>
      <c r="L27" s="17">
        <f>Лист1!AS20+Лист1!AT20+Лист1!AU20</f>
        <v>561.9159999999999</v>
      </c>
      <c r="M27" s="17">
        <f>Лист1!AX20</f>
        <v>901.3312</v>
      </c>
      <c r="N27" s="18">
        <f>Лист1!BB20</f>
        <v>23008.043999120004</v>
      </c>
      <c r="O27" s="47">
        <f>Лист1!BE20</f>
        <v>17211.30600088001</v>
      </c>
      <c r="P27" s="47">
        <f>Лист1!BF20</f>
        <v>2872.110000000004</v>
      </c>
      <c r="Q27" s="1"/>
      <c r="R27" s="1"/>
    </row>
    <row r="28" spans="1:18" ht="12.75">
      <c r="A28" s="14" t="s">
        <v>50</v>
      </c>
      <c r="B28" s="15">
        <f>Лист1!B21</f>
        <v>4317.6</v>
      </c>
      <c r="C28" s="43">
        <f>Лист1!C21</f>
        <v>37347.240000000005</v>
      </c>
      <c r="D28" s="44">
        <f>Лист1!D21</f>
        <v>3280.1300000000024</v>
      </c>
      <c r="E28" s="16">
        <f>Лист1!S21</f>
        <v>26224.769999999997</v>
      </c>
      <c r="F28" s="18">
        <f>Лист1!T21</f>
        <v>7842.34</v>
      </c>
      <c r="G28" s="45">
        <f>Лист1!AB21</f>
        <v>24152.89</v>
      </c>
      <c r="H28" s="45">
        <f>Лист1!AC21</f>
        <v>35275.36</v>
      </c>
      <c r="I28" s="46">
        <f>Лист1!AG21</f>
        <v>2590.56</v>
      </c>
      <c r="J28" s="16">
        <f>Лист1!AI21</f>
        <v>3615.8647896</v>
      </c>
      <c r="K28" s="16">
        <f>Лист1!AH21+Лист1!AK21+Лист1!AL21+Лист1!AM21+Лист1!AN21+Лист1!AO21+Лист1!AP21+Лист1!AR21+Лист1!AQ21</f>
        <v>14682.5082768</v>
      </c>
      <c r="L28" s="17">
        <f>Лист1!AS21+Лист1!AT21+Лист1!AU21</f>
        <v>19608.9214</v>
      </c>
      <c r="M28" s="17">
        <f>Лист1!AX21</f>
        <v>1064.8792</v>
      </c>
      <c r="N28" s="18">
        <f>Лист1!BB21</f>
        <v>42213.58932852801</v>
      </c>
      <c r="O28" s="47">
        <f>Лист1!BE21</f>
        <v>-6938.22932852801</v>
      </c>
      <c r="P28" s="47">
        <f>Лист1!BF21</f>
        <v>-2071.8799999999974</v>
      </c>
      <c r="Q28" s="1"/>
      <c r="R28" s="1"/>
    </row>
    <row r="29" spans="1:18" ht="12.75">
      <c r="A29" s="14" t="s">
        <v>51</v>
      </c>
      <c r="B29" s="15">
        <f>Лист1!B22</f>
        <v>4317.6</v>
      </c>
      <c r="C29" s="43">
        <f>Лист1!C22</f>
        <v>37347.240000000005</v>
      </c>
      <c r="D29" s="44">
        <f>Лист1!D22</f>
        <v>3270.310000000002</v>
      </c>
      <c r="E29" s="16">
        <f>Лист1!S22</f>
        <v>26363.81</v>
      </c>
      <c r="F29" s="18">
        <f>Лист1!T22</f>
        <v>7713.12</v>
      </c>
      <c r="G29" s="45">
        <f>Лист1!AB22</f>
        <v>22419.510000000002</v>
      </c>
      <c r="H29" s="45">
        <f>Лист1!AC22</f>
        <v>33402.94</v>
      </c>
      <c r="I29" s="46">
        <f>Лист1!AG22</f>
        <v>2590.56</v>
      </c>
      <c r="J29" s="16">
        <f>Лист1!AI22</f>
        <v>3615.2408964</v>
      </c>
      <c r="K29" s="16">
        <f>Лист1!AH22+Лист1!AK22+Лист1!AL22+Лист1!AM22+Лист1!AN22+Лист1!AO22+Лист1!AP22+Лист1!AR22+Лист1!AQ22</f>
        <v>14680.5789745104</v>
      </c>
      <c r="L29" s="17">
        <f>Лист1!AS22+Лист1!AT22+Лист1!AU22</f>
        <v>0</v>
      </c>
      <c r="M29" s="17">
        <f>Лист1!AX22</f>
        <v>1268.4056</v>
      </c>
      <c r="N29" s="18">
        <f>Лист1!BB22</f>
        <v>22805.528832262396</v>
      </c>
      <c r="O29" s="47">
        <f>Лист1!BE22</f>
        <v>10597.411167737606</v>
      </c>
      <c r="P29" s="47">
        <f>Лист1!BF22</f>
        <v>-3944.2999999999993</v>
      </c>
      <c r="Q29" s="1"/>
      <c r="R29" s="1"/>
    </row>
    <row r="30" spans="1:18" ht="12.75">
      <c r="A30" s="14" t="s">
        <v>39</v>
      </c>
      <c r="B30" s="15">
        <f>Лист1!B23</f>
        <v>4317.6</v>
      </c>
      <c r="C30" s="43">
        <f>Лист1!C23</f>
        <v>37347.240000000005</v>
      </c>
      <c r="D30" s="44">
        <f>Лист1!D23</f>
        <v>3264.620000000006</v>
      </c>
      <c r="E30" s="16">
        <f>Лист1!S23</f>
        <v>26777.829999999998</v>
      </c>
      <c r="F30" s="18">
        <f>Лист1!T23</f>
        <v>7304.79</v>
      </c>
      <c r="G30" s="45">
        <f>Лист1!AB23</f>
        <v>31593.839999999997</v>
      </c>
      <c r="H30" s="45">
        <f>Лист1!AC23</f>
        <v>42163.25</v>
      </c>
      <c r="I30" s="46">
        <f>Лист1!AG23</f>
        <v>2590.56</v>
      </c>
      <c r="J30" s="16">
        <f>Лист1!AI23</f>
        <v>3657.0072</v>
      </c>
      <c r="K30" s="16">
        <f>Лист1!AH23+Лист1!AK23+Лист1!AL23+Лист1!AM23+Лист1!AN23+Лист1!AO23+Лист1!AP23+Лист1!AR23+Лист1!AQ23</f>
        <v>14806.777440000002</v>
      </c>
      <c r="L30" s="17">
        <f>Лист1!AS23+Лист1!AT23+Лист1!AU23</f>
        <v>295.295</v>
      </c>
      <c r="M30" s="17">
        <f>Лист1!AX23</f>
        <v>1544.6200000000001</v>
      </c>
      <c r="N30" s="18">
        <f>Лист1!BB23</f>
        <v>23552.520935999997</v>
      </c>
      <c r="O30" s="47">
        <f>Лист1!BE23</f>
        <v>18610.729064000003</v>
      </c>
      <c r="P30" s="47">
        <f>Лист1!BF23</f>
        <v>4816.009999999998</v>
      </c>
      <c r="Q30" s="1"/>
      <c r="R30" s="1"/>
    </row>
    <row r="31" spans="1:18" ht="12.75">
      <c r="A31" s="14" t="s">
        <v>40</v>
      </c>
      <c r="B31" s="15">
        <f>Лист1!B24</f>
        <v>4330.6</v>
      </c>
      <c r="C31" s="43">
        <f>Лист1!C24</f>
        <v>37459.69</v>
      </c>
      <c r="D31" s="44">
        <f>Лист1!D24</f>
        <v>3377.069999999994</v>
      </c>
      <c r="E31" s="16">
        <f>Лист1!S24</f>
        <v>26827.75</v>
      </c>
      <c r="F31" s="18">
        <f>Лист1!T24</f>
        <v>7254.87</v>
      </c>
      <c r="G31" s="45">
        <f>Лист1!AB24</f>
        <v>31629.58</v>
      </c>
      <c r="H31" s="45">
        <f>Лист1!AC24</f>
        <v>42261.52</v>
      </c>
      <c r="I31" s="46">
        <f>Лист1!AG24</f>
        <v>2598.36</v>
      </c>
      <c r="J31" s="16">
        <f>Лист1!AI24</f>
        <v>3681.01</v>
      </c>
      <c r="K31" s="16">
        <f>Лист1!AH24+Лист1!AK24+Лист1!AL24+Лист1!AM24+Лист1!AN24+Лист1!AO24+Лист1!AP24+Лист1!AR24+Лист1!AQ24</f>
        <v>14867.815920000001</v>
      </c>
      <c r="L31" s="17">
        <f>Лист1!AS24+Лист1!AT24+Лист1!AU24</f>
        <v>1485.62</v>
      </c>
      <c r="M31" s="17">
        <f>Лист1!AX24</f>
        <v>1708.1680000000001</v>
      </c>
      <c r="N31" s="18">
        <f>Лист1!BB24</f>
        <v>25003.555720000004</v>
      </c>
      <c r="O31" s="47">
        <f>Лист1!BE24</f>
        <v>17257.964279999993</v>
      </c>
      <c r="P31" s="47">
        <f>Лист1!BF24</f>
        <v>4801.830000000002</v>
      </c>
      <c r="Q31" s="1"/>
      <c r="R31" s="1"/>
    </row>
    <row r="32" spans="1:18" ht="13.5" thickBot="1">
      <c r="A32" s="48" t="s">
        <v>41</v>
      </c>
      <c r="B32" s="15">
        <f>Лист1!B25</f>
        <v>4329.2</v>
      </c>
      <c r="C32" s="43">
        <f>Лист1!C25</f>
        <v>37447.58</v>
      </c>
      <c r="D32" s="44">
        <f>Лист1!D25</f>
        <v>3355.720000000004</v>
      </c>
      <c r="E32" s="16">
        <f>Лист1!S25</f>
        <v>26854.670000000002</v>
      </c>
      <c r="F32" s="18">
        <f>Лист1!T25</f>
        <v>7237.1900000000005</v>
      </c>
      <c r="G32" s="45">
        <f>Лист1!AB25</f>
        <v>28811.08</v>
      </c>
      <c r="H32" s="45">
        <f>Лист1!AC25</f>
        <v>39403.990000000005</v>
      </c>
      <c r="I32" s="46">
        <f>Лист1!AG25</f>
        <v>2597.52</v>
      </c>
      <c r="J32" s="16">
        <f>Лист1!AI25</f>
        <v>3679.8199999999997</v>
      </c>
      <c r="K32" s="16">
        <f>Лист1!AH25+Лист1!AK25+Лист1!AL25+Лист1!AM25+Лист1!AN25+Лист1!AO25+Лист1!AP25+Лист1!AR25+Лист1!AQ25</f>
        <v>14863.00944</v>
      </c>
      <c r="L32" s="17">
        <f>Лист1!AS25+Лист1!AT25+Лист1!AU25</f>
        <v>6416.84</v>
      </c>
      <c r="M32" s="17">
        <f>Лист1!AX25</f>
        <v>1868.0816</v>
      </c>
      <c r="N32" s="18">
        <f>Лист1!BB25</f>
        <v>30087.638639999997</v>
      </c>
      <c r="O32" s="47">
        <f>Лист1!BE25</f>
        <v>9316.351360000008</v>
      </c>
      <c r="P32" s="47">
        <f>Лист1!BF25</f>
        <v>1956.4099999999999</v>
      </c>
      <c r="Q32" s="1"/>
      <c r="R32" s="1"/>
    </row>
    <row r="33" spans="1:18" s="24" customFormat="1" ht="13.5" thickBot="1">
      <c r="A33" s="50" t="s">
        <v>3</v>
      </c>
      <c r="B33" s="51"/>
      <c r="C33" s="52">
        <f aca="true" t="shared" si="1" ref="C33:P33">SUM(C21:C32)</f>
        <v>448322.58</v>
      </c>
      <c r="D33" s="53">
        <f t="shared" si="1"/>
        <v>45039.04250000001</v>
      </c>
      <c r="E33" s="52">
        <f t="shared" si="1"/>
        <v>305594.55</v>
      </c>
      <c r="F33" s="54">
        <f t="shared" si="1"/>
        <v>88328.65999999999</v>
      </c>
      <c r="G33" s="55">
        <f t="shared" si="1"/>
        <v>293014.71</v>
      </c>
      <c r="H33" s="52">
        <f t="shared" si="1"/>
        <v>426382.41250000003</v>
      </c>
      <c r="I33" s="53">
        <f t="shared" si="1"/>
        <v>30061.560000000005</v>
      </c>
      <c r="J33" s="52">
        <f t="shared" si="1"/>
        <v>42027.3279305</v>
      </c>
      <c r="K33" s="52">
        <f t="shared" si="1"/>
        <v>169180.79819867038</v>
      </c>
      <c r="L33" s="52">
        <f t="shared" si="1"/>
        <v>80815.69659999998</v>
      </c>
      <c r="M33" s="52">
        <f t="shared" si="1"/>
        <v>20708.811200000004</v>
      </c>
      <c r="N33" s="54">
        <f t="shared" si="1"/>
        <v>345641.66175666044</v>
      </c>
      <c r="O33" s="56">
        <f t="shared" si="1"/>
        <v>80740.7507433396</v>
      </c>
      <c r="P33" s="56">
        <f t="shared" si="1"/>
        <v>-12579.839999999993</v>
      </c>
      <c r="Q33" s="58"/>
      <c r="R33" s="58"/>
    </row>
    <row r="34" spans="1:18" ht="13.5" thickBot="1">
      <c r="A34" s="266" t="s">
        <v>66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65"/>
      <c r="Q34" s="1"/>
      <c r="R34" s="1"/>
    </row>
    <row r="35" spans="1:18" s="24" customFormat="1" ht="13.5" thickBot="1">
      <c r="A35" s="66" t="s">
        <v>52</v>
      </c>
      <c r="B35" s="67"/>
      <c r="C35" s="68">
        <f>C19+C33</f>
        <v>560335.755</v>
      </c>
      <c r="D35" s="69">
        <f aca="true" t="shared" si="2" ref="D35:P35">D19+D33</f>
        <v>72000.98709975001</v>
      </c>
      <c r="E35" s="67">
        <f t="shared" si="2"/>
        <v>376336.23</v>
      </c>
      <c r="F35" s="68">
        <f t="shared" si="2"/>
        <v>109446.94999999998</v>
      </c>
      <c r="G35" s="69">
        <f t="shared" si="2"/>
        <v>334765.71</v>
      </c>
      <c r="H35" s="68">
        <f t="shared" si="2"/>
        <v>516213.64709975006</v>
      </c>
      <c r="I35" s="69">
        <f t="shared" si="2"/>
        <v>37831.26000000001</v>
      </c>
      <c r="J35" s="67">
        <f t="shared" si="2"/>
        <v>53046.987110500006</v>
      </c>
      <c r="K35" s="67">
        <f t="shared" si="2"/>
        <v>214768.44933301536</v>
      </c>
      <c r="L35" s="67">
        <f t="shared" si="2"/>
        <v>107787.59379999997</v>
      </c>
      <c r="M35" s="67">
        <f t="shared" si="2"/>
        <v>20708.811200000004</v>
      </c>
      <c r="N35" s="70">
        <f t="shared" si="2"/>
        <v>438974.1079234054</v>
      </c>
      <c r="O35" s="71">
        <f t="shared" si="2"/>
        <v>77239.53917634461</v>
      </c>
      <c r="P35" s="71">
        <f t="shared" si="2"/>
        <v>-41570.51999999999</v>
      </c>
      <c r="Q35" s="72"/>
      <c r="R35" s="58"/>
    </row>
    <row r="36" spans="1:18" ht="12.75">
      <c r="A36" s="8" t="s">
        <v>92</v>
      </c>
      <c r="B36" s="79"/>
      <c r="C36" s="59"/>
      <c r="D36" s="60"/>
      <c r="E36" s="61"/>
      <c r="F36" s="62"/>
      <c r="G36" s="63"/>
      <c r="H36" s="63"/>
      <c r="I36" s="64"/>
      <c r="J36" s="61"/>
      <c r="K36" s="61"/>
      <c r="L36" s="80"/>
      <c r="M36" s="80"/>
      <c r="N36" s="62"/>
      <c r="O36" s="81"/>
      <c r="P36" s="81"/>
      <c r="Q36" s="1"/>
      <c r="R36" s="1"/>
    </row>
    <row r="37" spans="1:18" ht="12.75">
      <c r="A37" s="14" t="s">
        <v>43</v>
      </c>
      <c r="B37" s="15">
        <f>Лист1!B30</f>
        <v>4329.2</v>
      </c>
      <c r="C37" s="43">
        <f>Лист1!C30</f>
        <v>37447.58</v>
      </c>
      <c r="D37" s="44">
        <f>Лист1!D30</f>
        <v>3355.720000000004</v>
      </c>
      <c r="E37" s="16">
        <f>Лист1!S30</f>
        <v>26854.670000000002</v>
      </c>
      <c r="F37" s="18">
        <f>Лист1!T30</f>
        <v>7237.1900000000005</v>
      </c>
      <c r="G37" s="45">
        <f>Лист1!AB30</f>
        <v>20747.020000000004</v>
      </c>
      <c r="H37" s="45">
        <f>Лист1!AC30</f>
        <v>31339.930000000008</v>
      </c>
      <c r="I37" s="46">
        <f>Лист1!AG30</f>
        <v>2597.52</v>
      </c>
      <c r="J37" s="16">
        <f>Лист1!AI30</f>
        <v>4329.2</v>
      </c>
      <c r="K37" s="16">
        <f>Лист1!AH30+Лист1!AK30+Лист1!AL30+Лист1!AM30+Лист1!AN30+Лист1!AO30+Лист1!AP30+Лист1!AR30+Лист1!AQ30</f>
        <v>14849.155999999999</v>
      </c>
      <c r="L37" s="17">
        <f>Лист1!AS30+Лист1!AT30+Лист1!AU30</f>
        <v>36815</v>
      </c>
      <c r="M37" s="17">
        <f>Лист1!AX30</f>
        <v>1955.8</v>
      </c>
      <c r="N37" s="18">
        <f>Лист1!BB30</f>
        <v>60546.676</v>
      </c>
      <c r="O37" s="47">
        <f>Лист1!BE30</f>
        <v>-29206.745999999992</v>
      </c>
      <c r="P37" s="47">
        <f>Лист1!BF30</f>
        <v>-6107.649999999998</v>
      </c>
      <c r="Q37" s="1"/>
      <c r="R37" s="1"/>
    </row>
    <row r="38" spans="1:18" ht="12.75">
      <c r="A38" s="14" t="s">
        <v>44</v>
      </c>
      <c r="B38" s="15">
        <f>Лист1!B31</f>
        <v>4316.2</v>
      </c>
      <c r="C38" s="43">
        <f>Лист1!C31</f>
        <v>37335.13</v>
      </c>
      <c r="D38" s="44">
        <f>Лист1!D31</f>
        <v>3326.680000000001</v>
      </c>
      <c r="E38" s="16">
        <f>Лист1!S31</f>
        <v>26771.260000000002</v>
      </c>
      <c r="F38" s="18">
        <f>Лист1!T31</f>
        <v>7237.1900000000005</v>
      </c>
      <c r="G38" s="45">
        <f>Лист1!AB31</f>
        <v>22639.420000000002</v>
      </c>
      <c r="H38" s="45">
        <f>Лист1!AC31</f>
        <v>33203.29000000001</v>
      </c>
      <c r="I38" s="46">
        <f>Лист1!AG31</f>
        <v>2589.72</v>
      </c>
      <c r="J38" s="16">
        <f>Лист1!AI31</f>
        <v>4316.2</v>
      </c>
      <c r="K38" s="16">
        <f>Лист1!AH31+Лист1!AK31+Лист1!AL31+Лист1!AM31+Лист1!AN31+Лист1!AO31+Лист1!AP31+Лист1!AR31+Лист1!AQ31</f>
        <v>19479.886</v>
      </c>
      <c r="L38" s="17">
        <f>Лист1!AS31+Лист1!AT31+Лист1!AU31</f>
        <v>1110</v>
      </c>
      <c r="M38" s="17">
        <f>Лист1!AX31</f>
        <v>1566.9499999999998</v>
      </c>
      <c r="N38" s="18">
        <f>Лист1!BB31</f>
        <v>29062.755999999998</v>
      </c>
      <c r="O38" s="47">
        <f>Лист1!BE31</f>
        <v>4140.534000000011</v>
      </c>
      <c r="P38" s="47">
        <f>Лист1!BF31</f>
        <v>-4131.84</v>
      </c>
      <c r="Q38" s="1"/>
      <c r="R38" s="1"/>
    </row>
    <row r="39" spans="1:18" ht="12.75">
      <c r="A39" s="14" t="s">
        <v>45</v>
      </c>
      <c r="B39" s="15">
        <f>Лист1!B32</f>
        <v>4316.2</v>
      </c>
      <c r="C39" s="43">
        <f>Лист1!C32</f>
        <v>37335.13</v>
      </c>
      <c r="D39" s="44">
        <f>Лист1!D32</f>
        <v>3291.26</v>
      </c>
      <c r="E39" s="16">
        <f>Лист1!S32</f>
        <v>26806.679999999997</v>
      </c>
      <c r="F39" s="18">
        <f>Лист1!T32</f>
        <v>7237.1900000000005</v>
      </c>
      <c r="G39" s="45">
        <f>Лист1!AB32</f>
        <v>25886.410000000003</v>
      </c>
      <c r="H39" s="45">
        <f>Лист1!AC32</f>
        <v>36414.86</v>
      </c>
      <c r="I39" s="46">
        <f>Лист1!AG32</f>
        <v>2589.72</v>
      </c>
      <c r="J39" s="16">
        <f>Лист1!AI32</f>
        <v>4316.2</v>
      </c>
      <c r="K39" s="16">
        <f>Лист1!AH32+Лист1!AK32+Лист1!AL32+Лист1!AM32+Лист1!AN32+Лист1!AO32+Лист1!AP32+Лист1!AR32+Лист1!AQ32</f>
        <v>14804.565999999999</v>
      </c>
      <c r="L39" s="17">
        <f>Лист1!AS32+Лист1!AT32+Лист1!AU32</f>
        <v>922</v>
      </c>
      <c r="M39" s="17">
        <f>Лист1!AX32</f>
        <v>1474.55</v>
      </c>
      <c r="N39" s="18">
        <f>Лист1!BB32</f>
        <v>24107.035999999996</v>
      </c>
      <c r="O39" s="47">
        <f>Лист1!BE32</f>
        <v>12307.824000000004</v>
      </c>
      <c r="P39" s="47">
        <f>Лист1!BF32</f>
        <v>-920.2699999999932</v>
      </c>
      <c r="Q39" s="1"/>
      <c r="R39" s="1"/>
    </row>
    <row r="40" spans="1:18" ht="12.75">
      <c r="A40" s="14" t="s">
        <v>46</v>
      </c>
      <c r="B40" s="15">
        <f>Лист1!B33</f>
        <v>4316.2</v>
      </c>
      <c r="C40" s="43">
        <f>Лист1!C33</f>
        <v>37335.13</v>
      </c>
      <c r="D40" s="44">
        <f>Лист1!D33</f>
        <v>3292.4699999999984</v>
      </c>
      <c r="E40" s="16">
        <f>Лист1!S33</f>
        <v>26920.91</v>
      </c>
      <c r="F40" s="18">
        <f>Лист1!T33</f>
        <v>7121.749999999999</v>
      </c>
      <c r="G40" s="45">
        <f>Лист1!AB33</f>
        <v>18590.17</v>
      </c>
      <c r="H40" s="45">
        <f>Лист1!AC33</f>
        <v>29004.389999999996</v>
      </c>
      <c r="I40" s="46">
        <f>Лист1!AG33</f>
        <v>2589.72</v>
      </c>
      <c r="J40" s="16">
        <f>Лист1!AI33</f>
        <v>4316.2</v>
      </c>
      <c r="K40" s="16">
        <f>Лист1!AH33+Лист1!AK33+Лист1!AL33+Лист1!AM33+Лист1!AN33+Лист1!AO33+Лист1!AP33+Лист1!AR33+Лист1!AQ33</f>
        <v>14804.565999999999</v>
      </c>
      <c r="L40" s="17">
        <f>Лист1!AS33+Лист1!AT33+Лист1!AU33</f>
        <v>15621.66</v>
      </c>
      <c r="M40" s="17">
        <f>Лист1!AX33</f>
        <v>1181.9499999999998</v>
      </c>
      <c r="N40" s="18">
        <f>Лист1!BB33</f>
        <v>38514.096</v>
      </c>
      <c r="O40" s="47">
        <f>Лист1!BE33</f>
        <v>-9509.706000000002</v>
      </c>
      <c r="P40" s="47">
        <f>Лист1!BF33</f>
        <v>-8330.740000000002</v>
      </c>
      <c r="Q40" s="1"/>
      <c r="R40" s="1"/>
    </row>
    <row r="41" spans="1:18" ht="12.75">
      <c r="A41" s="14" t="s">
        <v>47</v>
      </c>
      <c r="B41" s="15">
        <f>Лист1!B34</f>
        <v>4334.82</v>
      </c>
      <c r="C41" s="43">
        <f>Лист1!C34</f>
        <v>37496.193</v>
      </c>
      <c r="D41" s="44">
        <f>Лист1!D34</f>
        <v>3380.593000000002</v>
      </c>
      <c r="E41" s="16">
        <f>Лист1!S34</f>
        <v>27094.239999999998</v>
      </c>
      <c r="F41" s="18">
        <f>Лист1!T34</f>
        <v>7021.360000000001</v>
      </c>
      <c r="G41" s="45">
        <f>Лист1!AB34</f>
        <v>26347.22</v>
      </c>
      <c r="H41" s="45">
        <f>Лист1!AC34</f>
        <v>36749.173</v>
      </c>
      <c r="I41" s="46">
        <f>Лист1!AG34</f>
        <v>2600.892</v>
      </c>
      <c r="J41" s="16">
        <f>Лист1!AI34</f>
        <v>4334.82</v>
      </c>
      <c r="K41" s="16">
        <f>Лист1!AH34+Лист1!AK34+Лист1!AL34+Лист1!AM34+Лист1!AN34+Лист1!AO34+Лист1!AP34+Лист1!AR34+Лист1!AQ34</f>
        <v>14868.4326</v>
      </c>
      <c r="L41" s="17">
        <f>Лист1!AS34+Лист1!AT34+Лист1!AU34</f>
        <v>4633.198600000001</v>
      </c>
      <c r="M41" s="17">
        <f>Лист1!AX34</f>
        <v>1012.55</v>
      </c>
      <c r="N41" s="18">
        <f>Лист1!BB34</f>
        <v>27449.8932</v>
      </c>
      <c r="O41" s="47">
        <f>Лист1!BE34</f>
        <v>9299.279800000004</v>
      </c>
      <c r="P41" s="47">
        <f>Лист1!BF34</f>
        <v>-747.0199999999968</v>
      </c>
      <c r="Q41" s="1"/>
      <c r="R41" s="1"/>
    </row>
    <row r="42" spans="1:18" ht="12.75">
      <c r="A42" s="14" t="s">
        <v>48</v>
      </c>
      <c r="B42" s="15">
        <f>Лист1!B35</f>
        <v>4334.82</v>
      </c>
      <c r="C42" s="43">
        <f>Лист1!C35</f>
        <v>37496.193</v>
      </c>
      <c r="D42" s="44">
        <f>Лист1!D35</f>
        <v>3380.9929999999968</v>
      </c>
      <c r="E42" s="16">
        <f>Лист1!S35</f>
        <v>27149.039999999997</v>
      </c>
      <c r="F42" s="18">
        <f>Лист1!T35</f>
        <v>6966.16</v>
      </c>
      <c r="G42" s="45">
        <f>Лист1!AB35</f>
        <v>23506.75</v>
      </c>
      <c r="H42" s="45">
        <f>Лист1!AC35</f>
        <v>33853.903</v>
      </c>
      <c r="I42" s="46">
        <f>Лист1!AG35</f>
        <v>2600.892</v>
      </c>
      <c r="J42" s="16">
        <f>Лист1!AI35</f>
        <v>4334.82</v>
      </c>
      <c r="K42" s="16">
        <f>Лист1!AH35+Лист1!AK35+Лист1!AL35+Лист1!AM35+Лист1!AN35+Лист1!AO35+Лист1!AP35+Лист1!AR35+Лист1!AQ35</f>
        <v>14868.4326</v>
      </c>
      <c r="L42" s="17">
        <f>Лист1!AS35+Лист1!AT35+Лист1!AU35</f>
        <v>5936</v>
      </c>
      <c r="M42" s="17">
        <f>Лист1!AX35</f>
        <v>897.05</v>
      </c>
      <c r="N42" s="18">
        <f>Лист1!BB35</f>
        <v>28637.1946</v>
      </c>
      <c r="O42" s="47">
        <f>Лист1!BE35</f>
        <v>5216.7083999999995</v>
      </c>
      <c r="P42" s="47">
        <f>Лист1!BF35</f>
        <v>-3642.2899999999972</v>
      </c>
      <c r="Q42" s="1"/>
      <c r="R42" s="1"/>
    </row>
    <row r="43" spans="1:18" ht="12.75">
      <c r="A43" s="14" t="s">
        <v>49</v>
      </c>
      <c r="B43" s="15">
        <f>Лист1!B36</f>
        <v>4334.82</v>
      </c>
      <c r="C43" s="43">
        <f>Лист1!C36</f>
        <v>37496.193</v>
      </c>
      <c r="D43" s="44">
        <f>Лист1!D36</f>
        <v>3336.2529999999997</v>
      </c>
      <c r="E43" s="16">
        <f>Лист1!S36</f>
        <v>34159.939999999995</v>
      </c>
      <c r="F43" s="18">
        <f>Лист1!T36</f>
        <v>0</v>
      </c>
      <c r="G43" s="45">
        <f>Лист1!AB36</f>
        <v>22937.65</v>
      </c>
      <c r="H43" s="45">
        <f>Лист1!AC36</f>
        <v>26273.903000000002</v>
      </c>
      <c r="I43" s="46">
        <f>Лист1!AG36</f>
        <v>2600.892</v>
      </c>
      <c r="J43" s="16">
        <f>Лист1!AI36</f>
        <v>4334.82</v>
      </c>
      <c r="K43" s="16">
        <f>Лист1!AH36+Лист1!AK36+Лист1!AL36+Лист1!AM36+Лист1!AN36+Лист1!AO36+Лист1!AP36+Лист1!AR36+Лист1!AQ36</f>
        <v>14868.4326</v>
      </c>
      <c r="L43" s="17">
        <f>Лист1!AS36+Лист1!AT36+Лист1!AU36</f>
        <v>0</v>
      </c>
      <c r="M43" s="17">
        <f>Лист1!AX36</f>
        <v>954.8</v>
      </c>
      <c r="N43" s="18">
        <f>Лист1!BB36</f>
        <v>22758.9446</v>
      </c>
      <c r="O43" s="47">
        <f>Лист1!BE36</f>
        <v>3514.958400000003</v>
      </c>
      <c r="P43" s="47">
        <f>Лист1!BF36</f>
        <v>-11222.289999999994</v>
      </c>
      <c r="Q43" s="1"/>
      <c r="R43" s="1"/>
    </row>
    <row r="44" spans="1:18" ht="12.75">
      <c r="A44" s="14" t="s">
        <v>50</v>
      </c>
      <c r="B44" s="15">
        <f>Лист1!B37</f>
        <v>4334.82</v>
      </c>
      <c r="C44" s="43">
        <f>Лист1!C37</f>
        <v>37496.193</v>
      </c>
      <c r="D44" s="44">
        <f>Лист1!D37</f>
        <v>3361.512999999997</v>
      </c>
      <c r="E44" s="16">
        <f>Лист1!S37</f>
        <v>34134.68</v>
      </c>
      <c r="F44" s="18">
        <f>Лист1!T37</f>
        <v>0</v>
      </c>
      <c r="G44" s="45">
        <f>Лист1!AB37</f>
        <v>31498.46</v>
      </c>
      <c r="H44" s="45">
        <f>Лист1!AC37</f>
        <v>34859.973</v>
      </c>
      <c r="I44" s="46">
        <f>Лист1!AG37</f>
        <v>2600.892</v>
      </c>
      <c r="J44" s="16">
        <f>Лист1!AI37</f>
        <v>4334.82</v>
      </c>
      <c r="K44" s="16">
        <f>Лист1!AH37+Лист1!AK37+Лист1!AL37+Лист1!AM37+Лист1!AN37+Лист1!AO37+Лист1!AP37+Лист1!AR37+Лист1!AQ37</f>
        <v>14868.4326</v>
      </c>
      <c r="L44" s="17">
        <f>Лист1!AS37+Лист1!AT37+Лист1!AU37</f>
        <v>8318.204</v>
      </c>
      <c r="M44" s="17">
        <f>Лист1!AX37</f>
        <v>1128.05</v>
      </c>
      <c r="N44" s="18">
        <f>Лист1!BB37</f>
        <v>31250.398599999997</v>
      </c>
      <c r="O44" s="47">
        <f>Лист1!BE37</f>
        <v>3609.5744000000013</v>
      </c>
      <c r="P44" s="47">
        <f>Лист1!BF37</f>
        <v>-2636.220000000001</v>
      </c>
      <c r="Q44" s="1"/>
      <c r="R44" s="1"/>
    </row>
    <row r="45" spans="1:18" ht="12.75">
      <c r="A45" s="14" t="s">
        <v>51</v>
      </c>
      <c r="B45" s="15">
        <f>Лист1!B38</f>
        <v>4374.12</v>
      </c>
      <c r="C45" s="43">
        <f>Лист1!C38</f>
        <v>37836.138</v>
      </c>
      <c r="D45" s="44">
        <f>Лист1!D38</f>
        <v>2975.078000000003</v>
      </c>
      <c r="E45" s="16">
        <f>Лист1!S38</f>
        <v>34861.06</v>
      </c>
      <c r="F45" s="18">
        <f>Лист1!T38</f>
        <v>0</v>
      </c>
      <c r="G45" s="45">
        <f>Лист1!AB38</f>
        <v>35843.5</v>
      </c>
      <c r="H45" s="45">
        <f>Лист1!AC38</f>
        <v>38818.578</v>
      </c>
      <c r="I45" s="46">
        <f>Лист1!AG38</f>
        <v>2624.4719999999998</v>
      </c>
      <c r="J45" s="16">
        <f>Лист1!AI38</f>
        <v>4374.12</v>
      </c>
      <c r="K45" s="16">
        <f>Лист1!AH38+Лист1!AK38+Лист1!AL38+Лист1!AM38+Лист1!AN38+Лист1!AO38+Лист1!AP38+Лист1!AR38+Лист1!AQ38</f>
        <v>15003.231600000001</v>
      </c>
      <c r="L45" s="17">
        <f>Лист1!AS38+Лист1!AT38+Лист1!AU38</f>
        <v>12625</v>
      </c>
      <c r="M45" s="17">
        <f>Лист1!AX38</f>
        <v>1343.6499999999999</v>
      </c>
      <c r="N45" s="18">
        <f>Лист1!BB38</f>
        <v>35970.473600000005</v>
      </c>
      <c r="O45" s="47">
        <f>Лист1!BE38</f>
        <v>2848.1043999999965</v>
      </c>
      <c r="P45" s="47">
        <f>Лист1!BF38</f>
        <v>982.4400000000023</v>
      </c>
      <c r="Q45" s="1"/>
      <c r="R45" s="1"/>
    </row>
    <row r="46" spans="1:18" ht="12.75">
      <c r="A46" s="14" t="s">
        <v>39</v>
      </c>
      <c r="B46" s="15">
        <f>Лист1!B39</f>
        <v>4374.12</v>
      </c>
      <c r="C46" s="43">
        <f>Лист1!C39</f>
        <v>37836.138</v>
      </c>
      <c r="D46" s="44">
        <f>Лист1!D39</f>
        <v>3318.2880000000005</v>
      </c>
      <c r="E46" s="16">
        <f>Лист1!S39</f>
        <v>34517.85</v>
      </c>
      <c r="F46" s="18">
        <f>Лист1!T39</f>
        <v>0</v>
      </c>
      <c r="G46" s="45">
        <f>Лист1!AB39</f>
        <v>34865.37</v>
      </c>
      <c r="H46" s="45">
        <f>Лист1!AC39</f>
        <v>38183.658</v>
      </c>
      <c r="I46" s="46">
        <f>Лист1!AG39</f>
        <v>2624.4719999999998</v>
      </c>
      <c r="J46" s="16">
        <f>Лист1!AI39</f>
        <v>4374.12</v>
      </c>
      <c r="K46" s="16">
        <f>Лист1!AH39+Лист1!AK39+Лист1!AL39+Лист1!AM39+Лист1!AN39+Лист1!AO39+Лист1!AP39+Лист1!AR39+Лист1!AQ39</f>
        <v>15003.231600000001</v>
      </c>
      <c r="L46" s="17">
        <f>Лист1!AS39+Лист1!AT39+Лист1!AU39</f>
        <v>746</v>
      </c>
      <c r="M46" s="17">
        <f>Лист1!AX39</f>
        <v>1636.25</v>
      </c>
      <c r="N46" s="18">
        <f>Лист1!BB39</f>
        <v>24384.0736</v>
      </c>
      <c r="O46" s="47">
        <f>Лист1!BE39</f>
        <v>13874.584400000003</v>
      </c>
      <c r="P46" s="47">
        <f>Лист1!BF39</f>
        <v>347.5200000000041</v>
      </c>
      <c r="Q46" s="1"/>
      <c r="R46" s="1"/>
    </row>
    <row r="47" spans="1:18" ht="12.75">
      <c r="A47" s="14" t="s">
        <v>40</v>
      </c>
      <c r="B47" s="15">
        <f>Лист1!B40</f>
        <v>4374.12</v>
      </c>
      <c r="C47" s="43">
        <f>Лист1!C40</f>
        <v>37836.138</v>
      </c>
      <c r="D47" s="44">
        <f>Лист1!D40</f>
        <v>3288.9879999999994</v>
      </c>
      <c r="E47" s="16">
        <f>Лист1!S40</f>
        <v>34547.15</v>
      </c>
      <c r="F47" s="18">
        <f>Лист1!T40</f>
        <v>0</v>
      </c>
      <c r="G47" s="45">
        <f>Лист1!AB40</f>
        <v>27245.589999999997</v>
      </c>
      <c r="H47" s="45">
        <f>Лист1!AC40</f>
        <v>30534.577999999994</v>
      </c>
      <c r="I47" s="46">
        <f>Лист1!AG40</f>
        <v>2624.4719999999998</v>
      </c>
      <c r="J47" s="16">
        <f>Лист1!AI40</f>
        <v>4374.12</v>
      </c>
      <c r="K47" s="16">
        <f>Лист1!AH40+Лист1!AK40+Лист1!AL40+Лист1!AM40+Лист1!AN40+Лист1!AO40+Лист1!AP40+Лист1!AR40+Лист1!AQ40</f>
        <v>15003.231600000001</v>
      </c>
      <c r="L47" s="17">
        <f>Лист1!AS40+Лист1!AT40+Лист1!AU40</f>
        <v>2850</v>
      </c>
      <c r="M47" s="17">
        <f>Лист1!AX40</f>
        <v>1809.4999999999998</v>
      </c>
      <c r="N47" s="18">
        <f>Лист1!BB40</f>
        <v>26661.3236</v>
      </c>
      <c r="O47" s="47">
        <f>Лист1!BE40</f>
        <v>3948.2543999999943</v>
      </c>
      <c r="P47" s="47">
        <f>Лист1!BF40</f>
        <v>-7301.560000000005</v>
      </c>
      <c r="Q47" s="1"/>
      <c r="R47" s="1"/>
    </row>
    <row r="48" spans="1:18" ht="13.5" thickBot="1">
      <c r="A48" s="48" t="s">
        <v>41</v>
      </c>
      <c r="B48" s="15">
        <f>Лист1!B41</f>
        <v>4374.12</v>
      </c>
      <c r="C48" s="43">
        <f>Лист1!C41</f>
        <v>37836.138</v>
      </c>
      <c r="D48" s="44">
        <f>Лист1!D41</f>
        <v>3299.857999999996</v>
      </c>
      <c r="E48" s="16">
        <f>Лист1!S41</f>
        <v>34536.28</v>
      </c>
      <c r="F48" s="18">
        <f>Лист1!T41</f>
        <v>0</v>
      </c>
      <c r="G48" s="45">
        <f>Лист1!AB41</f>
        <v>35894.93</v>
      </c>
      <c r="H48" s="45">
        <f>Лист1!AC41</f>
        <v>39194.78799999999</v>
      </c>
      <c r="I48" s="46">
        <f>Лист1!AG41</f>
        <v>2624.4719999999998</v>
      </c>
      <c r="J48" s="16">
        <f>Лист1!AI41</f>
        <v>4374.12</v>
      </c>
      <c r="K48" s="16">
        <f>Лист1!AH41+Лист1!AK41+Лист1!AL41+Лист1!AM41+Лист1!AN41+Лист1!AO41+Лист1!AP41+Лист1!AR41+Лист1!AQ41</f>
        <v>15003.231600000001</v>
      </c>
      <c r="L48" s="17">
        <f>Лист1!AS41+Лист1!AT41+Лист1!AU41</f>
        <v>5541.0106</v>
      </c>
      <c r="M48" s="17">
        <f>Лист1!AX41</f>
        <v>1978.8999999999999</v>
      </c>
      <c r="N48" s="18">
        <f>Лист1!BB41</f>
        <v>29521.734200000003</v>
      </c>
      <c r="O48" s="47">
        <f>Лист1!BE41</f>
        <v>9748.05379999999</v>
      </c>
      <c r="P48" s="47">
        <f>Лист1!BF41</f>
        <v>1358.6500000000015</v>
      </c>
      <c r="Q48" s="1"/>
      <c r="R48" s="1"/>
    </row>
    <row r="49" spans="1:18" s="24" customFormat="1" ht="13.5" thickBot="1">
      <c r="A49" s="50" t="s">
        <v>3</v>
      </c>
      <c r="B49" s="51"/>
      <c r="C49" s="52">
        <f aca="true" t="shared" si="3" ref="C49:P49">SUM(C37:C48)</f>
        <v>450782.2939999999</v>
      </c>
      <c r="D49" s="53">
        <f t="shared" si="3"/>
        <v>39607.69399999999</v>
      </c>
      <c r="E49" s="52">
        <f t="shared" si="3"/>
        <v>368353.76</v>
      </c>
      <c r="F49" s="54">
        <f t="shared" si="3"/>
        <v>42820.84</v>
      </c>
      <c r="G49" s="55">
        <f t="shared" si="3"/>
        <v>326002.48999999993</v>
      </c>
      <c r="H49" s="52">
        <f t="shared" si="3"/>
        <v>408431.024</v>
      </c>
      <c r="I49" s="53">
        <f t="shared" si="3"/>
        <v>31268.136000000006</v>
      </c>
      <c r="J49" s="52">
        <f t="shared" si="3"/>
        <v>52113.56000000001</v>
      </c>
      <c r="K49" s="52">
        <f t="shared" si="3"/>
        <v>183424.8308</v>
      </c>
      <c r="L49" s="52">
        <f t="shared" si="3"/>
        <v>95118.0732</v>
      </c>
      <c r="M49" s="52">
        <f t="shared" si="3"/>
        <v>16940</v>
      </c>
      <c r="N49" s="54">
        <f t="shared" si="3"/>
        <v>378864.6</v>
      </c>
      <c r="O49" s="56">
        <f t="shared" si="3"/>
        <v>29791.424000000014</v>
      </c>
      <c r="P49" s="56">
        <f t="shared" si="3"/>
        <v>-42351.269999999975</v>
      </c>
      <c r="Q49" s="58"/>
      <c r="R49" s="58"/>
    </row>
    <row r="50" spans="1:18" ht="13.5" thickBot="1">
      <c r="A50" s="266" t="s">
        <v>66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65"/>
      <c r="Q50" s="1"/>
      <c r="R50" s="1"/>
    </row>
    <row r="51" spans="1:18" s="24" customFormat="1" ht="13.5" thickBot="1">
      <c r="A51" s="66" t="s">
        <v>52</v>
      </c>
      <c r="B51" s="67"/>
      <c r="C51" s="68">
        <f>C35+C49</f>
        <v>1011118.0489999999</v>
      </c>
      <c r="D51" s="69">
        <f aca="true" t="shared" si="4" ref="D51:P51">D35+D49</f>
        <v>111608.68109975</v>
      </c>
      <c r="E51" s="67">
        <f t="shared" si="4"/>
        <v>744689.99</v>
      </c>
      <c r="F51" s="68">
        <f t="shared" si="4"/>
        <v>152267.78999999998</v>
      </c>
      <c r="G51" s="69">
        <f t="shared" si="4"/>
        <v>660768.2</v>
      </c>
      <c r="H51" s="68">
        <f t="shared" si="4"/>
        <v>924644.6710997501</v>
      </c>
      <c r="I51" s="69">
        <f t="shared" si="4"/>
        <v>69099.39600000001</v>
      </c>
      <c r="J51" s="67">
        <f t="shared" si="4"/>
        <v>105160.54711050002</v>
      </c>
      <c r="K51" s="67">
        <f t="shared" si="4"/>
        <v>398193.28013301536</v>
      </c>
      <c r="L51" s="67">
        <f t="shared" si="4"/>
        <v>202905.66699999996</v>
      </c>
      <c r="M51" s="67">
        <f t="shared" si="4"/>
        <v>37648.811200000004</v>
      </c>
      <c r="N51" s="70">
        <f t="shared" si="4"/>
        <v>817838.7079234053</v>
      </c>
      <c r="O51" s="71">
        <f t="shared" si="4"/>
        <v>107030.96317634462</v>
      </c>
      <c r="P51" s="71">
        <f t="shared" si="4"/>
        <v>-83921.78999999996</v>
      </c>
      <c r="Q51" s="72"/>
      <c r="R51" s="58"/>
    </row>
    <row r="53" spans="1:18" ht="12.75">
      <c r="A53" s="24" t="s">
        <v>67</v>
      </c>
      <c r="D53" s="2" t="s">
        <v>93</v>
      </c>
      <c r="Q53" s="1"/>
      <c r="R53" s="1"/>
    </row>
    <row r="54" spans="1:18" ht="12.75">
      <c r="A54" s="26" t="s">
        <v>68</v>
      </c>
      <c r="B54" s="26" t="s">
        <v>69</v>
      </c>
      <c r="C54" s="270" t="s">
        <v>70</v>
      </c>
      <c r="D54" s="270"/>
      <c r="Q54" s="1"/>
      <c r="R54" s="1"/>
    </row>
    <row r="55" spans="1:18" ht="12.75">
      <c r="A55" s="85">
        <v>260417.91</v>
      </c>
      <c r="B55" s="87">
        <v>122077.28</v>
      </c>
      <c r="C55" s="252">
        <f>A55-B55</f>
        <v>138340.63</v>
      </c>
      <c r="D55" s="253"/>
      <c r="Q55" s="1"/>
      <c r="R55" s="1"/>
    </row>
    <row r="56" spans="1:18" ht="12.75">
      <c r="A56" s="73"/>
      <c r="Q56" s="1"/>
      <c r="R56" s="1"/>
    </row>
    <row r="57" spans="1:18" ht="12.75">
      <c r="A57" s="73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73</v>
      </c>
    </row>
    <row r="62" ht="12.75">
      <c r="A62" s="2" t="s">
        <v>74</v>
      </c>
    </row>
  </sheetData>
  <sheetProtection/>
  <mergeCells count="23">
    <mergeCell ref="I10:N11"/>
    <mergeCell ref="O10:O13"/>
    <mergeCell ref="A7:G7"/>
    <mergeCell ref="A34:O34"/>
    <mergeCell ref="M12:M13"/>
    <mergeCell ref="N12:N13"/>
    <mergeCell ref="C54:D54"/>
    <mergeCell ref="A6:O6"/>
    <mergeCell ref="A10:A13"/>
    <mergeCell ref="B10:B13"/>
    <mergeCell ref="C10:C13"/>
    <mergeCell ref="D10:D13"/>
    <mergeCell ref="E10:F11"/>
    <mergeCell ref="C55:D55"/>
    <mergeCell ref="P10:P13"/>
    <mergeCell ref="E12:F12"/>
    <mergeCell ref="H12:H13"/>
    <mergeCell ref="I12:I13"/>
    <mergeCell ref="J12:J13"/>
    <mergeCell ref="K12:K13"/>
    <mergeCell ref="L12:L13"/>
    <mergeCell ref="G10:H11"/>
    <mergeCell ref="A50:O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2010-04-23T09:01:24Z</cp:lastPrinted>
  <dcterms:created xsi:type="dcterms:W3CDTF">2010-04-03T04:08:20Z</dcterms:created>
  <dcterms:modified xsi:type="dcterms:W3CDTF">2011-04-13T07:23:42Z</dcterms:modified>
  <cp:category/>
  <cp:version/>
  <cp:contentType/>
  <cp:contentStatus/>
</cp:coreProperties>
</file>