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<sst xmlns="http://schemas.openxmlformats.org/spreadsheetml/2006/main" count="319" uniqueCount="125">
  <si>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</si>
  <si>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</si>
  <si>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</si>
  <si>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</si>
  <si>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</si>
  <si>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</si>
  <si>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</si>
  <si>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</si>
  <si>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</si>
  <si>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</si>
  <si>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</si>
  <si>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</si>
  <si>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</si>
  <si>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</si>
  <si>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</si>
  <si>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</si>
  <si>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</si>
  <si>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</si>
  <si>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</si>
  <si>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</si>
  <si>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</si>
  <si>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</si>
  <si>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</si>
  <si>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</si>
  <si>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</si>
  <si>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</si>
  <si>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</si>
  <si>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</si>
  <si>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</si>
  <si>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</si>
  <si>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</si>
  <si>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</si>
  <si>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</si>
  <si>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</si>
  <si>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</si>
  <si>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</si>
  <si>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</si>
  <si>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</si>
  <si>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</si>
  <si>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</si>
  <si>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</si>
  <si>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</si>
  <si>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</si>
  <si>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</si>
  <si>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</si>
  <si>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</si>
  <si>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</si>
  <si>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</si>
  <si>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</si>
  <si>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</si>
  <si>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</si>
  <si>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</si>
  <si>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</si>
  <si>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</si>
  <si>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</si>
  <si>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</si>
  <si>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</si>
  <si>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</si>
  <si>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</si>
  <si>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</si>
  <si>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</si>
  <si>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</si>
  <si>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</si>
  <si>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</si>
  <si>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</si>
  <si>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</si>
  <si>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</si>
  <si>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</si>
  <si>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</si>
  <si>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</si>
  <si>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</si>
  <si>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</si>
  <si>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</si>
  <si>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</si>
  <si>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Ленина, д. 17</t>
  </si>
  <si>
    <t>Выписка по лицевому счету по адресу г. Таштагол ул. Ленина, д. 17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</si>
  <si>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</si>
  <si>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</si>
  <si>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</si>
  <si>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</si>
  <si>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Эл.энергия МОП</t>
  </si>
  <si>
    <t>норма часов горения</t>
  </si>
  <si>
    <t>кол-во кВт</t>
  </si>
  <si>
    <t>стоимость итого</t>
  </si>
  <si>
    <t>Тек. ремонт ТУК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</si>
  <si>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</si>
  <si>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</si>
  <si>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</si>
  <si>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</si>
  <si>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</si>
  <si>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</si>
  <si>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2010 год</t>
  </si>
  <si>
    <t>*по состоянию на 01.01.2011 г.</t>
  </si>
  <si>
    <t>по состояню на 01.01.2011г.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</si>
  <si>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</si>
  <si>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</si>
  <si>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</si>
  <si>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</si>
  <si>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</si>
  <si>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</si>
  <si>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</si>
  <si>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</si>
  <si>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</si>
  <si>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</si>
  <si>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</si>
  <si>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</si>
  <si>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</si>
  <si>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</si>
  <si>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</si>
  <si>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</si>
  <si>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</si>
  <si>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</si>
  <si>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</si>
  <si>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</si>
  <si>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</si>
  <si>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</si>
  <si>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</si>
  <si>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на 01.01.2012 г.</t>
  </si>
  <si>
    <t>Доходы от нежилых помещений</t>
  </si>
  <si>
    <t>Услуга начисления</t>
  </si>
  <si>
    <t>Расходы по нежилым помещениям</t>
  </si>
  <si>
    <t>на начало отчетного периода</t>
  </si>
  <si>
    <t>2011 год</t>
  </si>
  <si>
    <t>*по состоянию на 01.04.2012 г.</t>
  </si>
  <si>
    <t>Исп. В.В. Колмогорова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</si>
</sst>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4" fontId="0" fillId="35" borderId="19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wrapText="1"/>
    </xf>
    <xf numFmtId="4" fontId="1" fillId="36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5" borderId="4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43" xfId="0" applyNumberFormat="1" applyFont="1" applyFill="1" applyBorder="1" applyAlignment="1">
      <alignment horizontal="right"/>
    </xf>
    <xf numFmtId="4" fontId="0" fillId="35" borderId="44" xfId="0" applyNumberFormat="1" applyFont="1" applyFill="1" applyBorder="1" applyAlignment="1">
      <alignment horizontal="right"/>
    </xf>
    <xf numFmtId="4" fontId="0" fillId="35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7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2" fillId="0" borderId="41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4" borderId="30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3" borderId="4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4" fontId="11" fillId="34" borderId="11" xfId="34" applyNumberFormat="1" applyFont="1" applyFill="1" applyBorder="1" applyAlignment="1">
      <alignment horizontal="center" vertical="center" wrapText="1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37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center"/>
    </xf>
    <xf numFmtId="4" fontId="0" fillId="37" borderId="30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37" borderId="30" xfId="0" applyFont="1" applyFill="1" applyBorder="1" applyAlignment="1">
      <alignment horizontal="center"/>
    </xf>
    <xf numFmtId="0" fontId="2" fillId="0" borderId="3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7" borderId="30" xfId="0" applyFont="1" applyFill="1" applyBorder="1" applyAlignment="1">
      <alignment/>
    </xf>
    <xf numFmtId="0" fontId="12" fillId="0" borderId="37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34" borderId="36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right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8" fillId="34" borderId="48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38" xfId="0" applyFont="1" applyFill="1" applyBorder="1" applyAlignment="1">
      <alignment horizontal="center" textRotation="90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5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1" xfId="0" applyFont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4" fontId="1" fillId="0" borderId="73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textRotation="90"/>
    </xf>
    <xf numFmtId="2" fontId="30" fillId="0" borderId="51" xfId="34" applyNumberFormat="1" applyFont="1" applyFill="1" applyBorder="1" applyAlignment="1">
      <alignment horizontal="center" vertical="center" wrapText="1"/>
      <protection/>
    </xf>
    <xf numFmtId="4" fontId="31" fillId="0" borderId="11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2" fillId="34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1" fillId="0" borderId="66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 vertical="center" wrapText="1"/>
    </xf>
    <xf numFmtId="4" fontId="32" fillId="0" borderId="70" xfId="0" applyNumberFormat="1" applyFont="1" applyFill="1" applyBorder="1" applyAlignment="1">
      <alignment horizontal="center" vertical="center" textRotation="90" wrapText="1"/>
    </xf>
    <xf numFmtId="4" fontId="32" fillId="0" borderId="73" xfId="0" applyNumberFormat="1" applyFont="1" applyFill="1" applyBorder="1" applyAlignment="1">
      <alignment horizontal="center" vertical="center" textRotation="90" wrapText="1"/>
    </xf>
    <xf numFmtId="4" fontId="32" fillId="0" borderId="53" xfId="0" applyNumberFormat="1" applyFont="1" applyFill="1" applyBorder="1" applyAlignment="1">
      <alignment horizontal="center" vertical="center" textRotation="90" wrapText="1"/>
    </xf>
    <xf numFmtId="0" fontId="32" fillId="0" borderId="72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wrapText="1"/>
    </xf>
    <xf numFmtId="0" fontId="32" fillId="0" borderId="60" xfId="0" applyFont="1" applyFill="1" applyBorder="1" applyAlignment="1">
      <alignment horizontal="center" wrapText="1"/>
    </xf>
    <xf numFmtId="0" fontId="32" fillId="0" borderId="48" xfId="0" applyFont="1" applyFill="1" applyBorder="1" applyAlignment="1">
      <alignment horizontal="center" vertical="center" wrapText="1"/>
    </xf>
    <xf numFmtId="2" fontId="32" fillId="0" borderId="64" xfId="0" applyNumberFormat="1" applyFont="1" applyFill="1" applyBorder="1" applyAlignment="1">
      <alignment horizontal="center" vertical="center" wrapText="1"/>
    </xf>
    <xf numFmtId="2" fontId="32" fillId="0" borderId="65" xfId="0" applyNumberFormat="1" applyFont="1" applyFill="1" applyBorder="1" applyAlignment="1">
      <alignment horizontal="center" vertical="center" wrapText="1"/>
    </xf>
    <xf numFmtId="2" fontId="32" fillId="0" borderId="60" xfId="0" applyNumberFormat="1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textRotation="90" wrapText="1"/>
    </xf>
    <xf numFmtId="4" fontId="32" fillId="0" borderId="19" xfId="0" applyNumberFormat="1" applyFont="1" applyFill="1" applyBorder="1" applyAlignment="1">
      <alignment horizontal="center" vertical="center" textRotation="90" wrapText="1"/>
    </xf>
    <xf numFmtId="4" fontId="32" fillId="0" borderId="10" xfId="0" applyNumberFormat="1" applyFont="1" applyFill="1" applyBorder="1" applyAlignment="1">
      <alignment horizontal="center" vertical="center" textRotation="90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center" wrapText="1"/>
    </xf>
    <xf numFmtId="0" fontId="32" fillId="0" borderId="38" xfId="0" applyFont="1" applyFill="1" applyBorder="1" applyAlignment="1">
      <alignment horizontal="center" vertical="center" wrapText="1"/>
    </xf>
    <xf numFmtId="2" fontId="32" fillId="0" borderId="45" xfId="0" applyNumberFormat="1" applyFont="1" applyFill="1" applyBorder="1" applyAlignment="1">
      <alignment horizontal="center" vertical="center" wrapText="1"/>
    </xf>
    <xf numFmtId="2" fontId="32" fillId="0" borderId="34" xfId="0" applyNumberFormat="1" applyFont="1" applyFill="1" applyBorder="1" applyAlignment="1">
      <alignment horizontal="center" vertical="center" wrapText="1"/>
    </xf>
    <xf numFmtId="2" fontId="32" fillId="0" borderId="33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2" fontId="32" fillId="0" borderId="15" xfId="0" applyNumberFormat="1" applyFont="1" applyFill="1" applyBorder="1" applyAlignment="1">
      <alignment horizontal="center" vertical="center" textRotation="90" wrapText="1"/>
    </xf>
    <xf numFmtId="2" fontId="32" fillId="0" borderId="10" xfId="0" applyNumberFormat="1" applyFont="1" applyFill="1" applyBorder="1" applyAlignment="1">
      <alignment horizontal="center" vertical="center" textRotation="90" wrapText="1"/>
    </xf>
    <xf numFmtId="2" fontId="32" fillId="0" borderId="11" xfId="0" applyNumberFormat="1" applyFont="1" applyFill="1" applyBorder="1" applyAlignment="1">
      <alignment horizontal="center" vertical="center" textRotation="90" wrapText="1"/>
    </xf>
    <xf numFmtId="0" fontId="32" fillId="0" borderId="20" xfId="0" applyFont="1" applyFill="1" applyBorder="1" applyAlignment="1">
      <alignment horizontal="center" vertical="center" wrapText="1"/>
    </xf>
    <xf numFmtId="4" fontId="32" fillId="0" borderId="26" xfId="0" applyNumberFormat="1" applyFont="1" applyFill="1" applyBorder="1" applyAlignment="1">
      <alignment horizontal="center" vertical="center" textRotation="90" wrapText="1"/>
    </xf>
    <xf numFmtId="4" fontId="32" fillId="0" borderId="21" xfId="0" applyNumberFormat="1" applyFont="1" applyFill="1" applyBorder="1" applyAlignment="1">
      <alignment horizontal="center" vertical="center" textRotation="90" wrapText="1"/>
    </xf>
    <xf numFmtId="4" fontId="32" fillId="0" borderId="20" xfId="0" applyNumberFormat="1" applyFont="1" applyFill="1" applyBorder="1" applyAlignment="1">
      <alignment horizontal="center" vertical="center" textRotation="90" wrapText="1"/>
    </xf>
    <xf numFmtId="0" fontId="32" fillId="0" borderId="26" xfId="0" applyFont="1" applyFill="1" applyBorder="1" applyAlignment="1">
      <alignment horizontal="center" textRotation="90" wrapText="1"/>
    </xf>
    <xf numFmtId="0" fontId="32" fillId="0" borderId="27" xfId="0" applyFont="1" applyFill="1" applyBorder="1" applyAlignment="1">
      <alignment horizontal="center" textRotation="90"/>
    </xf>
    <xf numFmtId="2" fontId="32" fillId="0" borderId="20" xfId="0" applyNumberFormat="1" applyFont="1" applyFill="1" applyBorder="1" applyAlignment="1">
      <alignment horizontal="center" vertical="center" textRotation="90" wrapText="1"/>
    </xf>
    <xf numFmtId="2" fontId="32" fillId="0" borderId="27" xfId="0" applyNumberFormat="1" applyFont="1" applyFill="1" applyBorder="1" applyAlignment="1">
      <alignment horizontal="center" vertical="center" textRotation="90" wrapText="1"/>
    </xf>
    <xf numFmtId="0" fontId="32" fillId="0" borderId="39" xfId="0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textRotation="90" wrapText="1"/>
    </xf>
    <xf numFmtId="2" fontId="32" fillId="0" borderId="26" xfId="0" applyNumberFormat="1" applyFont="1" applyFill="1" applyBorder="1" applyAlignment="1">
      <alignment horizontal="center" vertical="center" textRotation="90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right" wrapText="1"/>
    </xf>
    <xf numFmtId="4" fontId="31" fillId="0" borderId="18" xfId="34" applyNumberFormat="1" applyFont="1" applyFill="1" applyBorder="1" applyAlignment="1">
      <alignment horizontal="right" vertical="center" wrapText="1"/>
      <protection/>
    </xf>
    <xf numFmtId="4" fontId="31" fillId="0" borderId="12" xfId="34" applyNumberFormat="1" applyFont="1" applyFill="1" applyBorder="1" applyAlignment="1">
      <alignment horizontal="right" vertical="center" wrapText="1"/>
      <protection/>
    </xf>
    <xf numFmtId="4" fontId="31" fillId="0" borderId="13" xfId="0" applyNumberFormat="1" applyFont="1" applyFill="1" applyBorder="1" applyAlignment="1">
      <alignment horizontal="right"/>
    </xf>
    <xf numFmtId="4" fontId="31" fillId="0" borderId="14" xfId="0" applyNumberFormat="1" applyFont="1" applyFill="1" applyBorder="1" applyAlignment="1">
      <alignment horizontal="right"/>
    </xf>
    <xf numFmtId="4" fontId="31" fillId="0" borderId="12" xfId="0" applyNumberFormat="1" applyFont="1" applyFill="1" applyBorder="1" applyAlignment="1">
      <alignment horizontal="right"/>
    </xf>
    <xf numFmtId="4" fontId="31" fillId="0" borderId="34" xfId="0" applyNumberFormat="1" applyFont="1" applyFill="1" applyBorder="1" applyAlignment="1">
      <alignment horizontal="right"/>
    </xf>
    <xf numFmtId="4" fontId="31" fillId="0" borderId="11" xfId="0" applyNumberFormat="1" applyFont="1" applyFill="1" applyBorder="1" applyAlignment="1">
      <alignment horizontal="right"/>
    </xf>
    <xf numFmtId="4" fontId="31" fillId="0" borderId="11" xfId="0" applyNumberFormat="1" applyFont="1" applyFill="1" applyBorder="1" applyAlignment="1">
      <alignment horizontal="right" vertical="center" wrapText="1"/>
    </xf>
    <xf numFmtId="4" fontId="31" fillId="0" borderId="15" xfId="0" applyNumberFormat="1" applyFont="1" applyFill="1" applyBorder="1" applyAlignment="1">
      <alignment horizontal="right"/>
    </xf>
    <xf numFmtId="4" fontId="31" fillId="0" borderId="36" xfId="0" applyNumberFormat="1" applyFont="1" applyFill="1" applyBorder="1" applyAlignment="1">
      <alignment horizontal="right"/>
    </xf>
    <xf numFmtId="4" fontId="31" fillId="0" borderId="3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2" fontId="31" fillId="0" borderId="15" xfId="0" applyNumberFormat="1" applyFont="1" applyBorder="1" applyAlignment="1">
      <alignment horizontal="center"/>
    </xf>
    <xf numFmtId="4" fontId="31" fillId="0" borderId="19" xfId="34" applyNumberFormat="1" applyFont="1" applyFill="1" applyBorder="1" applyAlignment="1">
      <alignment horizontal="right" vertical="center" wrapText="1"/>
      <protection/>
    </xf>
    <xf numFmtId="4" fontId="31" fillId="0" borderId="10" xfId="34" applyNumberFormat="1" applyFont="1" applyFill="1" applyBorder="1" applyAlignment="1">
      <alignment horizontal="right" vertical="center" wrapText="1"/>
      <protection/>
    </xf>
    <xf numFmtId="4" fontId="31" fillId="0" borderId="10" xfId="0" applyNumberFormat="1" applyFont="1" applyFill="1" applyBorder="1" applyAlignment="1">
      <alignment horizontal="right"/>
    </xf>
    <xf numFmtId="4" fontId="31" fillId="0" borderId="35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/>
    </xf>
    <xf numFmtId="4" fontId="31" fillId="0" borderId="21" xfId="34" applyNumberFormat="1" applyFont="1" applyFill="1" applyBorder="1" applyAlignment="1">
      <alignment horizontal="right" vertical="center" wrapText="1"/>
      <protection/>
    </xf>
    <xf numFmtId="0" fontId="32" fillId="0" borderId="22" xfId="0" applyFont="1" applyFill="1" applyBorder="1" applyAlignment="1">
      <alignment horizontal="right" vertical="center" wrapText="1"/>
    </xf>
    <xf numFmtId="4" fontId="32" fillId="0" borderId="23" xfId="0" applyNumberFormat="1" applyFont="1" applyFill="1" applyBorder="1" applyAlignment="1">
      <alignment horizontal="right" wrapText="1"/>
    </xf>
    <xf numFmtId="4" fontId="32" fillId="0" borderId="24" xfId="0" applyNumberFormat="1" applyFont="1" applyFill="1" applyBorder="1" applyAlignment="1">
      <alignment horizontal="right" wrapText="1"/>
    </xf>
    <xf numFmtId="4" fontId="32" fillId="0" borderId="28" xfId="0" applyNumberFormat="1" applyFont="1" applyFill="1" applyBorder="1" applyAlignment="1">
      <alignment horizontal="right" wrapText="1"/>
    </xf>
    <xf numFmtId="4" fontId="32" fillId="0" borderId="25" xfId="0" applyNumberFormat="1" applyFont="1" applyFill="1" applyBorder="1" applyAlignment="1">
      <alignment horizontal="right" wrapText="1"/>
    </xf>
    <xf numFmtId="4" fontId="32" fillId="0" borderId="67" xfId="0" applyNumberFormat="1" applyFont="1" applyFill="1" applyBorder="1" applyAlignment="1">
      <alignment horizontal="right" wrapText="1"/>
    </xf>
    <xf numFmtId="4" fontId="32" fillId="0" borderId="68" xfId="0" applyNumberFormat="1" applyFont="1" applyFill="1" applyBorder="1" applyAlignment="1">
      <alignment horizontal="right" wrapText="1"/>
    </xf>
    <xf numFmtId="4" fontId="32" fillId="0" borderId="31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64" xfId="0" applyFont="1" applyFill="1" applyBorder="1" applyAlignment="1">
      <alignment horizontal="left"/>
    </xf>
    <xf numFmtId="0" fontId="32" fillId="0" borderId="65" xfId="0" applyFont="1" applyFill="1" applyBorder="1" applyAlignment="1">
      <alignment horizontal="left"/>
    </xf>
    <xf numFmtId="4" fontId="31" fillId="0" borderId="32" xfId="0" applyNumberFormat="1" applyFont="1" applyFill="1" applyBorder="1" applyAlignment="1">
      <alignment/>
    </xf>
    <xf numFmtId="0" fontId="32" fillId="0" borderId="22" xfId="0" applyFont="1" applyFill="1" applyBorder="1" applyAlignment="1">
      <alignment horizontal="left"/>
    </xf>
    <xf numFmtId="4" fontId="32" fillId="0" borderId="23" xfId="0" applyNumberFormat="1" applyFont="1" applyFill="1" applyBorder="1" applyAlignment="1">
      <alignment horizontal="right"/>
    </xf>
    <xf numFmtId="4" fontId="32" fillId="0" borderId="25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/>
    </xf>
    <xf numFmtId="0" fontId="31" fillId="0" borderId="19" xfId="0" applyFont="1" applyFill="1" applyBorder="1" applyAlignment="1">
      <alignment horizontal="left"/>
    </xf>
    <xf numFmtId="0" fontId="31" fillId="0" borderId="37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2" fontId="31" fillId="0" borderId="19" xfId="0" applyNumberFormat="1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6">
          <cell r="I66">
            <v>1153.67184</v>
          </cell>
          <cell r="O66">
            <v>461.00010288</v>
          </cell>
        </row>
        <row r="72">
          <cell r="I72">
            <v>536.56134</v>
          </cell>
          <cell r="O72">
            <v>214.40657938</v>
          </cell>
        </row>
      </sheetData>
      <sheetData sheetId="7">
        <row r="67">
          <cell r="I67">
            <v>1153.67184</v>
          </cell>
          <cell r="O67">
            <v>460.79063966399997</v>
          </cell>
        </row>
        <row r="73">
          <cell r="I73">
            <v>536.56134</v>
          </cell>
          <cell r="O73">
            <v>214.309160114</v>
          </cell>
        </row>
      </sheetData>
      <sheetData sheetId="8">
        <row r="67">
          <cell r="I67">
            <v>1153.67184</v>
          </cell>
          <cell r="O67">
            <v>460.7209478256</v>
          </cell>
        </row>
        <row r="73">
          <cell r="I73">
            <v>536.56134</v>
          </cell>
          <cell r="O73">
            <v>214.27674713059997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67">
          <cell r="J67">
            <v>1152.624</v>
          </cell>
        </row>
        <row r="73">
          <cell r="J73">
            <v>536.074</v>
          </cell>
        </row>
        <row r="110">
          <cell r="J110">
            <v>397.18800000000005</v>
          </cell>
        </row>
        <row r="114">
          <cell r="J114">
            <v>314.028</v>
          </cell>
        </row>
        <row r="148">
          <cell r="J148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67">
          <cell r="I67">
            <v>1153.67184</v>
          </cell>
        </row>
        <row r="75">
          <cell r="I75">
            <v>536.56134</v>
          </cell>
        </row>
        <row r="109">
          <cell r="I109">
            <v>397.54908</v>
          </cell>
        </row>
        <row r="113">
          <cell r="I113">
            <v>314.20387999999997</v>
          </cell>
        </row>
      </sheetData>
      <sheetData sheetId="9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10">
          <cell r="I110">
            <v>397.54908</v>
          </cell>
          <cell r="M110">
            <v>160.038</v>
          </cell>
        </row>
        <row r="114">
          <cell r="I114">
            <v>314.20387999999997</v>
          </cell>
          <cell r="M114">
            <v>149.578</v>
          </cell>
        </row>
      </sheetData>
      <sheetData sheetId="10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09">
          <cell r="I109">
            <v>397.54908</v>
          </cell>
          <cell r="M109">
            <v>160.038</v>
          </cell>
        </row>
        <row r="113">
          <cell r="I113">
            <v>314.20387999999997</v>
          </cell>
          <cell r="M113">
            <v>149.578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0">
          <cell r="I70">
            <v>1153.67184</v>
          </cell>
          <cell r="M70">
            <v>464.424</v>
          </cell>
        </row>
        <row r="78">
          <cell r="I78">
            <v>536.56134</v>
          </cell>
          <cell r="M78">
            <v>215.999</v>
          </cell>
        </row>
        <row r="113">
          <cell r="I113">
            <v>397.54908</v>
          </cell>
          <cell r="M113">
            <v>160.038</v>
          </cell>
        </row>
        <row r="117">
          <cell r="I117">
            <v>314.20387999999997</v>
          </cell>
          <cell r="M117">
            <v>149.578</v>
          </cell>
        </row>
      </sheetData>
      <sheetData sheetId="5">
        <row r="68">
          <cell r="M68">
            <v>464.424</v>
          </cell>
        </row>
        <row r="76">
          <cell r="M76">
            <v>215.999</v>
          </cell>
        </row>
        <row r="110">
          <cell r="M110">
            <v>160.038</v>
          </cell>
        </row>
        <row r="114">
          <cell r="M114">
            <v>149.578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I71">
            <v>1153.67184</v>
          </cell>
        </row>
        <row r="79">
          <cell r="I79">
            <v>536.56134</v>
          </cell>
        </row>
        <row r="113">
          <cell r="I113">
            <v>397.54908</v>
          </cell>
        </row>
        <row r="117">
          <cell r="I117">
            <v>314.20387999999997</v>
          </cell>
        </row>
      </sheetData>
      <sheetData sheetId="1">
        <row r="71">
          <cell r="I71">
            <v>1153.67184</v>
          </cell>
          <cell r="O71">
            <v>464.97456</v>
          </cell>
        </row>
        <row r="79">
          <cell r="I79">
            <v>536.56134</v>
          </cell>
          <cell r="O79">
            <v>216.25506</v>
          </cell>
        </row>
        <row r="113">
          <cell r="I113">
            <v>397.54908</v>
          </cell>
          <cell r="O113">
            <v>160.22772000000003</v>
          </cell>
        </row>
        <row r="117">
          <cell r="I117">
            <v>314.20387999999997</v>
          </cell>
          <cell r="O117">
            <v>149.75532</v>
          </cell>
        </row>
      </sheetData>
      <sheetData sheetId="2">
        <row r="72">
          <cell r="I72">
            <v>1153.67184</v>
          </cell>
          <cell r="O72">
            <v>464.97456</v>
          </cell>
        </row>
        <row r="80">
          <cell r="I80">
            <v>536.56134</v>
          </cell>
          <cell r="O80">
            <v>216.25506</v>
          </cell>
        </row>
        <row r="115">
          <cell r="I115">
            <v>397.54908</v>
          </cell>
          <cell r="O115">
            <v>160.22772000000003</v>
          </cell>
        </row>
        <row r="119">
          <cell r="I119">
            <v>314.20387999999997</v>
          </cell>
          <cell r="O119">
            <v>149.75532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O71">
            <v>464.328848</v>
          </cell>
        </row>
        <row r="79">
          <cell r="O79">
            <v>215.94129800000002</v>
          </cell>
        </row>
        <row r="113">
          <cell r="O113">
            <v>159.99787600000002</v>
          </cell>
        </row>
        <row r="117">
          <cell r="O117">
            <v>149.538956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9">
          <cell r="I69">
            <v>1153.67184</v>
          </cell>
        </row>
        <row r="77">
          <cell r="I77">
            <v>536.56134</v>
          </cell>
        </row>
        <row r="112">
          <cell r="I112">
            <v>397.54908</v>
          </cell>
        </row>
        <row r="116">
          <cell r="I116">
            <v>314.20387999999997</v>
          </cell>
        </row>
      </sheetData>
      <sheetData sheetId="2">
        <row r="70">
          <cell r="M70">
            <v>464.424</v>
          </cell>
        </row>
        <row r="78">
          <cell r="M78">
            <v>215.999</v>
          </cell>
        </row>
        <row r="113">
          <cell r="M113">
            <v>160.038</v>
          </cell>
        </row>
        <row r="117">
          <cell r="M117">
            <v>149.578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67">
          <cell r="I67">
            <v>1152.624</v>
          </cell>
          <cell r="R67">
            <v>702.408</v>
          </cell>
        </row>
        <row r="73">
          <cell r="I73">
            <v>536.074</v>
          </cell>
          <cell r="R73">
            <v>326.683</v>
          </cell>
        </row>
        <row r="109">
          <cell r="I109">
            <v>397.18800000000005</v>
          </cell>
          <cell r="R109">
            <v>242.046</v>
          </cell>
        </row>
        <row r="113">
          <cell r="I113">
            <v>314.028</v>
          </cell>
          <cell r="R113">
            <v>226.226</v>
          </cell>
        </row>
        <row r="144">
          <cell r="I144">
            <v>100</v>
          </cell>
          <cell r="R144">
            <v>25</v>
          </cell>
        </row>
      </sheetData>
      <sheetData sheetId="1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9">
          <cell r="J109">
            <v>397.18800000000005</v>
          </cell>
          <cell r="S109">
            <v>242.046</v>
          </cell>
        </row>
        <row r="113">
          <cell r="J113">
            <v>314.028</v>
          </cell>
          <cell r="S113">
            <v>226.226</v>
          </cell>
        </row>
        <row r="145">
          <cell r="S145">
            <v>25</v>
          </cell>
        </row>
        <row r="146">
          <cell r="J146">
            <v>100</v>
          </cell>
        </row>
      </sheetData>
      <sheetData sheetId="2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9">
          <cell r="J109">
            <v>397.18800000000005</v>
          </cell>
          <cell r="S109">
            <v>242.046</v>
          </cell>
        </row>
        <row r="113">
          <cell r="J113">
            <v>314.028</v>
          </cell>
          <cell r="S113">
            <v>226.226</v>
          </cell>
        </row>
        <row r="146">
          <cell r="J146">
            <v>100</v>
          </cell>
          <cell r="S146">
            <v>25</v>
          </cell>
        </row>
      </sheetData>
      <sheetData sheetId="3">
        <row r="67">
          <cell r="S67">
            <v>702.408</v>
          </cell>
        </row>
        <row r="73">
          <cell r="S73">
            <v>326.683</v>
          </cell>
        </row>
        <row r="110">
          <cell r="S110">
            <v>242.046</v>
          </cell>
        </row>
        <row r="114">
          <cell r="S114">
            <v>226.226</v>
          </cell>
        </row>
        <row r="148">
          <cell r="S148">
            <v>25</v>
          </cell>
        </row>
      </sheetData>
      <sheetData sheetId="4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46">
          <cell r="J146">
            <v>100</v>
          </cell>
          <cell r="S146">
            <v>25</v>
          </cell>
        </row>
        <row r="207">
          <cell r="J207">
            <v>114</v>
          </cell>
          <cell r="S207">
            <v>28.5</v>
          </cell>
        </row>
      </sheetData>
      <sheetData sheetId="5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46">
          <cell r="J146">
            <v>100</v>
          </cell>
          <cell r="S146">
            <v>25</v>
          </cell>
        </row>
        <row r="207">
          <cell r="J207">
            <v>114</v>
          </cell>
          <cell r="S207">
            <v>28.5</v>
          </cell>
        </row>
      </sheetData>
      <sheetData sheetId="6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1">
          <cell r="J151">
            <v>100</v>
          </cell>
          <cell r="S151">
            <v>25</v>
          </cell>
        </row>
        <row r="211">
          <cell r="J211">
            <v>114</v>
          </cell>
          <cell r="S211">
            <v>28.5</v>
          </cell>
        </row>
      </sheetData>
      <sheetData sheetId="7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8">
        <row r="67">
          <cell r="J67">
            <v>1152.624</v>
          </cell>
        </row>
        <row r="73">
          <cell r="J73">
            <v>536.074</v>
          </cell>
        </row>
        <row r="108">
          <cell r="J108">
            <v>397.18800000000005</v>
          </cell>
        </row>
        <row r="112">
          <cell r="J112">
            <v>314.028</v>
          </cell>
        </row>
        <row r="154">
          <cell r="J154">
            <v>100</v>
          </cell>
        </row>
        <row r="215">
          <cell r="J215">
            <v>114</v>
          </cell>
        </row>
      </sheetData>
      <sheetData sheetId="9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10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54">
          <cell r="J154">
            <v>100</v>
          </cell>
          <cell r="S154">
            <v>25</v>
          </cell>
        </row>
        <row r="215">
          <cell r="J215">
            <v>114</v>
          </cell>
          <cell r="S215">
            <v>28.5</v>
          </cell>
        </row>
      </sheetData>
      <sheetData sheetId="11">
        <row r="67">
          <cell r="J67">
            <v>1152.624</v>
          </cell>
          <cell r="S67">
            <v>702.408</v>
          </cell>
        </row>
        <row r="73">
          <cell r="J73">
            <v>536.074</v>
          </cell>
          <cell r="S73">
            <v>326.683</v>
          </cell>
        </row>
        <row r="108">
          <cell r="J108">
            <v>397.18800000000005</v>
          </cell>
          <cell r="S108">
            <v>242.046</v>
          </cell>
        </row>
        <row r="112">
          <cell r="J112">
            <v>314.028</v>
          </cell>
          <cell r="S112">
            <v>226.226</v>
          </cell>
        </row>
        <row r="178">
          <cell r="J178">
            <v>100</v>
          </cell>
          <cell r="S178">
            <v>25</v>
          </cell>
        </row>
        <row r="239">
          <cell r="J239">
            <v>114</v>
          </cell>
          <cell r="S23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U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49" sqref="BE4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375" style="2" customWidth="1"/>
    <col min="55" max="55" width="9.125" style="2" customWidth="1"/>
    <col min="56" max="56" width="11.25390625" style="2" customWidth="1"/>
    <col min="57" max="57" width="10.125" style="2" customWidth="1"/>
    <col min="58" max="58" width="10.75390625" style="2" customWidth="1"/>
    <col min="59" max="16384" width="9.125" style="2" customWidth="1"/>
  </cols>
  <sheetData>
    <row r="1" spans="1:18" ht="21" customHeight="1">
      <c r="A1" s="312" t="s">
        <v>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87" t="s">
        <v>85</v>
      </c>
      <c r="B3" s="314" t="s">
        <v>0</v>
      </c>
      <c r="C3" s="316" t="s">
        <v>1</v>
      </c>
      <c r="D3" s="318" t="s">
        <v>2</v>
      </c>
      <c r="E3" s="287" t="s">
        <v>11</v>
      </c>
      <c r="F3" s="324"/>
      <c r="G3" s="287" t="s">
        <v>12</v>
      </c>
      <c r="H3" s="327"/>
      <c r="I3" s="287" t="s">
        <v>13</v>
      </c>
      <c r="J3" s="327"/>
      <c r="K3" s="287" t="s">
        <v>14</v>
      </c>
      <c r="L3" s="327"/>
      <c r="M3" s="288" t="s">
        <v>15</v>
      </c>
      <c r="N3" s="327"/>
      <c r="O3" s="287" t="s">
        <v>16</v>
      </c>
      <c r="P3" s="327"/>
      <c r="Q3" s="287" t="s">
        <v>17</v>
      </c>
      <c r="R3" s="327"/>
      <c r="S3" s="287" t="s">
        <v>3</v>
      </c>
      <c r="T3" s="288"/>
      <c r="U3" s="291" t="s">
        <v>4</v>
      </c>
      <c r="V3" s="292"/>
      <c r="W3" s="292"/>
      <c r="X3" s="292"/>
      <c r="Y3" s="292"/>
      <c r="Z3" s="292"/>
      <c r="AA3" s="292"/>
      <c r="AB3" s="292"/>
      <c r="AC3" s="295" t="s">
        <v>86</v>
      </c>
      <c r="AD3" s="275" t="s">
        <v>6</v>
      </c>
      <c r="AE3" s="275" t="s">
        <v>7</v>
      </c>
      <c r="AF3" s="284" t="s">
        <v>73</v>
      </c>
      <c r="AG3" s="302" t="s">
        <v>8</v>
      </c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4"/>
      <c r="BC3" s="307" t="s">
        <v>87</v>
      </c>
      <c r="BD3" s="309"/>
      <c r="BE3" s="331" t="s">
        <v>9</v>
      </c>
      <c r="BF3" s="331" t="s">
        <v>10</v>
      </c>
    </row>
    <row r="4" spans="1:58" ht="36" customHeight="1" thickBot="1">
      <c r="A4" s="313"/>
      <c r="B4" s="315"/>
      <c r="C4" s="317"/>
      <c r="D4" s="319"/>
      <c r="E4" s="325"/>
      <c r="F4" s="326"/>
      <c r="G4" s="289"/>
      <c r="H4" s="328"/>
      <c r="I4" s="289"/>
      <c r="J4" s="328"/>
      <c r="K4" s="289"/>
      <c r="L4" s="328"/>
      <c r="M4" s="329"/>
      <c r="N4" s="330"/>
      <c r="O4" s="289"/>
      <c r="P4" s="328"/>
      <c r="Q4" s="289"/>
      <c r="R4" s="328"/>
      <c r="S4" s="289"/>
      <c r="T4" s="290"/>
      <c r="U4" s="293"/>
      <c r="V4" s="294"/>
      <c r="W4" s="294"/>
      <c r="X4" s="294"/>
      <c r="Y4" s="294"/>
      <c r="Z4" s="294"/>
      <c r="AA4" s="294"/>
      <c r="AB4" s="294"/>
      <c r="AC4" s="296"/>
      <c r="AD4" s="276"/>
      <c r="AE4" s="276"/>
      <c r="AF4" s="285"/>
      <c r="AG4" s="281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6"/>
      <c r="BC4" s="334" t="s">
        <v>76</v>
      </c>
      <c r="BD4" s="266" t="s">
        <v>88</v>
      </c>
      <c r="BE4" s="332"/>
      <c r="BF4" s="332"/>
    </row>
    <row r="5" spans="1:58" ht="29.25" customHeight="1" thickBot="1">
      <c r="A5" s="313"/>
      <c r="B5" s="315"/>
      <c r="C5" s="317"/>
      <c r="D5" s="319"/>
      <c r="E5" s="320" t="s">
        <v>18</v>
      </c>
      <c r="F5" s="270" t="s">
        <v>19</v>
      </c>
      <c r="G5" s="270" t="s">
        <v>18</v>
      </c>
      <c r="H5" s="270" t="s">
        <v>19</v>
      </c>
      <c r="I5" s="270" t="s">
        <v>18</v>
      </c>
      <c r="J5" s="270" t="s">
        <v>19</v>
      </c>
      <c r="K5" s="270" t="s">
        <v>18</v>
      </c>
      <c r="L5" s="270" t="s">
        <v>19</v>
      </c>
      <c r="M5" s="270" t="s">
        <v>18</v>
      </c>
      <c r="N5" s="270" t="s">
        <v>19</v>
      </c>
      <c r="O5" s="270" t="s">
        <v>18</v>
      </c>
      <c r="P5" s="270" t="s">
        <v>19</v>
      </c>
      <c r="Q5" s="270" t="s">
        <v>18</v>
      </c>
      <c r="R5" s="270" t="s">
        <v>19</v>
      </c>
      <c r="S5" s="270" t="s">
        <v>18</v>
      </c>
      <c r="T5" s="298" t="s">
        <v>19</v>
      </c>
      <c r="U5" s="272" t="s">
        <v>20</v>
      </c>
      <c r="V5" s="272" t="s">
        <v>21</v>
      </c>
      <c r="W5" s="272" t="s">
        <v>22</v>
      </c>
      <c r="X5" s="272" t="s">
        <v>23</v>
      </c>
      <c r="Y5" s="272" t="s">
        <v>24</v>
      </c>
      <c r="Z5" s="272" t="s">
        <v>25</v>
      </c>
      <c r="AA5" s="272" t="s">
        <v>26</v>
      </c>
      <c r="AB5" s="280" t="s">
        <v>27</v>
      </c>
      <c r="AC5" s="296"/>
      <c r="AD5" s="276"/>
      <c r="AE5" s="276"/>
      <c r="AF5" s="285"/>
      <c r="AG5" s="282" t="s">
        <v>28</v>
      </c>
      <c r="AH5" s="300" t="s">
        <v>29</v>
      </c>
      <c r="AI5" s="300" t="s">
        <v>30</v>
      </c>
      <c r="AJ5" s="274" t="s">
        <v>31</v>
      </c>
      <c r="AK5" s="300" t="s">
        <v>32</v>
      </c>
      <c r="AL5" s="274" t="s">
        <v>31</v>
      </c>
      <c r="AM5" s="274" t="s">
        <v>33</v>
      </c>
      <c r="AN5" s="274" t="s">
        <v>31</v>
      </c>
      <c r="AO5" s="274" t="s">
        <v>34</v>
      </c>
      <c r="AP5" s="274" t="s">
        <v>31</v>
      </c>
      <c r="AQ5" s="310" t="s">
        <v>89</v>
      </c>
      <c r="AR5" s="322" t="s">
        <v>31</v>
      </c>
      <c r="AS5" s="268" t="s">
        <v>90</v>
      </c>
      <c r="AT5" s="268" t="s">
        <v>84</v>
      </c>
      <c r="AU5" s="89" t="s">
        <v>31</v>
      </c>
      <c r="AV5" s="307" t="s">
        <v>80</v>
      </c>
      <c r="AW5" s="308"/>
      <c r="AX5" s="309"/>
      <c r="AY5" s="278" t="s">
        <v>17</v>
      </c>
      <c r="AZ5" s="266" t="s">
        <v>36</v>
      </c>
      <c r="BA5" s="266" t="s">
        <v>31</v>
      </c>
      <c r="BB5" s="266" t="s">
        <v>37</v>
      </c>
      <c r="BC5" s="335"/>
      <c r="BD5" s="274"/>
      <c r="BE5" s="332"/>
      <c r="BF5" s="332"/>
    </row>
    <row r="6" spans="1:58" ht="54" customHeight="1" thickBot="1">
      <c r="A6" s="313"/>
      <c r="B6" s="315"/>
      <c r="C6" s="317"/>
      <c r="D6" s="319"/>
      <c r="E6" s="32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99"/>
      <c r="U6" s="273"/>
      <c r="V6" s="273"/>
      <c r="W6" s="273"/>
      <c r="X6" s="273"/>
      <c r="Y6" s="273"/>
      <c r="Z6" s="273"/>
      <c r="AA6" s="273"/>
      <c r="AB6" s="281"/>
      <c r="AC6" s="297"/>
      <c r="AD6" s="277"/>
      <c r="AE6" s="277"/>
      <c r="AF6" s="286"/>
      <c r="AG6" s="283"/>
      <c r="AH6" s="301"/>
      <c r="AI6" s="301"/>
      <c r="AJ6" s="267"/>
      <c r="AK6" s="301"/>
      <c r="AL6" s="267"/>
      <c r="AM6" s="267"/>
      <c r="AN6" s="267"/>
      <c r="AO6" s="267"/>
      <c r="AP6" s="267"/>
      <c r="AQ6" s="311"/>
      <c r="AR6" s="323"/>
      <c r="AS6" s="269"/>
      <c r="AT6" s="269"/>
      <c r="AU6" s="90"/>
      <c r="AV6" s="91" t="s">
        <v>81</v>
      </c>
      <c r="AW6" s="91" t="s">
        <v>82</v>
      </c>
      <c r="AX6" s="91" t="s">
        <v>83</v>
      </c>
      <c r="AY6" s="279"/>
      <c r="AZ6" s="267"/>
      <c r="BA6" s="267"/>
      <c r="BB6" s="267"/>
      <c r="BC6" s="336"/>
      <c r="BD6" s="267"/>
      <c r="BE6" s="333"/>
      <c r="BF6" s="333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96">
        <v>43</v>
      </c>
      <c r="AR7" s="97">
        <v>44</v>
      </c>
      <c r="AS7" s="92">
        <v>45</v>
      </c>
      <c r="AT7" s="43">
        <v>46</v>
      </c>
      <c r="AU7" s="92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98"/>
    </row>
    <row r="8" spans="1:58" ht="12.75">
      <c r="A8" s="5" t="s">
        <v>38</v>
      </c>
      <c r="B8" s="6"/>
      <c r="C8" s="6"/>
      <c r="D8" s="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"/>
      <c r="AG8" s="6"/>
      <c r="AH8" s="6"/>
      <c r="AI8" s="6"/>
      <c r="AJ8" s="6"/>
      <c r="AK8" s="6"/>
      <c r="AL8" s="6"/>
      <c r="AM8" s="6"/>
      <c r="AN8" s="6"/>
      <c r="AO8" s="6"/>
      <c r="AP8" s="42"/>
      <c r="AQ8" s="99"/>
      <c r="AR8" s="99"/>
      <c r="AS8" s="42"/>
      <c r="AT8" s="42"/>
      <c r="AU8" s="42"/>
      <c r="AV8" s="6"/>
      <c r="AW8" s="6"/>
      <c r="AX8" s="6"/>
      <c r="AY8" s="6"/>
      <c r="AZ8" s="10"/>
      <c r="BA8" s="1"/>
      <c r="BB8" s="1"/>
      <c r="BC8" s="1"/>
      <c r="BD8" s="1"/>
      <c r="BE8" s="1"/>
      <c r="BF8" s="98"/>
    </row>
    <row r="9" spans="1:58" s="93" customFormat="1" ht="12.75">
      <c r="A9" s="100" t="s">
        <v>39</v>
      </c>
      <c r="B9" s="136">
        <v>1384.2</v>
      </c>
      <c r="C9" s="153">
        <f>B9*8.65</f>
        <v>11973.330000000002</v>
      </c>
      <c r="D9" s="154">
        <f>C9*0.24088</f>
        <v>2884.1357304000007</v>
      </c>
      <c r="E9" s="78">
        <v>1038.96</v>
      </c>
      <c r="F9" s="78">
        <v>205.68</v>
      </c>
      <c r="G9" s="78">
        <v>1402.62</v>
      </c>
      <c r="H9" s="78">
        <v>277.67</v>
      </c>
      <c r="I9" s="78">
        <v>3376.66</v>
      </c>
      <c r="J9" s="78">
        <v>668.46</v>
      </c>
      <c r="K9" s="78">
        <v>2337.67</v>
      </c>
      <c r="L9" s="78">
        <v>462.78</v>
      </c>
      <c r="M9" s="84">
        <v>831.17</v>
      </c>
      <c r="N9" s="84">
        <v>164.55</v>
      </c>
      <c r="O9" s="78">
        <v>0</v>
      </c>
      <c r="P9" s="78">
        <v>0</v>
      </c>
      <c r="Q9" s="78">
        <v>0</v>
      </c>
      <c r="R9" s="78">
        <v>0</v>
      </c>
      <c r="S9" s="78">
        <f>E9+G9+I9+K9+M9+O9+Q9</f>
        <v>8987.08</v>
      </c>
      <c r="T9" s="140">
        <f>P9+N9+L9+J9+H9+F9+R9</f>
        <v>1779.14</v>
      </c>
      <c r="U9" s="78">
        <v>12.34</v>
      </c>
      <c r="V9" s="78">
        <v>16.65</v>
      </c>
      <c r="W9" s="78">
        <v>40.09</v>
      </c>
      <c r="X9" s="78">
        <v>27.75</v>
      </c>
      <c r="Y9" s="78">
        <v>9.87</v>
      </c>
      <c r="Z9" s="139">
        <v>0</v>
      </c>
      <c r="AA9" s="139">
        <v>0</v>
      </c>
      <c r="AB9" s="139">
        <f>SUM(U9:AA9)</f>
        <v>106.7</v>
      </c>
      <c r="AC9" s="155">
        <f>D9+T9+AB9</f>
        <v>4769.9757304</v>
      </c>
      <c r="AD9" s="156">
        <f>P9+Z9</f>
        <v>0</v>
      </c>
      <c r="AE9" s="87">
        <f>R9+AA9</f>
        <v>0</v>
      </c>
      <c r="AF9" s="87"/>
      <c r="AG9" s="13">
        <f>0.6*B9</f>
        <v>830.52</v>
      </c>
      <c r="AH9" s="13">
        <f>B9*0.2*1.05826</f>
        <v>292.96869840000005</v>
      </c>
      <c r="AI9" s="13">
        <f>0.8518*B9</f>
        <v>1179.06156</v>
      </c>
      <c r="AJ9" s="13">
        <f>AI9*0.18</f>
        <v>212.2310808</v>
      </c>
      <c r="AK9" s="13">
        <f>1.04*B9*0.9531</f>
        <v>1372.0522607999999</v>
      </c>
      <c r="AL9" s="13">
        <f>AK9*0.18</f>
        <v>246.96940694399996</v>
      </c>
      <c r="AM9" s="13">
        <f>(1.91)*B9*0.9531</f>
        <v>2519.8267482</v>
      </c>
      <c r="AN9" s="13">
        <f>AM9*0.18</f>
        <v>453.568814676</v>
      </c>
      <c r="AO9" s="13"/>
      <c r="AP9" s="13">
        <f>AO9*0.18</f>
        <v>0</v>
      </c>
      <c r="AQ9" s="142"/>
      <c r="AR9" s="142"/>
      <c r="AS9" s="83">
        <v>2531.92</v>
      </c>
      <c r="AT9" s="83"/>
      <c r="AU9" s="83">
        <f>(AS9+AT9)*0.18</f>
        <v>455.7456</v>
      </c>
      <c r="AV9" s="143"/>
      <c r="AW9" s="144"/>
      <c r="AX9" s="13">
        <f>AV9*AW9*1.12*1.18</f>
        <v>0</v>
      </c>
      <c r="AY9" s="145"/>
      <c r="AZ9" s="146"/>
      <c r="BA9" s="146">
        <f>AZ9*0.18</f>
        <v>0</v>
      </c>
      <c r="BB9" s="146">
        <f>SUM(AG9:BA9)-AV9-AW9</f>
        <v>10094.86416982</v>
      </c>
      <c r="BC9" s="147"/>
      <c r="BD9" s="25">
        <f>BB9-(AF9-BC9)</f>
        <v>10094.86416982</v>
      </c>
      <c r="BE9" s="94">
        <f>AC9-BB9</f>
        <v>-5324.88843942</v>
      </c>
      <c r="BF9" s="95">
        <f>AB9-S9</f>
        <v>-8880.38</v>
      </c>
    </row>
    <row r="10" spans="1:58" ht="12.75">
      <c r="A10" s="11" t="s">
        <v>40</v>
      </c>
      <c r="B10" s="136">
        <v>1384.2</v>
      </c>
      <c r="C10" s="153">
        <f>B10*8.65</f>
        <v>11973.330000000002</v>
      </c>
      <c r="D10" s="154">
        <f>C10*0.24088</f>
        <v>2884.1357304000007</v>
      </c>
      <c r="E10" s="78">
        <v>1010.41</v>
      </c>
      <c r="F10" s="78">
        <v>196.37</v>
      </c>
      <c r="G10" s="78">
        <v>1363.98</v>
      </c>
      <c r="H10" s="78">
        <v>265.13</v>
      </c>
      <c r="I10" s="78">
        <v>3283.61</v>
      </c>
      <c r="J10" s="78">
        <v>638.25</v>
      </c>
      <c r="K10" s="78">
        <v>2273.25</v>
      </c>
      <c r="L10" s="78">
        <v>441.84</v>
      </c>
      <c r="M10" s="84">
        <v>808.36</v>
      </c>
      <c r="N10" s="84">
        <v>157.08</v>
      </c>
      <c r="O10" s="78">
        <v>0</v>
      </c>
      <c r="P10" s="78">
        <v>0</v>
      </c>
      <c r="Q10" s="78">
        <v>0</v>
      </c>
      <c r="R10" s="78">
        <v>0</v>
      </c>
      <c r="S10" s="78">
        <f>E10+G10+I10+K10+M10+O10+Q10</f>
        <v>8739.61</v>
      </c>
      <c r="T10" s="140">
        <f>P10+N10+L10+J10+H10+F10+R10</f>
        <v>1698.67</v>
      </c>
      <c r="U10" s="78">
        <v>656.61</v>
      </c>
      <c r="V10" s="78">
        <v>886.41</v>
      </c>
      <c r="W10" s="78">
        <v>2978.11</v>
      </c>
      <c r="X10" s="78">
        <v>1477.36</v>
      </c>
      <c r="Y10" s="78">
        <v>525.26</v>
      </c>
      <c r="Z10" s="78">
        <v>0</v>
      </c>
      <c r="AA10" s="139">
        <v>0</v>
      </c>
      <c r="AB10" s="157">
        <f>SUM(U10:AA10)</f>
        <v>6523.75</v>
      </c>
      <c r="AC10" s="141">
        <f>D10+T10+AB10</f>
        <v>11106.555730400001</v>
      </c>
      <c r="AD10" s="87">
        <f>P10+Z10</f>
        <v>0</v>
      </c>
      <c r="AE10" s="87">
        <f>R10+AA10</f>
        <v>0</v>
      </c>
      <c r="AF10" s="87"/>
      <c r="AG10" s="13">
        <f>0.6*B10</f>
        <v>830.52</v>
      </c>
      <c r="AH10" s="13">
        <f>B10*0.201</f>
        <v>278.22420000000005</v>
      </c>
      <c r="AI10" s="13">
        <f>0.8518*B10</f>
        <v>1179.06156</v>
      </c>
      <c r="AJ10" s="13">
        <f>AI10*0.18</f>
        <v>212.2310808</v>
      </c>
      <c r="AK10" s="13">
        <f>1.04*B10*0.9531</f>
        <v>1372.0522607999999</v>
      </c>
      <c r="AL10" s="13">
        <f>AK10*0.18</f>
        <v>246.96940694399996</v>
      </c>
      <c r="AM10" s="13">
        <f>(1.91)*B10*0.9531</f>
        <v>2519.8267482</v>
      </c>
      <c r="AN10" s="13">
        <f>AM10*0.18</f>
        <v>453.568814676</v>
      </c>
      <c r="AO10" s="13"/>
      <c r="AP10" s="13">
        <f>AO10*0.18</f>
        <v>0</v>
      </c>
      <c r="AQ10" s="142"/>
      <c r="AR10" s="142"/>
      <c r="AS10" s="83">
        <v>19871</v>
      </c>
      <c r="AT10" s="83"/>
      <c r="AU10" s="83">
        <f>(AS10+AT10)*0.18</f>
        <v>3576.7799999999997</v>
      </c>
      <c r="AV10" s="143"/>
      <c r="AW10" s="144"/>
      <c r="AX10" s="13">
        <f>AV10*AW10*1.12*1.18</f>
        <v>0</v>
      </c>
      <c r="AY10" s="145"/>
      <c r="AZ10" s="146"/>
      <c r="BA10" s="146">
        <f>AZ10*0.18</f>
        <v>0</v>
      </c>
      <c r="BB10" s="146">
        <f>SUM(AG10:BA10)-AV10-AW10</f>
        <v>30540.23407142</v>
      </c>
      <c r="BC10" s="147"/>
      <c r="BD10" s="25">
        <f>BB10-(AF10-BC10)</f>
        <v>30540.23407142</v>
      </c>
      <c r="BE10" s="94">
        <f>AC10-BB10</f>
        <v>-19433.67834102</v>
      </c>
      <c r="BF10" s="95">
        <f>AB10-S10</f>
        <v>-2215.8600000000006</v>
      </c>
    </row>
    <row r="11" spans="1:58" ht="13.5" thickBot="1">
      <c r="A11" s="27" t="s">
        <v>41</v>
      </c>
      <c r="B11" s="136">
        <v>1384.2</v>
      </c>
      <c r="C11" s="153">
        <f>B11*8.65</f>
        <v>11973.330000000002</v>
      </c>
      <c r="D11" s="154">
        <f>C11*0.24035</f>
        <v>2877.7898655000004</v>
      </c>
      <c r="E11" s="78">
        <v>785.39</v>
      </c>
      <c r="F11" s="78">
        <v>205.15</v>
      </c>
      <c r="G11" s="78">
        <v>1060.27</v>
      </c>
      <c r="H11" s="78">
        <v>276.97</v>
      </c>
      <c r="I11" s="78">
        <v>2552.47</v>
      </c>
      <c r="J11" s="78">
        <v>666.76</v>
      </c>
      <c r="K11" s="78">
        <v>1767.09</v>
      </c>
      <c r="L11" s="78">
        <v>461.59</v>
      </c>
      <c r="M11" s="84">
        <v>628.36</v>
      </c>
      <c r="N11" s="84">
        <v>164.11</v>
      </c>
      <c r="O11" s="78">
        <v>0</v>
      </c>
      <c r="P11" s="139">
        <v>0</v>
      </c>
      <c r="Q11" s="139">
        <v>0</v>
      </c>
      <c r="R11" s="139">
        <v>0</v>
      </c>
      <c r="S11" s="78">
        <f>E11+G11+I11+K11+M11+O11+Q11</f>
        <v>6793.579999999999</v>
      </c>
      <c r="T11" s="140">
        <f>P11+N11+L11+J11+H11+F11+R11</f>
        <v>1774.5800000000002</v>
      </c>
      <c r="U11" s="78">
        <v>988.18</v>
      </c>
      <c r="V11" s="78">
        <v>1334.02</v>
      </c>
      <c r="W11" s="78">
        <v>3090.79</v>
      </c>
      <c r="X11" s="78">
        <v>2223.34</v>
      </c>
      <c r="Y11" s="78">
        <v>790.64</v>
      </c>
      <c r="Z11" s="78">
        <v>0</v>
      </c>
      <c r="AA11" s="139">
        <v>0</v>
      </c>
      <c r="AB11" s="157">
        <f>SUM(U11:AA11)</f>
        <v>8426.97</v>
      </c>
      <c r="AC11" s="141">
        <f>D11+T11+AB11</f>
        <v>13079.3398655</v>
      </c>
      <c r="AD11" s="87">
        <f>P11+Z11</f>
        <v>0</v>
      </c>
      <c r="AE11" s="87">
        <f>R11+AA11</f>
        <v>0</v>
      </c>
      <c r="AF11" s="87"/>
      <c r="AG11" s="13">
        <f>0.6*B11</f>
        <v>830.52</v>
      </c>
      <c r="AH11" s="13">
        <f>B11*0.2*1.02524</f>
        <v>283.8274416</v>
      </c>
      <c r="AI11" s="13">
        <f>0.84932*B11</f>
        <v>1175.628744</v>
      </c>
      <c r="AJ11" s="13">
        <f>AI11*0.18</f>
        <v>211.61317392</v>
      </c>
      <c r="AK11" s="13">
        <f>1.04*B11*0.95033</f>
        <v>1368.06465744</v>
      </c>
      <c r="AL11" s="13">
        <f>AK11*0.18</f>
        <v>246.25163833919999</v>
      </c>
      <c r="AM11" s="13">
        <f>(1.91)*B11*0.95033</f>
        <v>2512.50336126</v>
      </c>
      <c r="AN11" s="13">
        <f>AM11*0.18</f>
        <v>452.2506050268</v>
      </c>
      <c r="AO11" s="13"/>
      <c r="AP11" s="13">
        <f>AO11*0.18</f>
        <v>0</v>
      </c>
      <c r="AQ11" s="142"/>
      <c r="AR11" s="142"/>
      <c r="AS11" s="158">
        <v>0</v>
      </c>
      <c r="AT11" s="83"/>
      <c r="AU11" s="83">
        <f>(AS11+AT11)*0.18</f>
        <v>0</v>
      </c>
      <c r="AV11" s="143"/>
      <c r="AW11" s="144"/>
      <c r="AX11" s="13">
        <f>AV11*AW11*1.12*1.18</f>
        <v>0</v>
      </c>
      <c r="AY11" s="145"/>
      <c r="AZ11" s="146"/>
      <c r="BA11" s="146">
        <f>AZ11*0.18</f>
        <v>0</v>
      </c>
      <c r="BB11" s="146">
        <f>SUM(AG11:BA11)-AV11-AW11</f>
        <v>7080.659621586001</v>
      </c>
      <c r="BC11" s="147"/>
      <c r="BD11" s="25">
        <f>BB11-(AF11-BC11)</f>
        <v>7080.659621586001</v>
      </c>
      <c r="BE11" s="94">
        <f>AC11-BB11</f>
        <v>5998.680243913999</v>
      </c>
      <c r="BF11" s="95">
        <f>AB11-S11</f>
        <v>1633.3900000000003</v>
      </c>
    </row>
    <row r="12" spans="1:58" s="16" customFormat="1" ht="15" customHeight="1" thickBot="1">
      <c r="A12" s="29" t="s">
        <v>3</v>
      </c>
      <c r="B12" s="101"/>
      <c r="C12" s="101">
        <f>SUM(C9:C11)</f>
        <v>35919.990000000005</v>
      </c>
      <c r="D12" s="101">
        <f aca="true" t="shared" si="0" ref="D12:BD12">SUM(D9:D11)</f>
        <v>8646.061326300001</v>
      </c>
      <c r="E12" s="101">
        <f t="shared" si="0"/>
        <v>2834.7599999999998</v>
      </c>
      <c r="F12" s="101">
        <f t="shared" si="0"/>
        <v>607.2</v>
      </c>
      <c r="G12" s="101">
        <f t="shared" si="0"/>
        <v>3826.87</v>
      </c>
      <c r="H12" s="101">
        <f t="shared" si="0"/>
        <v>819.77</v>
      </c>
      <c r="I12" s="101">
        <f t="shared" si="0"/>
        <v>9212.74</v>
      </c>
      <c r="J12" s="101">
        <f t="shared" si="0"/>
        <v>1973.47</v>
      </c>
      <c r="K12" s="101">
        <f t="shared" si="0"/>
        <v>6378.01</v>
      </c>
      <c r="L12" s="101">
        <f t="shared" si="0"/>
        <v>1366.2099999999998</v>
      </c>
      <c r="M12" s="101">
        <f t="shared" si="0"/>
        <v>2267.89</v>
      </c>
      <c r="N12" s="101">
        <f t="shared" si="0"/>
        <v>485.74</v>
      </c>
      <c r="O12" s="101">
        <f t="shared" si="0"/>
        <v>0</v>
      </c>
      <c r="P12" s="101">
        <f t="shared" si="0"/>
        <v>0</v>
      </c>
      <c r="Q12" s="101">
        <f t="shared" si="0"/>
        <v>0</v>
      </c>
      <c r="R12" s="101">
        <f t="shared" si="0"/>
        <v>0</v>
      </c>
      <c r="S12" s="101">
        <f t="shared" si="0"/>
        <v>24520.27</v>
      </c>
      <c r="T12" s="101">
        <f t="shared" si="0"/>
        <v>5252.39</v>
      </c>
      <c r="U12" s="101">
        <f t="shared" si="0"/>
        <v>1657.13</v>
      </c>
      <c r="V12" s="101">
        <f t="shared" si="0"/>
        <v>2237.08</v>
      </c>
      <c r="W12" s="101">
        <f t="shared" si="0"/>
        <v>6108.99</v>
      </c>
      <c r="X12" s="101">
        <f t="shared" si="0"/>
        <v>3728.45</v>
      </c>
      <c r="Y12" s="101">
        <f t="shared" si="0"/>
        <v>1325.77</v>
      </c>
      <c r="Z12" s="101">
        <f t="shared" si="0"/>
        <v>0</v>
      </c>
      <c r="AA12" s="101">
        <f t="shared" si="0"/>
        <v>0</v>
      </c>
      <c r="AB12" s="101">
        <f t="shared" si="0"/>
        <v>15057.419999999998</v>
      </c>
      <c r="AC12" s="101">
        <f t="shared" si="0"/>
        <v>28955.871326300003</v>
      </c>
      <c r="AD12" s="101">
        <f t="shared" si="0"/>
        <v>0</v>
      </c>
      <c r="AE12" s="101">
        <f t="shared" si="0"/>
        <v>0</v>
      </c>
      <c r="AF12" s="101">
        <f t="shared" si="0"/>
        <v>0</v>
      </c>
      <c r="AG12" s="101">
        <f t="shared" si="0"/>
        <v>2491.56</v>
      </c>
      <c r="AH12" s="101">
        <f t="shared" si="0"/>
        <v>855.02034</v>
      </c>
      <c r="AI12" s="101">
        <f t="shared" si="0"/>
        <v>3533.7518640000003</v>
      </c>
      <c r="AJ12" s="101">
        <f t="shared" si="0"/>
        <v>636.07533552</v>
      </c>
      <c r="AK12" s="101">
        <f t="shared" si="0"/>
        <v>4112.16917904</v>
      </c>
      <c r="AL12" s="101">
        <f t="shared" si="0"/>
        <v>740.1904522271999</v>
      </c>
      <c r="AM12" s="101">
        <f t="shared" si="0"/>
        <v>7552.15685766</v>
      </c>
      <c r="AN12" s="101">
        <f t="shared" si="0"/>
        <v>1359.3882343788</v>
      </c>
      <c r="AO12" s="101">
        <f t="shared" si="0"/>
        <v>0</v>
      </c>
      <c r="AP12" s="101">
        <f t="shared" si="0"/>
        <v>0</v>
      </c>
      <c r="AQ12" s="102">
        <f t="shared" si="0"/>
        <v>0</v>
      </c>
      <c r="AR12" s="102">
        <f t="shared" si="0"/>
        <v>0</v>
      </c>
      <c r="AS12" s="103">
        <f t="shared" si="0"/>
        <v>22402.92</v>
      </c>
      <c r="AT12" s="103">
        <f t="shared" si="0"/>
        <v>0</v>
      </c>
      <c r="AU12" s="103">
        <f t="shared" si="0"/>
        <v>4032.5256</v>
      </c>
      <c r="AV12" s="101">
        <f t="shared" si="0"/>
        <v>0</v>
      </c>
      <c r="AW12" s="101">
        <f t="shared" si="0"/>
        <v>0</v>
      </c>
      <c r="AX12" s="101">
        <f t="shared" si="0"/>
        <v>0</v>
      </c>
      <c r="AY12" s="101">
        <f t="shared" si="0"/>
        <v>0</v>
      </c>
      <c r="AZ12" s="101">
        <f t="shared" si="0"/>
        <v>0</v>
      </c>
      <c r="BA12" s="101">
        <f t="shared" si="0"/>
        <v>0</v>
      </c>
      <c r="BB12" s="101">
        <f t="shared" si="0"/>
        <v>47715.75786282601</v>
      </c>
      <c r="BC12" s="101">
        <f t="shared" si="0"/>
        <v>0</v>
      </c>
      <c r="BD12" s="101">
        <f t="shared" si="0"/>
        <v>47715.75786282601</v>
      </c>
      <c r="BE12" s="101">
        <f>SUM(BE9:BE11)</f>
        <v>-18759.886536526</v>
      </c>
      <c r="BF12" s="104">
        <f>SUM(BF9:BF11)</f>
        <v>-9462.849999999999</v>
      </c>
    </row>
    <row r="13" spans="1:58" ht="15" customHeight="1">
      <c r="A13" s="7" t="s">
        <v>42</v>
      </c>
      <c r="B13" s="105"/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9"/>
      <c r="Q13" s="110"/>
      <c r="R13" s="110"/>
      <c r="S13" s="110"/>
      <c r="T13" s="110"/>
      <c r="U13" s="111"/>
      <c r="V13" s="111"/>
      <c r="W13" s="111"/>
      <c r="X13" s="111"/>
      <c r="Y13" s="111"/>
      <c r="Z13" s="111"/>
      <c r="AA13" s="112"/>
      <c r="AB13" s="112"/>
      <c r="AC13" s="113"/>
      <c r="AD13" s="114"/>
      <c r="AE13" s="114"/>
      <c r="AF13" s="38"/>
      <c r="AG13" s="38"/>
      <c r="AH13" s="38"/>
      <c r="AI13" s="38"/>
      <c r="AJ13" s="38"/>
      <c r="AK13" s="38"/>
      <c r="AL13" s="38"/>
      <c r="AM13" s="38"/>
      <c r="AN13" s="115"/>
      <c r="AO13" s="115"/>
      <c r="AP13" s="115"/>
      <c r="AQ13" s="116"/>
      <c r="AR13" s="117"/>
      <c r="AS13" s="118"/>
      <c r="AT13" s="118"/>
      <c r="AU13" s="119"/>
      <c r="AV13" s="38"/>
      <c r="AW13" s="38"/>
      <c r="AX13" s="40"/>
      <c r="AY13" s="1"/>
      <c r="AZ13" s="1"/>
      <c r="BA13" s="1"/>
      <c r="BB13" s="1"/>
      <c r="BC13" s="1"/>
      <c r="BD13" s="1"/>
      <c r="BE13" s="1"/>
      <c r="BF13" s="98"/>
    </row>
    <row r="14" spans="1:58" ht="12.75">
      <c r="A14" s="11" t="s">
        <v>43</v>
      </c>
      <c r="B14" s="148">
        <v>1384.2</v>
      </c>
      <c r="C14" s="153">
        <f aca="true" t="shared" si="1" ref="C14:C25">B14*8.65</f>
        <v>11973.330000000002</v>
      </c>
      <c r="D14" s="154">
        <f>C14*0.125</f>
        <v>1496.6662500000002</v>
      </c>
      <c r="E14" s="78">
        <v>930.93</v>
      </c>
      <c r="F14" s="78">
        <v>205.15</v>
      </c>
      <c r="G14" s="78">
        <v>1256.73</v>
      </c>
      <c r="H14" s="78">
        <v>276.97</v>
      </c>
      <c r="I14" s="78">
        <v>3025.44</v>
      </c>
      <c r="J14" s="78">
        <v>666.76</v>
      </c>
      <c r="K14" s="78">
        <v>2094.53</v>
      </c>
      <c r="L14" s="78">
        <v>461.59</v>
      </c>
      <c r="M14" s="84">
        <v>744.76</v>
      </c>
      <c r="N14" s="84">
        <v>164.12</v>
      </c>
      <c r="O14" s="78">
        <v>0</v>
      </c>
      <c r="P14" s="139">
        <v>0</v>
      </c>
      <c r="Q14" s="139">
        <v>0</v>
      </c>
      <c r="R14" s="139">
        <v>0</v>
      </c>
      <c r="S14" s="78">
        <f aca="true" t="shared" si="2" ref="S14:S25">E14+G14+I14+K14+M14+O14+Q14</f>
        <v>8052.390000000001</v>
      </c>
      <c r="T14" s="140">
        <f aca="true" t="shared" si="3" ref="T14:T25">P14+N14+L14+J14+H14+F14+R14</f>
        <v>1774.5900000000001</v>
      </c>
      <c r="U14" s="78">
        <v>800.66</v>
      </c>
      <c r="V14" s="78">
        <v>1080.91</v>
      </c>
      <c r="W14" s="78">
        <v>2222.66</v>
      </c>
      <c r="X14" s="78">
        <v>1801.51</v>
      </c>
      <c r="Y14" s="78">
        <v>640.53</v>
      </c>
      <c r="Z14" s="78">
        <v>0</v>
      </c>
      <c r="AA14" s="139">
        <v>0</v>
      </c>
      <c r="AB14" s="159">
        <f aca="true" t="shared" si="4" ref="AB14:AB20">SUM(U14:AA14)</f>
        <v>6546.2699999999995</v>
      </c>
      <c r="AC14" s="141">
        <f aca="true" t="shared" si="5" ref="AC14:AC22">D14+T14+AB14</f>
        <v>9817.526249999999</v>
      </c>
      <c r="AD14" s="87">
        <f aca="true" t="shared" si="6" ref="AD14:AD25">P14+Z14</f>
        <v>0</v>
      </c>
      <c r="AE14" s="87">
        <f aca="true" t="shared" si="7" ref="AE14:AE25">R14+AA14</f>
        <v>0</v>
      </c>
      <c r="AF14" s="87"/>
      <c r="AG14" s="13">
        <f>0.6*B14*0.9</f>
        <v>747.468</v>
      </c>
      <c r="AH14" s="13">
        <f>B14*0.2*0.891</f>
        <v>246.66444000000004</v>
      </c>
      <c r="AI14" s="13">
        <f>0.85*B14*0.867-0.02</f>
        <v>1020.06619</v>
      </c>
      <c r="AJ14" s="13">
        <f aca="true" t="shared" si="8" ref="AJ14:AJ20">AI14*0.18</f>
        <v>183.6119142</v>
      </c>
      <c r="AK14" s="13">
        <f>0.83*B14*0.8685</f>
        <v>997.807491</v>
      </c>
      <c r="AL14" s="13">
        <f aca="true" t="shared" si="9" ref="AL14:AL20">AK14*0.18</f>
        <v>179.60534838</v>
      </c>
      <c r="AM14" s="13">
        <f>1.91*B14*0.8686</f>
        <v>2296.4237892</v>
      </c>
      <c r="AN14" s="13">
        <f aca="true" t="shared" si="10" ref="AN14:AN20">AM14*0.18</f>
        <v>413.356282056</v>
      </c>
      <c r="AO14" s="13"/>
      <c r="AP14" s="13">
        <f aca="true" t="shared" si="11" ref="AP14:AP20">AO14*0.18</f>
        <v>0</v>
      </c>
      <c r="AQ14" s="142"/>
      <c r="AR14" s="142">
        <f aca="true" t="shared" si="12" ref="AR14:AR20">AQ14*0.18</f>
        <v>0</v>
      </c>
      <c r="AS14" s="83">
        <v>2500</v>
      </c>
      <c r="AT14" s="83"/>
      <c r="AU14" s="83">
        <f>(AS14+AT14)*0.18+0.01</f>
        <v>450.01</v>
      </c>
      <c r="AV14" s="143">
        <v>508</v>
      </c>
      <c r="AW14" s="144">
        <v>1</v>
      </c>
      <c r="AX14" s="13"/>
      <c r="AY14" s="145"/>
      <c r="AZ14" s="146"/>
      <c r="BA14" s="146">
        <f>AZ14*0.18</f>
        <v>0</v>
      </c>
      <c r="BB14" s="146">
        <f>SUM(AG14:AU14)+AX14</f>
        <v>9035.013454836</v>
      </c>
      <c r="BC14" s="147"/>
      <c r="BD14" s="120">
        <f>BB14-(AF14-BC14)</f>
        <v>9035.013454836</v>
      </c>
      <c r="BE14" s="94">
        <f>(AC14-BB14)+(AF14-BC14)</f>
        <v>782.5127951639988</v>
      </c>
      <c r="BF14" s="94">
        <f aca="true" t="shared" si="13" ref="BF14:BF19">AB14-S14</f>
        <v>-1506.1200000000017</v>
      </c>
    </row>
    <row r="15" spans="1:58" ht="12.75">
      <c r="A15" s="11" t="s">
        <v>44</v>
      </c>
      <c r="B15" s="148">
        <v>1384.2</v>
      </c>
      <c r="C15" s="153">
        <f t="shared" si="1"/>
        <v>11973.330000000002</v>
      </c>
      <c r="D15" s="154">
        <f>C15*0.125</f>
        <v>1496.6662500000002</v>
      </c>
      <c r="E15" s="78">
        <v>917.92</v>
      </c>
      <c r="F15" s="78">
        <v>205.15</v>
      </c>
      <c r="G15" s="78">
        <v>1239.18</v>
      </c>
      <c r="H15" s="78">
        <v>276.97</v>
      </c>
      <c r="I15" s="78">
        <v>2983.2</v>
      </c>
      <c r="J15" s="78">
        <v>666.76</v>
      </c>
      <c r="K15" s="78">
        <v>2065.27</v>
      </c>
      <c r="L15" s="78">
        <v>461.59</v>
      </c>
      <c r="M15" s="84">
        <v>734.36</v>
      </c>
      <c r="N15" s="84">
        <v>164.12</v>
      </c>
      <c r="O15" s="78">
        <v>0</v>
      </c>
      <c r="P15" s="139">
        <v>0</v>
      </c>
      <c r="Q15" s="139">
        <v>0</v>
      </c>
      <c r="R15" s="139">
        <v>0</v>
      </c>
      <c r="S15" s="78">
        <f t="shared" si="2"/>
        <v>7939.929999999999</v>
      </c>
      <c r="T15" s="140">
        <f t="shared" si="3"/>
        <v>1774.5900000000001</v>
      </c>
      <c r="U15" s="78">
        <v>827.08</v>
      </c>
      <c r="V15" s="78">
        <v>1116.49</v>
      </c>
      <c r="W15" s="78">
        <v>2665.86</v>
      </c>
      <c r="X15" s="78">
        <v>1860.77</v>
      </c>
      <c r="Y15" s="78">
        <v>661.68</v>
      </c>
      <c r="Z15" s="78">
        <v>0</v>
      </c>
      <c r="AA15" s="139">
        <v>0</v>
      </c>
      <c r="AB15" s="157">
        <f t="shared" si="4"/>
        <v>7131.880000000001</v>
      </c>
      <c r="AC15" s="141">
        <f t="shared" si="5"/>
        <v>10403.136250000001</v>
      </c>
      <c r="AD15" s="87">
        <f t="shared" si="6"/>
        <v>0</v>
      </c>
      <c r="AE15" s="87">
        <f t="shared" si="7"/>
        <v>0</v>
      </c>
      <c r="AF15" s="87"/>
      <c r="AG15" s="13">
        <f>0.6*B15*0.9</f>
        <v>747.468</v>
      </c>
      <c r="AH15" s="13">
        <f>B15*0.2*0.9153</f>
        <v>253.39165200000002</v>
      </c>
      <c r="AI15" s="13">
        <f>0.85*B15*0.867</f>
        <v>1020.08619</v>
      </c>
      <c r="AJ15" s="13">
        <f t="shared" si="8"/>
        <v>183.61551419999998</v>
      </c>
      <c r="AK15" s="13">
        <f>0.83*B15*0.8684</f>
        <v>997.6926023999999</v>
      </c>
      <c r="AL15" s="13">
        <f t="shared" si="9"/>
        <v>179.58466843199997</v>
      </c>
      <c r="AM15" s="13">
        <f>(1.91)*B15*0.8684</f>
        <v>2295.8950248</v>
      </c>
      <c r="AN15" s="13">
        <f t="shared" si="10"/>
        <v>413.261104464</v>
      </c>
      <c r="AO15" s="13"/>
      <c r="AP15" s="13">
        <f t="shared" si="11"/>
        <v>0</v>
      </c>
      <c r="AQ15" s="142"/>
      <c r="AR15" s="142">
        <f t="shared" si="12"/>
        <v>0</v>
      </c>
      <c r="AS15" s="83">
        <v>2900</v>
      </c>
      <c r="AT15" s="83"/>
      <c r="AU15" s="83">
        <f aca="true" t="shared" si="14" ref="AU15:AU20">(AS15+AT15)*0.18</f>
        <v>522</v>
      </c>
      <c r="AV15" s="143">
        <v>407</v>
      </c>
      <c r="AW15" s="144">
        <v>1</v>
      </c>
      <c r="AX15" s="13"/>
      <c r="AY15" s="145"/>
      <c r="AZ15" s="146"/>
      <c r="BA15" s="146">
        <f>AZ15*0.18</f>
        <v>0</v>
      </c>
      <c r="BB15" s="146">
        <f aca="true" t="shared" si="15" ref="BB15:BB25">SUM(AG15:AU15)+AX15</f>
        <v>9512.994756296</v>
      </c>
      <c r="BC15" s="160"/>
      <c r="BD15" s="120">
        <f>BB15-(AF15-BC15)</f>
        <v>9512.994756296</v>
      </c>
      <c r="BE15" s="94">
        <f>(AC15-BB15)+(AF15-BC15)</f>
        <v>890.1414937040008</v>
      </c>
      <c r="BF15" s="94">
        <f t="shared" si="13"/>
        <v>-808.0499999999984</v>
      </c>
    </row>
    <row r="16" spans="1:58" ht="13.5" thickBot="1">
      <c r="A16" s="121" t="s">
        <v>45</v>
      </c>
      <c r="B16" s="161">
        <v>1384.2</v>
      </c>
      <c r="C16" s="153">
        <f t="shared" si="1"/>
        <v>11973.330000000002</v>
      </c>
      <c r="D16" s="154">
        <f>C16*0.125</f>
        <v>1496.6662500000002</v>
      </c>
      <c r="E16" s="78">
        <v>884.13</v>
      </c>
      <c r="F16" s="78">
        <v>205.15</v>
      </c>
      <c r="G16" s="78">
        <v>1193.55</v>
      </c>
      <c r="H16" s="78">
        <v>276.97</v>
      </c>
      <c r="I16" s="78">
        <v>2873.37</v>
      </c>
      <c r="J16" s="78">
        <v>666.76</v>
      </c>
      <c r="K16" s="78">
        <v>1989.21</v>
      </c>
      <c r="L16" s="78">
        <v>461.59</v>
      </c>
      <c r="M16" s="84">
        <v>707.34</v>
      </c>
      <c r="N16" s="84">
        <v>164.11</v>
      </c>
      <c r="O16" s="78">
        <v>0</v>
      </c>
      <c r="P16" s="139">
        <v>0</v>
      </c>
      <c r="Q16" s="139">
        <v>0</v>
      </c>
      <c r="R16" s="139">
        <v>0</v>
      </c>
      <c r="S16" s="78">
        <f t="shared" si="2"/>
        <v>7647.599999999999</v>
      </c>
      <c r="T16" s="140">
        <f t="shared" si="3"/>
        <v>1774.5800000000002</v>
      </c>
      <c r="U16" s="79">
        <v>1001.29</v>
      </c>
      <c r="V16" s="79">
        <v>1351.75</v>
      </c>
      <c r="W16" s="79">
        <v>2964.48</v>
      </c>
      <c r="X16" s="79">
        <v>2252.89</v>
      </c>
      <c r="Y16" s="79">
        <v>801.12</v>
      </c>
      <c r="Z16" s="79">
        <v>0</v>
      </c>
      <c r="AA16" s="152">
        <v>0</v>
      </c>
      <c r="AB16" s="159">
        <f t="shared" si="4"/>
        <v>8371.53</v>
      </c>
      <c r="AC16" s="141">
        <f t="shared" si="5"/>
        <v>11642.77625</v>
      </c>
      <c r="AD16" s="87">
        <f t="shared" si="6"/>
        <v>0</v>
      </c>
      <c r="AE16" s="87">
        <f t="shared" si="7"/>
        <v>0</v>
      </c>
      <c r="AF16" s="87"/>
      <c r="AG16" s="13">
        <f>0.6*B16*0.9</f>
        <v>747.468</v>
      </c>
      <c r="AH16" s="162">
        <f>B16*0.2*0.9082</f>
        <v>251.42608800000002</v>
      </c>
      <c r="AI16" s="13">
        <f>0.85*B16*0.8675</f>
        <v>1020.674475</v>
      </c>
      <c r="AJ16" s="13">
        <f t="shared" si="8"/>
        <v>183.7214055</v>
      </c>
      <c r="AK16" s="162">
        <f>0.83*B16*0.838</f>
        <v>962.7664679999999</v>
      </c>
      <c r="AL16" s="13">
        <f t="shared" si="9"/>
        <v>173.29796423999997</v>
      </c>
      <c r="AM16" s="13">
        <f>1.91*B16*0.8381</f>
        <v>2215.7872182</v>
      </c>
      <c r="AN16" s="13">
        <f t="shared" si="10"/>
        <v>398.841699276</v>
      </c>
      <c r="AO16" s="13"/>
      <c r="AP16" s="13">
        <f t="shared" si="11"/>
        <v>0</v>
      </c>
      <c r="AQ16" s="142"/>
      <c r="AR16" s="142">
        <f t="shared" si="12"/>
        <v>0</v>
      </c>
      <c r="AS16" s="83">
        <v>796</v>
      </c>
      <c r="AT16" s="83"/>
      <c r="AU16" s="83">
        <f t="shared" si="14"/>
        <v>143.28</v>
      </c>
      <c r="AV16" s="143">
        <v>383</v>
      </c>
      <c r="AW16" s="144">
        <v>1</v>
      </c>
      <c r="AX16" s="13"/>
      <c r="AY16" s="145"/>
      <c r="AZ16" s="146"/>
      <c r="BA16" s="146">
        <f>AZ16*0.18</f>
        <v>0</v>
      </c>
      <c r="BB16" s="146">
        <f t="shared" si="15"/>
        <v>6893.263318216001</v>
      </c>
      <c r="BC16" s="160"/>
      <c r="BD16" s="122">
        <f>BB16-(AF16-BC16)</f>
        <v>6893.263318216001</v>
      </c>
      <c r="BE16" s="123">
        <f>(AC16-BB16)+(AF16-BC16)</f>
        <v>4749.512931784</v>
      </c>
      <c r="BF16" s="123">
        <f t="shared" si="13"/>
        <v>723.9300000000012</v>
      </c>
    </row>
    <row r="17" spans="1:58" ht="13.5" thickBot="1">
      <c r="A17" s="124" t="s">
        <v>46</v>
      </c>
      <c r="B17" s="163">
        <v>1384.2</v>
      </c>
      <c r="C17" s="153">
        <f t="shared" si="1"/>
        <v>11973.330000000002</v>
      </c>
      <c r="D17" s="154">
        <f>C17*0.125</f>
        <v>1496.6662500000002</v>
      </c>
      <c r="E17" s="79">
        <v>925.75</v>
      </c>
      <c r="F17" s="79">
        <v>205.15</v>
      </c>
      <c r="G17" s="79">
        <v>1249.75</v>
      </c>
      <c r="H17" s="79">
        <v>276.97</v>
      </c>
      <c r="I17" s="79">
        <v>3020.3</v>
      </c>
      <c r="J17" s="79">
        <v>666.76</v>
      </c>
      <c r="K17" s="79">
        <v>2082.91</v>
      </c>
      <c r="L17" s="79">
        <v>461.59</v>
      </c>
      <c r="M17" s="85">
        <v>740.63</v>
      </c>
      <c r="N17" s="85">
        <v>164.12</v>
      </c>
      <c r="O17" s="79">
        <v>0</v>
      </c>
      <c r="P17" s="152">
        <v>0</v>
      </c>
      <c r="Q17" s="152">
        <v>0</v>
      </c>
      <c r="R17" s="152">
        <v>0</v>
      </c>
      <c r="S17" s="78">
        <f t="shared" si="2"/>
        <v>8019.34</v>
      </c>
      <c r="T17" s="140">
        <f t="shared" si="3"/>
        <v>1774.5900000000001</v>
      </c>
      <c r="U17" s="78">
        <v>910.59</v>
      </c>
      <c r="V17" s="78">
        <v>1229.22</v>
      </c>
      <c r="W17" s="78">
        <v>2948.87</v>
      </c>
      <c r="X17" s="78">
        <v>2048.7</v>
      </c>
      <c r="Y17" s="78">
        <v>728.44</v>
      </c>
      <c r="Z17" s="78">
        <v>0</v>
      </c>
      <c r="AA17" s="78">
        <v>0</v>
      </c>
      <c r="AB17" s="159">
        <f t="shared" si="4"/>
        <v>7865.82</v>
      </c>
      <c r="AC17" s="141">
        <f t="shared" si="5"/>
        <v>11137.07625</v>
      </c>
      <c r="AD17" s="87">
        <f t="shared" si="6"/>
        <v>0</v>
      </c>
      <c r="AE17" s="87">
        <f t="shared" si="7"/>
        <v>0</v>
      </c>
      <c r="AF17" s="87"/>
      <c r="AG17" s="13">
        <f>0.6*B17*0.9</f>
        <v>747.468</v>
      </c>
      <c r="AH17" s="162">
        <f>B17*0.2*0.9234</f>
        <v>255.63405600000002</v>
      </c>
      <c r="AI17" s="13">
        <f>0.85*B17*0.8934</f>
        <v>1051.147638</v>
      </c>
      <c r="AJ17" s="13">
        <f t="shared" si="8"/>
        <v>189.20657483999997</v>
      </c>
      <c r="AK17" s="13">
        <f>0.83*B17*0.8498</f>
        <v>976.3233228</v>
      </c>
      <c r="AL17" s="13">
        <f t="shared" si="9"/>
        <v>175.738198104</v>
      </c>
      <c r="AM17" s="13">
        <f>(1.91)*B17*0.8498</f>
        <v>2246.7199356</v>
      </c>
      <c r="AN17" s="13">
        <f t="shared" si="10"/>
        <v>404.409588408</v>
      </c>
      <c r="AO17" s="13"/>
      <c r="AP17" s="13">
        <f t="shared" si="11"/>
        <v>0</v>
      </c>
      <c r="AQ17" s="142"/>
      <c r="AR17" s="142">
        <f t="shared" si="12"/>
        <v>0</v>
      </c>
      <c r="AS17" s="83">
        <v>11374.22</v>
      </c>
      <c r="AT17" s="83"/>
      <c r="AU17" s="83">
        <f t="shared" si="14"/>
        <v>2047.3595999999998</v>
      </c>
      <c r="AV17" s="143">
        <v>307</v>
      </c>
      <c r="AW17" s="144">
        <v>1</v>
      </c>
      <c r="AX17" s="13">
        <v>2121.17</v>
      </c>
      <c r="AY17" s="145"/>
      <c r="AZ17" s="146"/>
      <c r="BA17" s="146">
        <f>AZ17*0.18</f>
        <v>0</v>
      </c>
      <c r="BB17" s="146">
        <f t="shared" si="15"/>
        <v>21589.396913751996</v>
      </c>
      <c r="BC17" s="160"/>
      <c r="BD17" s="122">
        <f>BB17-(AF17-BC17)</f>
        <v>21589.396913751996</v>
      </c>
      <c r="BE17" s="123">
        <f>(AC17-BB17)+(AF17-BC17)</f>
        <v>-10452.320663751996</v>
      </c>
      <c r="BF17" s="123">
        <f t="shared" si="13"/>
        <v>-153.52000000000044</v>
      </c>
    </row>
    <row r="18" spans="1:58" ht="13.5" thickBot="1">
      <c r="A18" s="11" t="s">
        <v>47</v>
      </c>
      <c r="B18" s="161">
        <v>1384.2</v>
      </c>
      <c r="C18" s="153">
        <f t="shared" si="1"/>
        <v>11973.330000000002</v>
      </c>
      <c r="D18" s="138">
        <f aca="true" t="shared" si="16" ref="D18:D25">C18-E18-F18-G18-H18-I18-J18-K18-L18-M18-N18</f>
        <v>1179.2000000000007</v>
      </c>
      <c r="E18" s="79">
        <v>1018.93</v>
      </c>
      <c r="F18" s="79">
        <v>226.93</v>
      </c>
      <c r="G18" s="79">
        <v>1380.17</v>
      </c>
      <c r="H18" s="79">
        <v>307.59</v>
      </c>
      <c r="I18" s="79">
        <v>3316.11</v>
      </c>
      <c r="J18" s="79">
        <v>738.74</v>
      </c>
      <c r="K18" s="79">
        <v>2297.15</v>
      </c>
      <c r="L18" s="79">
        <v>511.83</v>
      </c>
      <c r="M18" s="85">
        <v>815.16</v>
      </c>
      <c r="N18" s="85">
        <v>181.52</v>
      </c>
      <c r="O18" s="79">
        <v>0</v>
      </c>
      <c r="P18" s="152">
        <v>0</v>
      </c>
      <c r="Q18" s="152">
        <v>0</v>
      </c>
      <c r="R18" s="152">
        <v>0</v>
      </c>
      <c r="S18" s="78">
        <f t="shared" si="2"/>
        <v>8827.52</v>
      </c>
      <c r="T18" s="140">
        <f t="shared" si="3"/>
        <v>1966.6100000000001</v>
      </c>
      <c r="U18" s="79">
        <v>760.4</v>
      </c>
      <c r="V18" s="79">
        <v>1026.57</v>
      </c>
      <c r="W18" s="79">
        <v>2467.03</v>
      </c>
      <c r="X18" s="79">
        <v>1710.87</v>
      </c>
      <c r="Y18" s="79">
        <v>608.32</v>
      </c>
      <c r="Z18" s="79">
        <v>0</v>
      </c>
      <c r="AA18" s="152">
        <v>0</v>
      </c>
      <c r="AB18" s="159">
        <f t="shared" si="4"/>
        <v>6573.19</v>
      </c>
      <c r="AC18" s="141">
        <f t="shared" si="5"/>
        <v>9719</v>
      </c>
      <c r="AD18" s="87">
        <f t="shared" si="6"/>
        <v>0</v>
      </c>
      <c r="AE18" s="87">
        <f t="shared" si="7"/>
        <v>0</v>
      </c>
      <c r="AF18" s="87"/>
      <c r="AG18" s="13">
        <f aca="true" t="shared" si="17" ref="AG18:AG25">0.6*B18</f>
        <v>830.52</v>
      </c>
      <c r="AH18" s="13">
        <f>B18*0.2*1.01</f>
        <v>279.6084</v>
      </c>
      <c r="AI18" s="13">
        <f>0.85*B18</f>
        <v>1176.57</v>
      </c>
      <c r="AJ18" s="13">
        <f t="shared" si="8"/>
        <v>211.78259999999997</v>
      </c>
      <c r="AK18" s="13">
        <f>0.83*B18</f>
        <v>1148.886</v>
      </c>
      <c r="AL18" s="13">
        <f t="shared" si="9"/>
        <v>206.79948</v>
      </c>
      <c r="AM18" s="13">
        <f>(1.91)*B18</f>
        <v>2643.822</v>
      </c>
      <c r="AN18" s="13">
        <f t="shared" si="10"/>
        <v>475.88796</v>
      </c>
      <c r="AO18" s="13"/>
      <c r="AP18" s="13">
        <f t="shared" si="11"/>
        <v>0</v>
      </c>
      <c r="AQ18" s="142"/>
      <c r="AR18" s="142">
        <f t="shared" si="12"/>
        <v>0</v>
      </c>
      <c r="AS18" s="83">
        <v>3204.6</v>
      </c>
      <c r="AT18" s="83"/>
      <c r="AU18" s="83">
        <f t="shared" si="14"/>
        <v>576.828</v>
      </c>
      <c r="AV18" s="143">
        <v>263</v>
      </c>
      <c r="AW18" s="144">
        <v>1</v>
      </c>
      <c r="AX18" s="13">
        <f>AV18*AW18*1.12*1.18</f>
        <v>347.5808</v>
      </c>
      <c r="AY18" s="145"/>
      <c r="AZ18" s="146"/>
      <c r="BA18" s="146">
        <f aca="true" t="shared" si="18" ref="BA18:BA25">AZ18*0.18</f>
        <v>0</v>
      </c>
      <c r="BB18" s="146">
        <f t="shared" si="15"/>
        <v>11102.88524</v>
      </c>
      <c r="BC18" s="160"/>
      <c r="BD18" s="122">
        <f>BB18-(AF18-BC18)</f>
        <v>11102.88524</v>
      </c>
      <c r="BE18" s="123">
        <f>(AC18-BB18)+(AF18-BC18)</f>
        <v>-1383.8852399999996</v>
      </c>
      <c r="BF18" s="123">
        <f t="shared" si="13"/>
        <v>-2254.330000000001</v>
      </c>
    </row>
    <row r="19" spans="1:58" ht="13.5" thickBot="1">
      <c r="A19" s="121" t="s">
        <v>48</v>
      </c>
      <c r="B19" s="161">
        <v>1384.2</v>
      </c>
      <c r="C19" s="153">
        <f t="shared" si="1"/>
        <v>11973.330000000002</v>
      </c>
      <c r="D19" s="138">
        <f t="shared" si="16"/>
        <v>1159.5200000000023</v>
      </c>
      <c r="E19" s="79">
        <v>1027.25</v>
      </c>
      <c r="F19" s="79">
        <v>220.89</v>
      </c>
      <c r="G19" s="79">
        <v>1391.36</v>
      </c>
      <c r="H19" s="79">
        <v>299.43</v>
      </c>
      <c r="I19" s="79">
        <v>3343.14</v>
      </c>
      <c r="J19" s="79">
        <v>719.12</v>
      </c>
      <c r="K19" s="79">
        <v>2315.85</v>
      </c>
      <c r="L19" s="79">
        <v>498.25</v>
      </c>
      <c r="M19" s="85">
        <v>821.83</v>
      </c>
      <c r="N19" s="85">
        <v>176.69</v>
      </c>
      <c r="O19" s="79">
        <v>0</v>
      </c>
      <c r="P19" s="152">
        <v>0</v>
      </c>
      <c r="Q19" s="152">
        <v>0</v>
      </c>
      <c r="R19" s="152">
        <v>0</v>
      </c>
      <c r="S19" s="78">
        <f t="shared" si="2"/>
        <v>8899.43</v>
      </c>
      <c r="T19" s="140">
        <f t="shared" si="3"/>
        <v>1914.38</v>
      </c>
      <c r="U19" s="79">
        <v>868.95</v>
      </c>
      <c r="V19" s="79">
        <v>1176.49</v>
      </c>
      <c r="W19" s="79">
        <v>2704.12</v>
      </c>
      <c r="X19" s="79">
        <v>1958.46</v>
      </c>
      <c r="Y19" s="79">
        <v>695.16</v>
      </c>
      <c r="Z19" s="79">
        <v>0</v>
      </c>
      <c r="AA19" s="152">
        <v>0</v>
      </c>
      <c r="AB19" s="159">
        <f t="shared" si="4"/>
        <v>7403.179999999999</v>
      </c>
      <c r="AC19" s="141">
        <f t="shared" si="5"/>
        <v>10477.080000000002</v>
      </c>
      <c r="AD19" s="87">
        <f t="shared" si="6"/>
        <v>0</v>
      </c>
      <c r="AE19" s="87">
        <f t="shared" si="7"/>
        <v>0</v>
      </c>
      <c r="AF19" s="87"/>
      <c r="AG19" s="13">
        <f t="shared" si="17"/>
        <v>830.52</v>
      </c>
      <c r="AH19" s="13">
        <f>B19*0.2*1.01045</f>
        <v>279.73297800000006</v>
      </c>
      <c r="AI19" s="13">
        <f>0.85*B19</f>
        <v>1176.57</v>
      </c>
      <c r="AJ19" s="13">
        <f t="shared" si="8"/>
        <v>211.78259999999997</v>
      </c>
      <c r="AK19" s="13">
        <f>0.83*B19</f>
        <v>1148.886</v>
      </c>
      <c r="AL19" s="13">
        <f t="shared" si="9"/>
        <v>206.79948</v>
      </c>
      <c r="AM19" s="13">
        <f>(1.91)*B19</f>
        <v>2643.822</v>
      </c>
      <c r="AN19" s="13">
        <f t="shared" si="10"/>
        <v>475.88796</v>
      </c>
      <c r="AO19" s="13"/>
      <c r="AP19" s="13">
        <f t="shared" si="11"/>
        <v>0</v>
      </c>
      <c r="AQ19" s="142"/>
      <c r="AR19" s="142">
        <f t="shared" si="12"/>
        <v>0</v>
      </c>
      <c r="AS19" s="83"/>
      <c r="AT19" s="83"/>
      <c r="AU19" s="83">
        <f t="shared" si="14"/>
        <v>0</v>
      </c>
      <c r="AV19" s="143">
        <v>233</v>
      </c>
      <c r="AW19" s="144">
        <v>1</v>
      </c>
      <c r="AX19" s="13">
        <f>AV19*AW19*1.12*1.18</f>
        <v>307.93280000000004</v>
      </c>
      <c r="AY19" s="145"/>
      <c r="AZ19" s="146"/>
      <c r="BA19" s="146">
        <f t="shared" si="18"/>
        <v>0</v>
      </c>
      <c r="BB19" s="146">
        <f t="shared" si="15"/>
        <v>7281.933818000001</v>
      </c>
      <c r="BC19" s="160"/>
      <c r="BD19" s="125">
        <f aca="true" t="shared" si="19" ref="BD19:BD25">BB19-(AF19-BC19)</f>
        <v>7281.933818000001</v>
      </c>
      <c r="BE19" s="126">
        <f aca="true" t="shared" si="20" ref="BE19:BE25">(AC19-BB19)+(AF19-BC19)</f>
        <v>3195.1461820000004</v>
      </c>
      <c r="BF19" s="123">
        <f t="shared" si="13"/>
        <v>-1496.250000000001</v>
      </c>
    </row>
    <row r="20" spans="1:58" ht="12.75">
      <c r="A20" s="124" t="s">
        <v>49</v>
      </c>
      <c r="B20" s="148">
        <v>1384.2</v>
      </c>
      <c r="C20" s="153">
        <f t="shared" si="1"/>
        <v>11973.330000000002</v>
      </c>
      <c r="D20" s="138">
        <f t="shared" si="16"/>
        <v>1144.6200000000026</v>
      </c>
      <c r="E20" s="79">
        <v>1036.87</v>
      </c>
      <c r="F20" s="79">
        <v>213.02</v>
      </c>
      <c r="G20" s="79">
        <v>1404.34</v>
      </c>
      <c r="H20" s="79">
        <v>288.74</v>
      </c>
      <c r="I20" s="79">
        <v>3374.4</v>
      </c>
      <c r="J20" s="79">
        <v>693.47</v>
      </c>
      <c r="K20" s="79">
        <v>2337.48</v>
      </c>
      <c r="L20" s="79">
        <v>480.47</v>
      </c>
      <c r="M20" s="85">
        <v>829.52</v>
      </c>
      <c r="N20" s="85">
        <v>170.4</v>
      </c>
      <c r="O20" s="79">
        <v>0</v>
      </c>
      <c r="P20" s="152">
        <v>0</v>
      </c>
      <c r="Q20" s="79">
        <v>0</v>
      </c>
      <c r="R20" s="152">
        <v>0</v>
      </c>
      <c r="S20" s="78">
        <f t="shared" si="2"/>
        <v>8982.61</v>
      </c>
      <c r="T20" s="140">
        <f t="shared" si="3"/>
        <v>1846.1000000000001</v>
      </c>
      <c r="U20" s="79">
        <v>1126.28</v>
      </c>
      <c r="V20" s="79">
        <v>1525.14</v>
      </c>
      <c r="W20" s="79">
        <v>3785.58</v>
      </c>
      <c r="X20" s="79">
        <v>2539.34</v>
      </c>
      <c r="Y20" s="79">
        <v>901.07</v>
      </c>
      <c r="Z20" s="79">
        <v>0</v>
      </c>
      <c r="AA20" s="152">
        <v>0</v>
      </c>
      <c r="AB20" s="159">
        <f t="shared" si="4"/>
        <v>9877.41</v>
      </c>
      <c r="AC20" s="141">
        <f t="shared" si="5"/>
        <v>12868.130000000003</v>
      </c>
      <c r="AD20" s="87">
        <f t="shared" si="6"/>
        <v>0</v>
      </c>
      <c r="AE20" s="87">
        <f t="shared" si="7"/>
        <v>0</v>
      </c>
      <c r="AF20" s="87">
        <f>'[1]Т07-09'!$I$66+'[1]Т07-09'!$I$72</f>
        <v>1690.23318</v>
      </c>
      <c r="AG20" s="13">
        <f t="shared" si="17"/>
        <v>830.52</v>
      </c>
      <c r="AH20" s="13">
        <f>B20*0.2*0.99426</f>
        <v>275.25093840000005</v>
      </c>
      <c r="AI20" s="13">
        <f>0.85*B20*0.9857</f>
        <v>1159.7450489999999</v>
      </c>
      <c r="AJ20" s="13">
        <f t="shared" si="8"/>
        <v>208.75410881999997</v>
      </c>
      <c r="AK20" s="13">
        <f>0.83*B20*0.9905</f>
        <v>1137.971583</v>
      </c>
      <c r="AL20" s="13">
        <f t="shared" si="9"/>
        <v>204.83488494</v>
      </c>
      <c r="AM20" s="13">
        <f>(1.91)*B20*0.9905</f>
        <v>2618.705691</v>
      </c>
      <c r="AN20" s="13">
        <f t="shared" si="10"/>
        <v>471.36702438</v>
      </c>
      <c r="AO20" s="13"/>
      <c r="AP20" s="13">
        <f t="shared" si="11"/>
        <v>0</v>
      </c>
      <c r="AQ20" s="142"/>
      <c r="AR20" s="142">
        <f t="shared" si="12"/>
        <v>0</v>
      </c>
      <c r="AS20" s="83"/>
      <c r="AT20" s="83"/>
      <c r="AU20" s="83">
        <f t="shared" si="14"/>
        <v>0</v>
      </c>
      <c r="AV20" s="143">
        <v>248</v>
      </c>
      <c r="AW20" s="144">
        <v>1</v>
      </c>
      <c r="AX20" s="13">
        <f>AV20*AW20*1.12*1.18</f>
        <v>327.75680000000006</v>
      </c>
      <c r="AY20" s="145"/>
      <c r="AZ20" s="146"/>
      <c r="BA20" s="146">
        <f t="shared" si="18"/>
        <v>0</v>
      </c>
      <c r="BB20" s="146">
        <f t="shared" si="15"/>
        <v>7234.90607954</v>
      </c>
      <c r="BC20" s="160">
        <f>'[1]Т07-09'!$O$66+'[1]Т07-09'!$O$72</f>
        <v>675.40668226</v>
      </c>
      <c r="BD20" s="25">
        <f t="shared" si="19"/>
        <v>6220.079581800001</v>
      </c>
      <c r="BE20" s="94">
        <f t="shared" si="20"/>
        <v>6648.050418200002</v>
      </c>
      <c r="BF20" s="95">
        <f aca="true" t="shared" si="21" ref="BF20:BF25">AB20-S20</f>
        <v>894.7999999999993</v>
      </c>
    </row>
    <row r="21" spans="1:58" ht="12.75">
      <c r="A21" s="11" t="s">
        <v>50</v>
      </c>
      <c r="B21" s="148">
        <v>1384.2</v>
      </c>
      <c r="C21" s="153">
        <f t="shared" si="1"/>
        <v>11973.330000000002</v>
      </c>
      <c r="D21" s="138">
        <f t="shared" si="16"/>
        <v>1144.6200000000026</v>
      </c>
      <c r="E21" s="79">
        <v>1036.87</v>
      </c>
      <c r="F21" s="79">
        <v>213.02</v>
      </c>
      <c r="G21" s="79">
        <v>1404.34</v>
      </c>
      <c r="H21" s="79">
        <v>288.74</v>
      </c>
      <c r="I21" s="79">
        <v>3374.4</v>
      </c>
      <c r="J21" s="79">
        <v>693.47</v>
      </c>
      <c r="K21" s="79">
        <v>2337.48</v>
      </c>
      <c r="L21" s="79">
        <v>480.47</v>
      </c>
      <c r="M21" s="85">
        <v>829.52</v>
      </c>
      <c r="N21" s="85">
        <v>170.4</v>
      </c>
      <c r="O21" s="79">
        <v>0</v>
      </c>
      <c r="P21" s="152">
        <v>0</v>
      </c>
      <c r="Q21" s="79">
        <v>0</v>
      </c>
      <c r="R21" s="79">
        <v>0</v>
      </c>
      <c r="S21" s="78">
        <f t="shared" si="2"/>
        <v>8982.61</v>
      </c>
      <c r="T21" s="140">
        <f t="shared" si="3"/>
        <v>1846.1000000000001</v>
      </c>
      <c r="U21" s="79">
        <v>1102.88</v>
      </c>
      <c r="V21" s="79">
        <v>1493.53</v>
      </c>
      <c r="W21" s="79">
        <v>3587.22</v>
      </c>
      <c r="X21" s="79">
        <v>2486</v>
      </c>
      <c r="Y21" s="79">
        <v>882.34</v>
      </c>
      <c r="Z21" s="79">
        <v>0</v>
      </c>
      <c r="AA21" s="152">
        <v>0</v>
      </c>
      <c r="AB21" s="159">
        <f>SUM(U21:AA21)</f>
        <v>9551.97</v>
      </c>
      <c r="AC21" s="141">
        <f t="shared" si="5"/>
        <v>12542.690000000002</v>
      </c>
      <c r="AD21" s="87">
        <f t="shared" si="6"/>
        <v>0</v>
      </c>
      <c r="AE21" s="87">
        <f t="shared" si="7"/>
        <v>0</v>
      </c>
      <c r="AF21" s="87">
        <f>'[1]Т08-09'!$I$67+'[1]Т08-09'!$I$73</f>
        <v>1690.23318</v>
      </c>
      <c r="AG21" s="13">
        <f t="shared" si="17"/>
        <v>830.52</v>
      </c>
      <c r="AH21" s="13">
        <f>B21*0.2*0.99875</f>
        <v>276.49395000000004</v>
      </c>
      <c r="AI21" s="13">
        <f>0.85*B21*0.98526</f>
        <v>1159.2273582</v>
      </c>
      <c r="AJ21" s="13">
        <f>AI21*0.18</f>
        <v>208.660924476</v>
      </c>
      <c r="AK21" s="13">
        <f>0.83*B21*0.99</f>
        <v>1137.39714</v>
      </c>
      <c r="AL21" s="13">
        <f>AK21*0.18</f>
        <v>204.7314852</v>
      </c>
      <c r="AM21" s="13">
        <f>(1.91)*B21*0.99</f>
        <v>2617.38378</v>
      </c>
      <c r="AN21" s="13">
        <f>AM21*0.18</f>
        <v>471.1290804</v>
      </c>
      <c r="AO21" s="13"/>
      <c r="AP21" s="13">
        <f>AO21*0.18</f>
        <v>0</v>
      </c>
      <c r="AQ21" s="142"/>
      <c r="AR21" s="142">
        <f>AQ21*0.18</f>
        <v>0</v>
      </c>
      <c r="AS21" s="83"/>
      <c r="AT21" s="83"/>
      <c r="AU21" s="83">
        <f>(AS21+AT21)*0.18</f>
        <v>0</v>
      </c>
      <c r="AV21" s="143">
        <v>293</v>
      </c>
      <c r="AW21" s="144">
        <v>1</v>
      </c>
      <c r="AX21" s="13">
        <f>AV21*AW21*1.12*1.18</f>
        <v>387.22880000000004</v>
      </c>
      <c r="AY21" s="145"/>
      <c r="AZ21" s="146"/>
      <c r="BA21" s="146">
        <f t="shared" si="18"/>
        <v>0</v>
      </c>
      <c r="BB21" s="146">
        <f t="shared" si="15"/>
        <v>7292.7725182760005</v>
      </c>
      <c r="BC21" s="160">
        <f>'[1]Т08-09'!$O$67+'[1]Т08-09'!$O$73</f>
        <v>675.099799778</v>
      </c>
      <c r="BD21" s="25">
        <f t="shared" si="19"/>
        <v>6277.639138054001</v>
      </c>
      <c r="BE21" s="94">
        <f t="shared" si="20"/>
        <v>6265.0508619460015</v>
      </c>
      <c r="BF21" s="95">
        <f t="shared" si="21"/>
        <v>569.3599999999988</v>
      </c>
    </row>
    <row r="22" spans="1:58" ht="13.5" thickBot="1">
      <c r="A22" s="121" t="s">
        <v>51</v>
      </c>
      <c r="B22" s="136">
        <v>1384.2</v>
      </c>
      <c r="C22" s="153">
        <f t="shared" si="1"/>
        <v>11973.330000000002</v>
      </c>
      <c r="D22" s="138">
        <f t="shared" si="16"/>
        <v>1144.630000000001</v>
      </c>
      <c r="E22" s="78">
        <v>1036.88</v>
      </c>
      <c r="F22" s="78">
        <v>213.01</v>
      </c>
      <c r="G22" s="78">
        <v>1404.32</v>
      </c>
      <c r="H22" s="78">
        <v>288.75</v>
      </c>
      <c r="I22" s="78">
        <v>3374.4</v>
      </c>
      <c r="J22" s="78">
        <v>693.47</v>
      </c>
      <c r="K22" s="78">
        <v>2337.47</v>
      </c>
      <c r="L22" s="78">
        <v>480.48</v>
      </c>
      <c r="M22" s="84">
        <v>829.53</v>
      </c>
      <c r="N22" s="84">
        <v>170.39</v>
      </c>
      <c r="O22" s="78">
        <v>0</v>
      </c>
      <c r="P22" s="139">
        <v>0</v>
      </c>
      <c r="Q22" s="78">
        <v>0</v>
      </c>
      <c r="R22" s="139">
        <v>0</v>
      </c>
      <c r="S22" s="78">
        <f t="shared" si="2"/>
        <v>8982.6</v>
      </c>
      <c r="T22" s="140">
        <f t="shared" si="3"/>
        <v>1846.1000000000001</v>
      </c>
      <c r="U22" s="78">
        <v>997.74</v>
      </c>
      <c r="V22" s="78">
        <v>1351.24</v>
      </c>
      <c r="W22" s="78">
        <v>3246.39</v>
      </c>
      <c r="X22" s="78">
        <v>2249.2</v>
      </c>
      <c r="Y22" s="78">
        <v>798.2</v>
      </c>
      <c r="Z22" s="78">
        <v>0</v>
      </c>
      <c r="AA22" s="139">
        <v>0</v>
      </c>
      <c r="AB22" s="159">
        <f>SUM(U22:AA22)</f>
        <v>8642.77</v>
      </c>
      <c r="AC22" s="141">
        <f t="shared" si="5"/>
        <v>11633.500000000002</v>
      </c>
      <c r="AD22" s="87">
        <f t="shared" si="6"/>
        <v>0</v>
      </c>
      <c r="AE22" s="87">
        <f t="shared" si="7"/>
        <v>0</v>
      </c>
      <c r="AF22" s="87">
        <f>'[1]Т09-09'!$I$67+'[1]Т09-09'!$I$73</f>
        <v>1690.23318</v>
      </c>
      <c r="AG22" s="13">
        <f t="shared" si="17"/>
        <v>830.52</v>
      </c>
      <c r="AH22" s="13">
        <f>B22*0.2*0.9997</f>
        <v>276.756948</v>
      </c>
      <c r="AI22" s="13">
        <f>0.85*B22*0.98509</f>
        <v>1159.0273413</v>
      </c>
      <c r="AJ22" s="13">
        <f>AI22*0.18</f>
        <v>208.624921434</v>
      </c>
      <c r="AK22" s="13">
        <f>0.83*B22*0.98981</f>
        <v>1137.17885166</v>
      </c>
      <c r="AL22" s="13">
        <f>AK22*0.18</f>
        <v>204.6921932988</v>
      </c>
      <c r="AM22" s="13">
        <f>(1.91)*B22*0.9898</f>
        <v>2616.8550156</v>
      </c>
      <c r="AN22" s="13">
        <f>AM22*0.18</f>
        <v>471.033902808</v>
      </c>
      <c r="AO22" s="13"/>
      <c r="AP22" s="13">
        <f>AO22*0.18</f>
        <v>0</v>
      </c>
      <c r="AQ22" s="142"/>
      <c r="AR22" s="142">
        <f>AQ22*0.18</f>
        <v>0</v>
      </c>
      <c r="AS22" s="83"/>
      <c r="AT22" s="83"/>
      <c r="AU22" s="83">
        <f>(AS22+AT22)*0.18</f>
        <v>0</v>
      </c>
      <c r="AV22" s="143">
        <v>349</v>
      </c>
      <c r="AW22" s="144">
        <v>1</v>
      </c>
      <c r="AX22" s="13">
        <f>AV22*AW22*1.12*1.18</f>
        <v>461.2384</v>
      </c>
      <c r="AY22" s="145"/>
      <c r="AZ22" s="146"/>
      <c r="BA22" s="146">
        <f t="shared" si="18"/>
        <v>0</v>
      </c>
      <c r="BB22" s="146">
        <f t="shared" si="15"/>
        <v>7365.9275741008005</v>
      </c>
      <c r="BC22" s="160">
        <f>'[1]Т09-09'!$O$67+'[1]Т09-09'!$O$73</f>
        <v>674.9976949561999</v>
      </c>
      <c r="BD22" s="125">
        <f t="shared" si="19"/>
        <v>6350.692089057</v>
      </c>
      <c r="BE22" s="123">
        <f t="shared" si="20"/>
        <v>5282.807910943002</v>
      </c>
      <c r="BF22" s="127">
        <f t="shared" si="21"/>
        <v>-339.8299999999999</v>
      </c>
    </row>
    <row r="23" spans="1:58" ht="12.75">
      <c r="A23" s="128" t="s">
        <v>39</v>
      </c>
      <c r="B23" s="136">
        <v>1384.2</v>
      </c>
      <c r="C23" s="137">
        <f t="shared" si="1"/>
        <v>11973.330000000002</v>
      </c>
      <c r="D23" s="138">
        <f t="shared" si="16"/>
        <v>1144.6200000000026</v>
      </c>
      <c r="E23" s="80">
        <v>1036.87</v>
      </c>
      <c r="F23" s="78">
        <v>213.02</v>
      </c>
      <c r="G23" s="78">
        <v>1404.34</v>
      </c>
      <c r="H23" s="78">
        <v>288.74</v>
      </c>
      <c r="I23" s="78">
        <v>3374.4</v>
      </c>
      <c r="J23" s="78">
        <v>693.47</v>
      </c>
      <c r="K23" s="78">
        <v>2337.48</v>
      </c>
      <c r="L23" s="78">
        <v>480.47</v>
      </c>
      <c r="M23" s="78">
        <v>829.52</v>
      </c>
      <c r="N23" s="78">
        <v>170.4</v>
      </c>
      <c r="O23" s="78">
        <v>0</v>
      </c>
      <c r="P23" s="139">
        <v>0</v>
      </c>
      <c r="Q23" s="78">
        <v>0</v>
      </c>
      <c r="R23" s="78">
        <v>0</v>
      </c>
      <c r="S23" s="78">
        <f t="shared" si="2"/>
        <v>8982.61</v>
      </c>
      <c r="T23" s="140">
        <f t="shared" si="3"/>
        <v>1846.1000000000001</v>
      </c>
      <c r="U23" s="81">
        <f>490.89+508.44</f>
        <v>999.3299999999999</v>
      </c>
      <c r="V23" s="78">
        <f>664.92+688.74</f>
        <v>1353.6599999999999</v>
      </c>
      <c r="W23" s="78">
        <f>1597.61+1654.25</f>
        <v>3251.8599999999997</v>
      </c>
      <c r="X23" s="78">
        <f>1106.62+1146.37</f>
        <v>2252.99</v>
      </c>
      <c r="Y23" s="78">
        <f>392.71+406.8</f>
        <v>799.51</v>
      </c>
      <c r="Z23" s="78">
        <v>0</v>
      </c>
      <c r="AA23" s="139">
        <v>0</v>
      </c>
      <c r="AB23" s="139">
        <f>SUM(U23:AA23)</f>
        <v>8657.349999999999</v>
      </c>
      <c r="AC23" s="141">
        <f>AB23+T23+D23</f>
        <v>11648.070000000002</v>
      </c>
      <c r="AD23" s="87">
        <f t="shared" si="6"/>
        <v>0</v>
      </c>
      <c r="AE23" s="87">
        <f t="shared" si="7"/>
        <v>0</v>
      </c>
      <c r="AF23" s="87">
        <f>'[4]Т10'!$I$71+'[4]Т10'!$I$79+'[4]Т10'!$I$113+'[4]Т10'!$I$117</f>
        <v>2401.98614</v>
      </c>
      <c r="AG23" s="13">
        <f t="shared" si="17"/>
        <v>830.52</v>
      </c>
      <c r="AH23" s="13">
        <f>B23*0.2</f>
        <v>276.84000000000003</v>
      </c>
      <c r="AI23" s="13">
        <f>0.847*B23</f>
        <v>1172.4174</v>
      </c>
      <c r="AJ23" s="13">
        <f>AI23*0.18</f>
        <v>211.035132</v>
      </c>
      <c r="AK23" s="13">
        <f>0.83*B23</f>
        <v>1148.886</v>
      </c>
      <c r="AL23" s="13">
        <f>AK23*0.18</f>
        <v>206.79948</v>
      </c>
      <c r="AM23" s="13">
        <f>(2.25/1.18)*B23</f>
        <v>2639.3644067796613</v>
      </c>
      <c r="AN23" s="13">
        <f>AM23*0.18</f>
        <v>475.08559322033904</v>
      </c>
      <c r="AO23" s="13"/>
      <c r="AP23" s="13">
        <f>AO23*0.18</f>
        <v>0</v>
      </c>
      <c r="AQ23" s="142"/>
      <c r="AR23" s="142">
        <f>AQ23*0.18</f>
        <v>0</v>
      </c>
      <c r="AS23" s="83">
        <v>630.4</v>
      </c>
      <c r="AT23" s="83"/>
      <c r="AU23" s="83">
        <f>(AS23+AT23)*0.18</f>
        <v>113.472</v>
      </c>
      <c r="AV23" s="143">
        <v>425</v>
      </c>
      <c r="AW23" s="144">
        <v>1</v>
      </c>
      <c r="AX23" s="13">
        <f>AV23*AW23*1.12*1.18</f>
        <v>561.6800000000001</v>
      </c>
      <c r="AY23" s="145"/>
      <c r="AZ23" s="164"/>
      <c r="BA23" s="146">
        <f t="shared" si="18"/>
        <v>0</v>
      </c>
      <c r="BB23" s="146">
        <f t="shared" si="15"/>
        <v>8266.500012</v>
      </c>
      <c r="BC23" s="160">
        <f>'[5]Т10'!$O$71+'[5]Т10'!$O$79+'[5]Т10'!$O$113+'[5]Т10'!$O$117</f>
        <v>989.8069780000001</v>
      </c>
      <c r="BD23" s="129">
        <f t="shared" si="19"/>
        <v>6854.32085</v>
      </c>
      <c r="BE23" s="94">
        <f>(AC23-BB23)+(AF23-BC23)</f>
        <v>4793.7491500000015</v>
      </c>
      <c r="BF23" s="94">
        <f t="shared" si="21"/>
        <v>-325.26000000000204</v>
      </c>
    </row>
    <row r="24" spans="1:58" ht="12.75">
      <c r="A24" s="11" t="s">
        <v>40</v>
      </c>
      <c r="B24" s="148">
        <v>1385.4</v>
      </c>
      <c r="C24" s="137">
        <f t="shared" si="1"/>
        <v>11983.710000000001</v>
      </c>
      <c r="D24" s="138">
        <f t="shared" si="16"/>
        <v>1145.620000000003</v>
      </c>
      <c r="E24" s="78">
        <v>1037.41</v>
      </c>
      <c r="F24" s="78">
        <v>213.56</v>
      </c>
      <c r="G24" s="78">
        <v>1405.08</v>
      </c>
      <c r="H24" s="78">
        <v>289.47</v>
      </c>
      <c r="I24" s="78">
        <v>3376.16</v>
      </c>
      <c r="J24" s="78">
        <v>695.23</v>
      </c>
      <c r="K24" s="78">
        <v>2338.71</v>
      </c>
      <c r="L24" s="78">
        <v>481.68</v>
      </c>
      <c r="M24" s="84">
        <v>829.96</v>
      </c>
      <c r="N24" s="84">
        <v>170.83</v>
      </c>
      <c r="O24" s="78">
        <v>0</v>
      </c>
      <c r="P24" s="139">
        <v>0</v>
      </c>
      <c r="Q24" s="139">
        <v>0</v>
      </c>
      <c r="R24" s="139">
        <v>0</v>
      </c>
      <c r="S24" s="78">
        <f t="shared" si="2"/>
        <v>8987.32</v>
      </c>
      <c r="T24" s="140">
        <f t="shared" si="3"/>
        <v>1850.77</v>
      </c>
      <c r="U24" s="78">
        <v>1235.63</v>
      </c>
      <c r="V24" s="78">
        <v>1673.06</v>
      </c>
      <c r="W24" s="78">
        <v>4020.6</v>
      </c>
      <c r="X24" s="78">
        <v>2785.15</v>
      </c>
      <c r="Y24" s="78">
        <v>988.51</v>
      </c>
      <c r="Z24" s="78">
        <v>0</v>
      </c>
      <c r="AA24" s="139">
        <v>0</v>
      </c>
      <c r="AB24" s="139">
        <f>SUM(U24:AA24)</f>
        <v>10702.95</v>
      </c>
      <c r="AC24" s="141">
        <f>D24+T24+AB24</f>
        <v>13699.340000000004</v>
      </c>
      <c r="AD24" s="87">
        <f t="shared" si="6"/>
        <v>0</v>
      </c>
      <c r="AE24" s="87">
        <f t="shared" si="7"/>
        <v>0</v>
      </c>
      <c r="AF24" s="87">
        <f>'[4]Т11'!$I$71+'[4]Т11'!$I$79+'[4]Т11'!$I$113+'[4]Т11'!$I$117</f>
        <v>2401.98614</v>
      </c>
      <c r="AG24" s="13">
        <f t="shared" si="17"/>
        <v>831.24</v>
      </c>
      <c r="AH24" s="13">
        <f>B24*0.2</f>
        <v>277.08000000000004</v>
      </c>
      <c r="AI24" s="13">
        <f>0.85*B24</f>
        <v>1177.5900000000001</v>
      </c>
      <c r="AJ24" s="13">
        <f>AI24*0.18</f>
        <v>211.96620000000001</v>
      </c>
      <c r="AK24" s="13">
        <f>0.83*B24</f>
        <v>1149.882</v>
      </c>
      <c r="AL24" s="13">
        <f>AK24*0.18</f>
        <v>206.97876</v>
      </c>
      <c r="AM24" s="13">
        <f>(1.91)*B24</f>
        <v>2646.114</v>
      </c>
      <c r="AN24" s="13">
        <f>AM24*0.18</f>
        <v>476.30052</v>
      </c>
      <c r="AO24" s="13"/>
      <c r="AP24" s="13">
        <f>AO24*0.18</f>
        <v>0</v>
      </c>
      <c r="AQ24" s="142"/>
      <c r="AR24" s="142">
        <f>AQ24*0.18</f>
        <v>0</v>
      </c>
      <c r="AS24" s="83">
        <v>0</v>
      </c>
      <c r="AT24" s="83"/>
      <c r="AU24" s="83">
        <f>(AS24+AT24)*0.18</f>
        <v>0</v>
      </c>
      <c r="AV24" s="143">
        <v>470</v>
      </c>
      <c r="AW24" s="144">
        <v>1</v>
      </c>
      <c r="AX24" s="13">
        <f>AV24*AW24*1.12*1.18</f>
        <v>621.152</v>
      </c>
      <c r="AY24" s="145"/>
      <c r="AZ24" s="146"/>
      <c r="BA24" s="146">
        <f t="shared" si="18"/>
        <v>0</v>
      </c>
      <c r="BB24" s="146">
        <f t="shared" si="15"/>
        <v>7598.30348</v>
      </c>
      <c r="BC24" s="147">
        <f>'[4]Т11'!$O$71+'[4]Т11'!$O$79+'[4]Т11'!$O$113+'[4]Т11'!$O$117</f>
        <v>991.2126599999999</v>
      </c>
      <c r="BD24" s="40">
        <f t="shared" si="19"/>
        <v>6187.53</v>
      </c>
      <c r="BE24" s="94">
        <f t="shared" si="20"/>
        <v>7511.810000000004</v>
      </c>
      <c r="BF24" s="94">
        <f t="shared" si="21"/>
        <v>1715.630000000001</v>
      </c>
    </row>
    <row r="25" spans="1:58" s="93" customFormat="1" ht="12.75">
      <c r="A25" s="100" t="s">
        <v>41</v>
      </c>
      <c r="B25" s="136">
        <v>1385.4</v>
      </c>
      <c r="C25" s="137">
        <f t="shared" si="1"/>
        <v>11983.710000000001</v>
      </c>
      <c r="D25" s="138">
        <f t="shared" si="16"/>
        <v>1175.9600000000023</v>
      </c>
      <c r="E25" s="78">
        <v>1033.91</v>
      </c>
      <c r="F25" s="78">
        <v>213.56</v>
      </c>
      <c r="G25" s="78">
        <v>1400.33</v>
      </c>
      <c r="H25" s="78">
        <v>289.48</v>
      </c>
      <c r="I25" s="78">
        <v>3364.77</v>
      </c>
      <c r="J25" s="78">
        <v>695.23</v>
      </c>
      <c r="K25" s="78">
        <v>2330.81</v>
      </c>
      <c r="L25" s="78">
        <v>481.68</v>
      </c>
      <c r="M25" s="84">
        <v>827.15</v>
      </c>
      <c r="N25" s="84">
        <v>170.83</v>
      </c>
      <c r="O25" s="78">
        <v>0</v>
      </c>
      <c r="P25" s="139">
        <v>0</v>
      </c>
      <c r="Q25" s="139"/>
      <c r="R25" s="139"/>
      <c r="S25" s="78">
        <f t="shared" si="2"/>
        <v>8956.97</v>
      </c>
      <c r="T25" s="140">
        <f t="shared" si="3"/>
        <v>1850.78</v>
      </c>
      <c r="U25" s="78">
        <v>1181.07</v>
      </c>
      <c r="V25" s="78">
        <v>1599.88</v>
      </c>
      <c r="W25" s="78">
        <v>3843.93</v>
      </c>
      <c r="X25" s="78">
        <v>2662.87</v>
      </c>
      <c r="Y25" s="78">
        <v>944.9</v>
      </c>
      <c r="Z25" s="78">
        <v>0</v>
      </c>
      <c r="AA25" s="139">
        <v>0</v>
      </c>
      <c r="AB25" s="139">
        <f>SUM(U25:AA25)</f>
        <v>10232.65</v>
      </c>
      <c r="AC25" s="141">
        <f>D25+T25+AB25</f>
        <v>13259.390000000003</v>
      </c>
      <c r="AD25" s="87">
        <f t="shared" si="6"/>
        <v>0</v>
      </c>
      <c r="AE25" s="87">
        <f t="shared" si="7"/>
        <v>0</v>
      </c>
      <c r="AF25" s="87">
        <f>'[4]Т12'!$I$72+'[4]Т12'!$I$80+'[4]Т12'!$I$115+'[4]Т12'!$I$119</f>
        <v>2401.98614</v>
      </c>
      <c r="AG25" s="13">
        <f t="shared" si="17"/>
        <v>831.24</v>
      </c>
      <c r="AH25" s="13">
        <f>B25*0.2</f>
        <v>277.08000000000004</v>
      </c>
      <c r="AI25" s="13">
        <f>0.85*B25</f>
        <v>1177.5900000000001</v>
      </c>
      <c r="AJ25" s="13">
        <f>AI25*0.18</f>
        <v>211.96620000000001</v>
      </c>
      <c r="AK25" s="13">
        <f>0.83*B25</f>
        <v>1149.882</v>
      </c>
      <c r="AL25" s="13">
        <f>AK25*0.18</f>
        <v>206.97876</v>
      </c>
      <c r="AM25" s="13">
        <f>(1.91)*B25</f>
        <v>2646.114</v>
      </c>
      <c r="AN25" s="13">
        <f>AM25*0.18</f>
        <v>476.30052</v>
      </c>
      <c r="AO25" s="13"/>
      <c r="AP25" s="13">
        <f>AO25*0.18</f>
        <v>0</v>
      </c>
      <c r="AQ25" s="142"/>
      <c r="AR25" s="142">
        <f>AQ25*0.18</f>
        <v>0</v>
      </c>
      <c r="AS25" s="83">
        <v>0</v>
      </c>
      <c r="AT25" s="83"/>
      <c r="AU25" s="83">
        <f>(AS25+AT25)*0.18</f>
        <v>0</v>
      </c>
      <c r="AV25" s="143">
        <v>514</v>
      </c>
      <c r="AW25" s="144">
        <v>1</v>
      </c>
      <c r="AX25" s="13">
        <f>AV25*AW25*1.12*1.18</f>
        <v>679.3024</v>
      </c>
      <c r="AY25" s="145"/>
      <c r="AZ25" s="146"/>
      <c r="BA25" s="146">
        <f t="shared" si="18"/>
        <v>0</v>
      </c>
      <c r="BB25" s="146">
        <f t="shared" si="15"/>
        <v>7656.453879999999</v>
      </c>
      <c r="BC25" s="147">
        <f>'[4]Т12'!$O$72+'[4]Т12'!$O$80+'[4]Т12'!$O$115+'[4]Т12'!$O$119</f>
        <v>991.2126599999999</v>
      </c>
      <c r="BD25" s="46">
        <f t="shared" si="19"/>
        <v>6245.680399999999</v>
      </c>
      <c r="BE25" s="94">
        <f t="shared" si="20"/>
        <v>7013.709600000004</v>
      </c>
      <c r="BF25" s="94">
        <f t="shared" si="21"/>
        <v>1275.6800000000003</v>
      </c>
    </row>
    <row r="26" spans="1:58" s="16" customFormat="1" ht="12.75">
      <c r="A26" s="14" t="s">
        <v>3</v>
      </c>
      <c r="B26" s="48"/>
      <c r="C26" s="48">
        <f>SUM(C14:C25)</f>
        <v>143700.72</v>
      </c>
      <c r="D26" s="48">
        <f aca="true" t="shared" si="22" ref="D26:BF26">SUM(D14:D25)</f>
        <v>15225.455000000018</v>
      </c>
      <c r="E26" s="48">
        <f t="shared" si="22"/>
        <v>11923.719999999998</v>
      </c>
      <c r="F26" s="48">
        <f t="shared" si="22"/>
        <v>2547.61</v>
      </c>
      <c r="G26" s="48">
        <f t="shared" si="22"/>
        <v>16133.49</v>
      </c>
      <c r="H26" s="48">
        <f t="shared" si="22"/>
        <v>3448.82</v>
      </c>
      <c r="I26" s="48">
        <f t="shared" si="22"/>
        <v>38800.090000000004</v>
      </c>
      <c r="J26" s="48">
        <f t="shared" si="22"/>
        <v>8289.24</v>
      </c>
      <c r="K26" s="48">
        <f t="shared" si="22"/>
        <v>26864.350000000002</v>
      </c>
      <c r="L26" s="48">
        <f t="shared" si="22"/>
        <v>5741.690000000001</v>
      </c>
      <c r="M26" s="48">
        <f t="shared" si="22"/>
        <v>9539.28</v>
      </c>
      <c r="N26" s="48">
        <f t="shared" si="22"/>
        <v>2037.9300000000003</v>
      </c>
      <c r="O26" s="48">
        <f t="shared" si="22"/>
        <v>0</v>
      </c>
      <c r="P26" s="48">
        <f t="shared" si="22"/>
        <v>0</v>
      </c>
      <c r="Q26" s="48">
        <f t="shared" si="22"/>
        <v>0</v>
      </c>
      <c r="R26" s="48">
        <f t="shared" si="22"/>
        <v>0</v>
      </c>
      <c r="S26" s="48">
        <f t="shared" si="22"/>
        <v>103260.93</v>
      </c>
      <c r="T26" s="48">
        <f t="shared" si="22"/>
        <v>22065.289999999997</v>
      </c>
      <c r="U26" s="48">
        <f t="shared" si="22"/>
        <v>11811.899999999998</v>
      </c>
      <c r="V26" s="48">
        <f t="shared" si="22"/>
        <v>15977.939999999999</v>
      </c>
      <c r="W26" s="48">
        <f t="shared" si="22"/>
        <v>37708.6</v>
      </c>
      <c r="X26" s="48">
        <f t="shared" si="22"/>
        <v>26608.750000000004</v>
      </c>
      <c r="Y26" s="48">
        <f t="shared" si="22"/>
        <v>9449.779999999999</v>
      </c>
      <c r="Z26" s="48">
        <f t="shared" si="22"/>
        <v>0</v>
      </c>
      <c r="AA26" s="48">
        <f t="shared" si="22"/>
        <v>0</v>
      </c>
      <c r="AB26" s="48">
        <f t="shared" si="22"/>
        <v>101556.96999999999</v>
      </c>
      <c r="AC26" s="48">
        <f t="shared" si="22"/>
        <v>138847.71500000003</v>
      </c>
      <c r="AD26" s="48">
        <f t="shared" si="22"/>
        <v>0</v>
      </c>
      <c r="AE26" s="48">
        <f t="shared" si="22"/>
        <v>0</v>
      </c>
      <c r="AF26" s="48">
        <f t="shared" si="22"/>
        <v>12276.65796</v>
      </c>
      <c r="AG26" s="48">
        <f t="shared" si="22"/>
        <v>9635.472000000002</v>
      </c>
      <c r="AH26" s="48">
        <f t="shared" si="22"/>
        <v>3225.9594504000006</v>
      </c>
      <c r="AI26" s="48">
        <f t="shared" si="22"/>
        <v>13470.7116415</v>
      </c>
      <c r="AJ26" s="48">
        <f t="shared" si="22"/>
        <v>2424.72809547</v>
      </c>
      <c r="AK26" s="48">
        <f t="shared" si="22"/>
        <v>13093.559458859998</v>
      </c>
      <c r="AL26" s="48">
        <f t="shared" si="22"/>
        <v>2356.8407025948</v>
      </c>
      <c r="AM26" s="48">
        <f t="shared" si="22"/>
        <v>30127.006861179667</v>
      </c>
      <c r="AN26" s="48">
        <f t="shared" si="22"/>
        <v>5422.8612350123385</v>
      </c>
      <c r="AO26" s="48">
        <f t="shared" si="22"/>
        <v>0</v>
      </c>
      <c r="AP26" s="48">
        <f t="shared" si="22"/>
        <v>0</v>
      </c>
      <c r="AQ26" s="130">
        <f t="shared" si="22"/>
        <v>0</v>
      </c>
      <c r="AR26" s="130">
        <f t="shared" si="22"/>
        <v>0</v>
      </c>
      <c r="AS26" s="47">
        <f t="shared" si="22"/>
        <v>21405.22</v>
      </c>
      <c r="AT26" s="47">
        <f t="shared" si="22"/>
        <v>0</v>
      </c>
      <c r="AU26" s="47">
        <f t="shared" si="22"/>
        <v>3852.9496</v>
      </c>
      <c r="AV26" s="48">
        <f t="shared" si="22"/>
        <v>4400</v>
      </c>
      <c r="AW26" s="48">
        <f t="shared" si="22"/>
        <v>12</v>
      </c>
      <c r="AX26" s="48">
        <f t="shared" si="22"/>
        <v>5815.042000000001</v>
      </c>
      <c r="AY26" s="48">
        <f t="shared" si="22"/>
        <v>0</v>
      </c>
      <c r="AZ26" s="48">
        <f t="shared" si="22"/>
        <v>0</v>
      </c>
      <c r="BA26" s="48">
        <f t="shared" si="22"/>
        <v>0</v>
      </c>
      <c r="BB26" s="48">
        <f t="shared" si="22"/>
        <v>110830.35104501681</v>
      </c>
      <c r="BC26" s="48">
        <f t="shared" si="22"/>
        <v>4997.7364749942</v>
      </c>
      <c r="BD26" s="48">
        <f t="shared" si="22"/>
        <v>103551.429560011</v>
      </c>
      <c r="BE26" s="48">
        <f t="shared" si="22"/>
        <v>35296.28543998902</v>
      </c>
      <c r="BF26" s="131">
        <f t="shared" si="22"/>
        <v>-1703.9600000000037</v>
      </c>
    </row>
    <row r="27" spans="1:58" s="16" customFormat="1" ht="12.75">
      <c r="A27" s="14"/>
      <c r="B27" s="48"/>
      <c r="C27" s="48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9"/>
      <c r="V27" s="49"/>
      <c r="W27" s="49"/>
      <c r="X27" s="49"/>
      <c r="Y27" s="49"/>
      <c r="Z27" s="49"/>
      <c r="AA27" s="49"/>
      <c r="AB27" s="49"/>
      <c r="AC27" s="49"/>
      <c r="AD27" s="86"/>
      <c r="AE27" s="86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82"/>
      <c r="AQ27" s="132"/>
      <c r="AR27" s="132"/>
      <c r="AS27" s="82"/>
      <c r="AT27" s="82"/>
      <c r="AU27" s="82"/>
      <c r="AV27" s="15"/>
      <c r="AW27" s="15"/>
      <c r="AX27" s="133"/>
      <c r="AY27" s="59"/>
      <c r="AZ27" s="59"/>
      <c r="BA27" s="59"/>
      <c r="BB27" s="59"/>
      <c r="BC27" s="59"/>
      <c r="BD27" s="59"/>
      <c r="BE27" s="59"/>
      <c r="BF27" s="134"/>
    </row>
    <row r="28" spans="1:58" s="16" customFormat="1" ht="13.5" thickBot="1">
      <c r="A28" s="18" t="s">
        <v>52</v>
      </c>
      <c r="B28" s="19"/>
      <c r="C28" s="19">
        <f>C12+C26</f>
        <v>179620.71000000002</v>
      </c>
      <c r="D28" s="19">
        <f aca="true" t="shared" si="23" ref="D28:BF28">D12+D26</f>
        <v>23871.51632630002</v>
      </c>
      <c r="E28" s="19">
        <f t="shared" si="23"/>
        <v>14758.479999999998</v>
      </c>
      <c r="F28" s="19">
        <f t="shared" si="23"/>
        <v>3154.8100000000004</v>
      </c>
      <c r="G28" s="19">
        <f t="shared" si="23"/>
        <v>19960.36</v>
      </c>
      <c r="H28" s="19">
        <f t="shared" si="23"/>
        <v>4268.59</v>
      </c>
      <c r="I28" s="19">
        <f t="shared" si="23"/>
        <v>48012.83</v>
      </c>
      <c r="J28" s="19">
        <f t="shared" si="23"/>
        <v>10262.71</v>
      </c>
      <c r="K28" s="19">
        <f t="shared" si="23"/>
        <v>33242.36</v>
      </c>
      <c r="L28" s="19">
        <f t="shared" si="23"/>
        <v>7107.9000000000015</v>
      </c>
      <c r="M28" s="19">
        <f t="shared" si="23"/>
        <v>11807.17</v>
      </c>
      <c r="N28" s="19">
        <f t="shared" si="23"/>
        <v>2523.67</v>
      </c>
      <c r="O28" s="19">
        <f t="shared" si="23"/>
        <v>0</v>
      </c>
      <c r="P28" s="19">
        <f t="shared" si="23"/>
        <v>0</v>
      </c>
      <c r="Q28" s="19">
        <f t="shared" si="23"/>
        <v>0</v>
      </c>
      <c r="R28" s="19">
        <f t="shared" si="23"/>
        <v>0</v>
      </c>
      <c r="S28" s="19">
        <f t="shared" si="23"/>
        <v>127781.2</v>
      </c>
      <c r="T28" s="19">
        <f t="shared" si="23"/>
        <v>27317.679999999997</v>
      </c>
      <c r="U28" s="19">
        <f t="shared" si="23"/>
        <v>13469.029999999999</v>
      </c>
      <c r="V28" s="19">
        <f t="shared" si="23"/>
        <v>18215.019999999997</v>
      </c>
      <c r="W28" s="19">
        <f t="shared" si="23"/>
        <v>43817.59</v>
      </c>
      <c r="X28" s="19">
        <f t="shared" si="23"/>
        <v>30337.200000000004</v>
      </c>
      <c r="Y28" s="19">
        <f t="shared" si="23"/>
        <v>10775.55</v>
      </c>
      <c r="Z28" s="19">
        <f t="shared" si="23"/>
        <v>0</v>
      </c>
      <c r="AA28" s="19">
        <f t="shared" si="23"/>
        <v>0</v>
      </c>
      <c r="AB28" s="19">
        <f t="shared" si="23"/>
        <v>116614.38999999998</v>
      </c>
      <c r="AC28" s="19">
        <f t="shared" si="23"/>
        <v>167803.58632630002</v>
      </c>
      <c r="AD28" s="19">
        <f t="shared" si="23"/>
        <v>0</v>
      </c>
      <c r="AE28" s="19">
        <f t="shared" si="23"/>
        <v>0</v>
      </c>
      <c r="AF28" s="19">
        <f t="shared" si="23"/>
        <v>12276.65796</v>
      </c>
      <c r="AG28" s="19">
        <f t="shared" si="23"/>
        <v>12127.032000000001</v>
      </c>
      <c r="AH28" s="19">
        <f t="shared" si="23"/>
        <v>4080.9797904000006</v>
      </c>
      <c r="AI28" s="19">
        <f t="shared" si="23"/>
        <v>17004.4635055</v>
      </c>
      <c r="AJ28" s="19">
        <f>AJ12+AJ26</f>
        <v>3060.80343099</v>
      </c>
      <c r="AK28" s="19">
        <f t="shared" si="23"/>
        <v>17205.7286379</v>
      </c>
      <c r="AL28" s="19">
        <f t="shared" si="23"/>
        <v>3097.0311548219997</v>
      </c>
      <c r="AM28" s="19">
        <f t="shared" si="23"/>
        <v>37679.16371883967</v>
      </c>
      <c r="AN28" s="19">
        <f t="shared" si="23"/>
        <v>6782.2494693911385</v>
      </c>
      <c r="AO28" s="19">
        <f t="shared" si="23"/>
        <v>0</v>
      </c>
      <c r="AP28" s="19">
        <f t="shared" si="23"/>
        <v>0</v>
      </c>
      <c r="AQ28" s="135">
        <f t="shared" si="23"/>
        <v>0</v>
      </c>
      <c r="AR28" s="135">
        <f t="shared" si="23"/>
        <v>0</v>
      </c>
      <c r="AS28" s="44">
        <f t="shared" si="23"/>
        <v>43808.14</v>
      </c>
      <c r="AT28" s="44">
        <f t="shared" si="23"/>
        <v>0</v>
      </c>
      <c r="AU28" s="44">
        <f t="shared" si="23"/>
        <v>7885.4752</v>
      </c>
      <c r="AV28" s="19"/>
      <c r="AW28" s="19"/>
      <c r="AX28" s="19">
        <f t="shared" si="23"/>
        <v>5815.042000000001</v>
      </c>
      <c r="AY28" s="19">
        <f t="shared" si="23"/>
        <v>0</v>
      </c>
      <c r="AZ28" s="19">
        <f t="shared" si="23"/>
        <v>0</v>
      </c>
      <c r="BA28" s="19">
        <f t="shared" si="23"/>
        <v>0</v>
      </c>
      <c r="BB28" s="19">
        <f t="shared" si="23"/>
        <v>158546.10890784283</v>
      </c>
      <c r="BC28" s="19">
        <f t="shared" si="23"/>
        <v>4997.7364749942</v>
      </c>
      <c r="BD28" s="19">
        <f t="shared" si="23"/>
        <v>151267.187422837</v>
      </c>
      <c r="BE28" s="19">
        <f t="shared" si="23"/>
        <v>16536.39890346302</v>
      </c>
      <c r="BF28" s="19">
        <f t="shared" si="23"/>
        <v>-11166.810000000001</v>
      </c>
    </row>
    <row r="29" spans="1:58" ht="15" customHeight="1">
      <c r="A29" s="7" t="s">
        <v>91</v>
      </c>
      <c r="B29" s="105"/>
      <c r="C29" s="106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9"/>
      <c r="Q29" s="110"/>
      <c r="R29" s="110"/>
      <c r="S29" s="110"/>
      <c r="T29" s="110"/>
      <c r="U29" s="111"/>
      <c r="V29" s="111"/>
      <c r="W29" s="111"/>
      <c r="X29" s="111"/>
      <c r="Y29" s="111"/>
      <c r="Z29" s="111"/>
      <c r="AA29" s="112"/>
      <c r="AB29" s="112"/>
      <c r="AC29" s="113"/>
      <c r="AD29" s="114"/>
      <c r="AE29" s="114"/>
      <c r="AF29" s="38"/>
      <c r="AG29" s="38"/>
      <c r="AH29" s="38"/>
      <c r="AI29" s="38"/>
      <c r="AJ29" s="38"/>
      <c r="AK29" s="38"/>
      <c r="AL29" s="38"/>
      <c r="AM29" s="38"/>
      <c r="AN29" s="115"/>
      <c r="AO29" s="115"/>
      <c r="AP29" s="115"/>
      <c r="AQ29" s="116"/>
      <c r="AR29" s="117"/>
      <c r="AS29" s="118"/>
      <c r="AT29" s="118"/>
      <c r="AU29" s="119"/>
      <c r="AV29" s="38"/>
      <c r="AW29" s="38"/>
      <c r="AX29" s="40"/>
      <c r="AY29" s="1"/>
      <c r="AZ29" s="1"/>
      <c r="BA29" s="1"/>
      <c r="BB29" s="1"/>
      <c r="BC29" s="1"/>
      <c r="BD29" s="1"/>
      <c r="BE29" s="1"/>
      <c r="BF29" s="98"/>
    </row>
    <row r="30" spans="1:58" ht="12.75">
      <c r="A30" s="11" t="s">
        <v>43</v>
      </c>
      <c r="B30" s="136">
        <v>1385.4</v>
      </c>
      <c r="C30" s="137">
        <f aca="true" t="shared" si="24" ref="C30:C41">B30*8.65</f>
        <v>11983.710000000001</v>
      </c>
      <c r="D30" s="165">
        <f>C30-E30-F30-G30-H30-I30-J30-K30-L30-M30-N30</f>
        <v>1145.620000000003</v>
      </c>
      <c r="E30" s="78">
        <v>1037.41</v>
      </c>
      <c r="F30" s="78">
        <v>213.56</v>
      </c>
      <c r="G30" s="78">
        <v>1405.08</v>
      </c>
      <c r="H30" s="78">
        <v>289.47</v>
      </c>
      <c r="I30" s="78">
        <v>3376.16</v>
      </c>
      <c r="J30" s="78">
        <v>695.23</v>
      </c>
      <c r="K30" s="78">
        <v>2338.71</v>
      </c>
      <c r="L30" s="78">
        <v>481.68</v>
      </c>
      <c r="M30" s="84">
        <v>829.96</v>
      </c>
      <c r="N30" s="84">
        <v>170.83</v>
      </c>
      <c r="O30" s="78">
        <v>0</v>
      </c>
      <c r="P30" s="139">
        <v>0</v>
      </c>
      <c r="Q30" s="139"/>
      <c r="R30" s="139"/>
      <c r="S30" s="78">
        <f aca="true" t="shared" si="25" ref="S30:S41">E30+G30+I30+K30+M30+O30+Q30</f>
        <v>8987.32</v>
      </c>
      <c r="T30" s="140">
        <f aca="true" t="shared" si="26" ref="T30:T41">P30+N30+L30+J30+H30+F30+R30</f>
        <v>1850.77</v>
      </c>
      <c r="U30" s="78">
        <v>609.61</v>
      </c>
      <c r="V30" s="78">
        <v>825.62</v>
      </c>
      <c r="W30" s="78">
        <v>1983.82</v>
      </c>
      <c r="X30" s="78">
        <v>1374.17</v>
      </c>
      <c r="Y30" s="78">
        <v>487.7</v>
      </c>
      <c r="Z30" s="78">
        <v>0</v>
      </c>
      <c r="AA30" s="139">
        <v>0</v>
      </c>
      <c r="AB30" s="139">
        <f>SUM(U30:AA30)</f>
        <v>5280.92</v>
      </c>
      <c r="AC30" s="141">
        <f aca="true" t="shared" si="27" ref="AC30:AC41">D30+T30+AB30</f>
        <v>8277.310000000003</v>
      </c>
      <c r="AD30" s="87">
        <f aca="true" t="shared" si="28" ref="AD30:AD41">P30+Z30</f>
        <v>0</v>
      </c>
      <c r="AE30" s="87">
        <f aca="true" t="shared" si="29" ref="AE30:AE41">R30+AA30</f>
        <v>0</v>
      </c>
      <c r="AF30" s="87">
        <f>'[6]Т01-10'!$I$69+'[6]Т01-10'!$I$77+'[6]Т01-10'!$I$112+'[6]Т01-10'!$I$116</f>
        <v>2401.98614</v>
      </c>
      <c r="AG30" s="13">
        <f aca="true" t="shared" si="30" ref="AG30:AG41">0.6*B30</f>
        <v>831.24</v>
      </c>
      <c r="AH30" s="13">
        <f aca="true" t="shared" si="31" ref="AH30:AH41">B30*0.2</f>
        <v>277.08000000000004</v>
      </c>
      <c r="AI30" s="13">
        <f aca="true" t="shared" si="32" ref="AI30:AI41">1*B30</f>
        <v>1385.4</v>
      </c>
      <c r="AJ30" s="13">
        <v>0</v>
      </c>
      <c r="AK30" s="13">
        <f aca="true" t="shared" si="33" ref="AK30:AK41">0.98*B30</f>
        <v>1357.692</v>
      </c>
      <c r="AL30" s="13">
        <v>0</v>
      </c>
      <c r="AM30" s="13">
        <f aca="true" t="shared" si="34" ref="AM30:AM41">2.25*B30</f>
        <v>3117.15</v>
      </c>
      <c r="AN30" s="13">
        <v>0</v>
      </c>
      <c r="AO30" s="13"/>
      <c r="AP30" s="13">
        <v>0</v>
      </c>
      <c r="AQ30" s="142"/>
      <c r="AR30" s="142"/>
      <c r="AS30" s="83">
        <v>0</v>
      </c>
      <c r="AT30" s="83"/>
      <c r="AU30" s="83">
        <f aca="true" t="shared" si="35" ref="AU30:AU41">AT30*0.18</f>
        <v>0</v>
      </c>
      <c r="AV30" s="143">
        <v>508</v>
      </c>
      <c r="AW30" s="144">
        <v>1</v>
      </c>
      <c r="AX30" s="13">
        <f aca="true" t="shared" si="36" ref="AX30:AX41">AV30*AW30*1.4</f>
        <v>711.1999999999999</v>
      </c>
      <c r="AY30" s="145"/>
      <c r="AZ30" s="164"/>
      <c r="BA30" s="146">
        <f aca="true" t="shared" si="37" ref="BA30:BA41">AZ30*0.18</f>
        <v>0</v>
      </c>
      <c r="BB30" s="146">
        <f aca="true" t="shared" si="38" ref="BB30:BB41">SUM(AG30:BA30)-AV30-AW30</f>
        <v>7679.762</v>
      </c>
      <c r="BC30" s="147">
        <f>'[6]Т03-10'!$M$70+'[6]Т03-10'!$M$78+'[6]Т03-10'!$M$113+'[6]Т03-10'!$M$117</f>
        <v>990.039</v>
      </c>
      <c r="BD30" s="120"/>
      <c r="BE30" s="94">
        <f>(AC30-BB30)+(AF30-BC30)</f>
        <v>2009.4951400000034</v>
      </c>
      <c r="BF30" s="94">
        <f>AB30-S30</f>
        <v>-3706.3999999999996</v>
      </c>
    </row>
    <row r="31" spans="1:58" ht="12.75">
      <c r="A31" s="11" t="s">
        <v>44</v>
      </c>
      <c r="B31" s="148">
        <v>1385.4</v>
      </c>
      <c r="C31" s="137">
        <f t="shared" si="24"/>
        <v>11983.710000000001</v>
      </c>
      <c r="D31" s="138">
        <f aca="true" t="shared" si="39" ref="D31:D41">C31-E31-F31-G31-H31-I31-J31-K31-L31-M31-N31</f>
        <v>1145.620000000003</v>
      </c>
      <c r="E31" s="80">
        <v>1037.41</v>
      </c>
      <c r="F31" s="78">
        <v>213.56</v>
      </c>
      <c r="G31" s="78">
        <v>1405.08</v>
      </c>
      <c r="H31" s="78">
        <v>289.47</v>
      </c>
      <c r="I31" s="78">
        <v>3376.16</v>
      </c>
      <c r="J31" s="78">
        <v>695.23</v>
      </c>
      <c r="K31" s="78">
        <v>2338.71</v>
      </c>
      <c r="L31" s="78">
        <v>481.68</v>
      </c>
      <c r="M31" s="84">
        <v>829.96</v>
      </c>
      <c r="N31" s="84">
        <v>170.83</v>
      </c>
      <c r="O31" s="78">
        <v>0</v>
      </c>
      <c r="P31" s="139">
        <v>0</v>
      </c>
      <c r="Q31" s="139">
        <v>0</v>
      </c>
      <c r="R31" s="139">
        <v>0</v>
      </c>
      <c r="S31" s="78">
        <f t="shared" si="25"/>
        <v>8987.32</v>
      </c>
      <c r="T31" s="140">
        <f t="shared" si="26"/>
        <v>1850.77</v>
      </c>
      <c r="U31" s="78">
        <v>1053.85</v>
      </c>
      <c r="V31" s="78">
        <v>1427.18</v>
      </c>
      <c r="W31" s="78">
        <v>3429.45</v>
      </c>
      <c r="X31" s="78">
        <v>2375.62</v>
      </c>
      <c r="Y31" s="78">
        <v>843.09</v>
      </c>
      <c r="Z31" s="78">
        <v>0</v>
      </c>
      <c r="AA31" s="139">
        <v>0</v>
      </c>
      <c r="AB31" s="139">
        <f>SUM(U31:AA31)</f>
        <v>9129.189999999999</v>
      </c>
      <c r="AC31" s="141">
        <f t="shared" si="27"/>
        <v>12125.580000000002</v>
      </c>
      <c r="AD31" s="87">
        <f t="shared" si="28"/>
        <v>0</v>
      </c>
      <c r="AE31" s="87">
        <f t="shared" si="29"/>
        <v>0</v>
      </c>
      <c r="AF31" s="87">
        <f>'[6]Т01-10'!$I$69+'[6]Т01-10'!$I$77+'[6]Т01-10'!$I$112+'[6]Т01-10'!$I$116</f>
        <v>2401.98614</v>
      </c>
      <c r="AG31" s="13">
        <f t="shared" si="30"/>
        <v>831.24</v>
      </c>
      <c r="AH31" s="13">
        <f t="shared" si="31"/>
        <v>277.08000000000004</v>
      </c>
      <c r="AI31" s="13">
        <f t="shared" si="32"/>
        <v>1385.4</v>
      </c>
      <c r="AJ31" s="13">
        <v>0</v>
      </c>
      <c r="AK31" s="13">
        <f t="shared" si="33"/>
        <v>1357.692</v>
      </c>
      <c r="AL31" s="13">
        <v>0</v>
      </c>
      <c r="AM31" s="13">
        <f t="shared" si="34"/>
        <v>3117.15</v>
      </c>
      <c r="AN31" s="13">
        <v>0</v>
      </c>
      <c r="AO31" s="13">
        <f>389.6*5.4</f>
        <v>2103.84</v>
      </c>
      <c r="AP31" s="13"/>
      <c r="AQ31" s="142"/>
      <c r="AR31" s="142"/>
      <c r="AS31" s="83"/>
      <c r="AT31" s="83"/>
      <c r="AU31" s="83">
        <f t="shared" si="35"/>
        <v>0</v>
      </c>
      <c r="AV31" s="143">
        <v>407</v>
      </c>
      <c r="AW31" s="144">
        <v>1</v>
      </c>
      <c r="AX31" s="13">
        <f t="shared" si="36"/>
        <v>569.8</v>
      </c>
      <c r="AY31" s="145"/>
      <c r="AZ31" s="146"/>
      <c r="BA31" s="146">
        <f t="shared" si="37"/>
        <v>0</v>
      </c>
      <c r="BB31" s="146">
        <f t="shared" si="38"/>
        <v>9642.202</v>
      </c>
      <c r="BC31" s="147">
        <f>'[6]Т03-10'!$M$70+'[6]Т03-10'!$M$78+'[6]Т03-10'!$M$113+'[6]Т03-10'!$M$117</f>
        <v>990.039</v>
      </c>
      <c r="BD31" s="120"/>
      <c r="BE31" s="94">
        <f aca="true" t="shared" si="40" ref="BE31:BE41">(AC31-BB31)+(AF31-BC31)</f>
        <v>3895.3251400000026</v>
      </c>
      <c r="BF31" s="94">
        <f aca="true" t="shared" si="41" ref="BF31:BF41">AB31-S31</f>
        <v>141.86999999999898</v>
      </c>
    </row>
    <row r="32" spans="1:58" ht="13.5" thickBot="1">
      <c r="A32" s="121" t="s">
        <v>45</v>
      </c>
      <c r="B32" s="136">
        <v>1385.4</v>
      </c>
      <c r="C32" s="137">
        <f t="shared" si="24"/>
        <v>11983.710000000001</v>
      </c>
      <c r="D32" s="138">
        <f t="shared" si="39"/>
        <v>1145.6300000000033</v>
      </c>
      <c r="E32" s="78">
        <v>1037.41</v>
      </c>
      <c r="F32" s="78">
        <v>213.56</v>
      </c>
      <c r="G32" s="78">
        <v>1405.07</v>
      </c>
      <c r="H32" s="78">
        <v>289.48</v>
      </c>
      <c r="I32" s="78">
        <v>3376.16</v>
      </c>
      <c r="J32" s="78">
        <v>695.23</v>
      </c>
      <c r="K32" s="78">
        <v>2338.7</v>
      </c>
      <c r="L32" s="78">
        <v>481.68</v>
      </c>
      <c r="M32" s="84">
        <v>829.96</v>
      </c>
      <c r="N32" s="84">
        <v>170.83</v>
      </c>
      <c r="O32" s="78">
        <v>0</v>
      </c>
      <c r="P32" s="139">
        <v>0</v>
      </c>
      <c r="Q32" s="139">
        <v>0</v>
      </c>
      <c r="R32" s="139">
        <v>0</v>
      </c>
      <c r="S32" s="78">
        <f t="shared" si="25"/>
        <v>8987.3</v>
      </c>
      <c r="T32" s="140">
        <f t="shared" si="26"/>
        <v>1850.78</v>
      </c>
      <c r="U32" s="78">
        <v>1205.46</v>
      </c>
      <c r="V32" s="78">
        <v>1632.86</v>
      </c>
      <c r="W32" s="78">
        <v>3923.29</v>
      </c>
      <c r="X32" s="78">
        <v>2717.82</v>
      </c>
      <c r="Y32" s="78">
        <v>964.4</v>
      </c>
      <c r="Z32" s="78">
        <v>0</v>
      </c>
      <c r="AA32" s="139">
        <v>0</v>
      </c>
      <c r="AB32" s="139">
        <f>SUM(U32:AA32)</f>
        <v>10443.83</v>
      </c>
      <c r="AC32" s="141">
        <f t="shared" si="27"/>
        <v>13440.240000000003</v>
      </c>
      <c r="AD32" s="87">
        <f t="shared" si="28"/>
        <v>0</v>
      </c>
      <c r="AE32" s="87">
        <f t="shared" si="29"/>
        <v>0</v>
      </c>
      <c r="AF32" s="87">
        <f>'[6]Т01-10'!$I$69+'[6]Т01-10'!$I$77+'[6]Т01-10'!$I$112+'[6]Т01-10'!$I$116</f>
        <v>2401.98614</v>
      </c>
      <c r="AG32" s="13">
        <f t="shared" si="30"/>
        <v>831.24</v>
      </c>
      <c r="AH32" s="13">
        <f t="shared" si="31"/>
        <v>277.08000000000004</v>
      </c>
      <c r="AI32" s="13">
        <f t="shared" si="32"/>
        <v>1385.4</v>
      </c>
      <c r="AJ32" s="13">
        <v>0</v>
      </c>
      <c r="AK32" s="13">
        <f t="shared" si="33"/>
        <v>1357.692</v>
      </c>
      <c r="AL32" s="13">
        <v>0</v>
      </c>
      <c r="AM32" s="13">
        <f t="shared" si="34"/>
        <v>3117.15</v>
      </c>
      <c r="AN32" s="13">
        <v>0</v>
      </c>
      <c r="AO32" s="13"/>
      <c r="AP32" s="13"/>
      <c r="AQ32" s="142"/>
      <c r="AR32" s="142"/>
      <c r="AS32" s="83"/>
      <c r="AT32" s="83"/>
      <c r="AU32" s="83">
        <f t="shared" si="35"/>
        <v>0</v>
      </c>
      <c r="AV32" s="143">
        <v>383</v>
      </c>
      <c r="AW32" s="144">
        <v>1</v>
      </c>
      <c r="AX32" s="13">
        <f t="shared" si="36"/>
        <v>536.1999999999999</v>
      </c>
      <c r="AY32" s="145"/>
      <c r="AZ32" s="146"/>
      <c r="BA32" s="146">
        <f t="shared" si="37"/>
        <v>0</v>
      </c>
      <c r="BB32" s="146">
        <f t="shared" si="38"/>
        <v>7504.762</v>
      </c>
      <c r="BC32" s="147">
        <f>'[6]Т03-10'!$M$70+'[6]Т03-10'!$M$78+'[6]Т03-10'!$M$113+'[6]Т03-10'!$M$117</f>
        <v>990.039</v>
      </c>
      <c r="BD32" s="122"/>
      <c r="BE32" s="94">
        <f t="shared" si="40"/>
        <v>7347.425140000004</v>
      </c>
      <c r="BF32" s="94">
        <f t="shared" si="41"/>
        <v>1456.5300000000007</v>
      </c>
    </row>
    <row r="33" spans="1:58" ht="12.75">
      <c r="A33" s="124" t="s">
        <v>46</v>
      </c>
      <c r="B33" s="136">
        <v>1385.4</v>
      </c>
      <c r="C33" s="137">
        <f t="shared" si="24"/>
        <v>11983.710000000001</v>
      </c>
      <c r="D33" s="138">
        <f t="shared" si="39"/>
        <v>1145.620000000003</v>
      </c>
      <c r="E33" s="78">
        <v>1037.41</v>
      </c>
      <c r="F33" s="78">
        <v>213.56</v>
      </c>
      <c r="G33" s="78">
        <v>1405.08</v>
      </c>
      <c r="H33" s="78">
        <v>289.47</v>
      </c>
      <c r="I33" s="78">
        <v>3376.16</v>
      </c>
      <c r="J33" s="78">
        <v>695.23</v>
      </c>
      <c r="K33" s="78">
        <v>2338.71</v>
      </c>
      <c r="L33" s="78">
        <v>481.68</v>
      </c>
      <c r="M33" s="84">
        <v>829.96</v>
      </c>
      <c r="N33" s="84">
        <v>170.83</v>
      </c>
      <c r="O33" s="78">
        <v>0</v>
      </c>
      <c r="P33" s="139">
        <v>0</v>
      </c>
      <c r="Q33" s="139"/>
      <c r="R33" s="139"/>
      <c r="S33" s="78">
        <f t="shared" si="25"/>
        <v>8987.32</v>
      </c>
      <c r="T33" s="140">
        <f t="shared" si="26"/>
        <v>1850.77</v>
      </c>
      <c r="U33" s="78">
        <v>910.59</v>
      </c>
      <c r="V33" s="78">
        <v>1229.22</v>
      </c>
      <c r="W33" s="78">
        <v>2948.87</v>
      </c>
      <c r="X33" s="78">
        <v>2048.7</v>
      </c>
      <c r="Y33" s="78">
        <v>728.44</v>
      </c>
      <c r="Z33" s="78">
        <v>0</v>
      </c>
      <c r="AA33" s="139">
        <v>0</v>
      </c>
      <c r="AB33" s="139">
        <f>SUM(U33:AA33)</f>
        <v>7865.82</v>
      </c>
      <c r="AC33" s="141">
        <f t="shared" si="27"/>
        <v>10862.210000000003</v>
      </c>
      <c r="AD33" s="87">
        <f t="shared" si="28"/>
        <v>0</v>
      </c>
      <c r="AE33" s="87">
        <f t="shared" si="29"/>
        <v>0</v>
      </c>
      <c r="AF33" s="87">
        <f>'[3]Т04-10'!$I$70+'[3]Т04-10'!$I$78+'[3]Т04-10'!$I$113+'[3]Т04-10'!$I$117</f>
        <v>2401.98614</v>
      </c>
      <c r="AG33" s="13">
        <f t="shared" si="30"/>
        <v>831.24</v>
      </c>
      <c r="AH33" s="13">
        <f t="shared" si="31"/>
        <v>277.08000000000004</v>
      </c>
      <c r="AI33" s="13">
        <f t="shared" si="32"/>
        <v>1385.4</v>
      </c>
      <c r="AJ33" s="13">
        <v>0</v>
      </c>
      <c r="AK33" s="13">
        <f t="shared" si="33"/>
        <v>1357.692</v>
      </c>
      <c r="AL33" s="13">
        <v>0</v>
      </c>
      <c r="AM33" s="13">
        <f t="shared" si="34"/>
        <v>3117.15</v>
      </c>
      <c r="AN33" s="13">
        <v>0</v>
      </c>
      <c r="AO33" s="13"/>
      <c r="AP33" s="13"/>
      <c r="AQ33" s="142"/>
      <c r="AR33" s="142"/>
      <c r="AS33" s="83">
        <v>1346</v>
      </c>
      <c r="AT33" s="83">
        <f>67+40</f>
        <v>107</v>
      </c>
      <c r="AU33" s="83"/>
      <c r="AV33" s="143">
        <v>307</v>
      </c>
      <c r="AW33" s="144">
        <v>1</v>
      </c>
      <c r="AX33" s="13">
        <f t="shared" si="36"/>
        <v>429.79999999999995</v>
      </c>
      <c r="AY33" s="145"/>
      <c r="AZ33" s="146"/>
      <c r="BA33" s="146">
        <f t="shared" si="37"/>
        <v>0</v>
      </c>
      <c r="BB33" s="146">
        <f t="shared" si="38"/>
        <v>8851.362</v>
      </c>
      <c r="BC33" s="147">
        <f>'[3]Т04-10'!$M$70+'[3]Т04-10'!$M$78+'[3]Т04-10'!$M$113+'[3]Т04-10'!$M$117</f>
        <v>990.039</v>
      </c>
      <c r="BD33" s="46"/>
      <c r="BE33" s="94">
        <f t="shared" si="40"/>
        <v>3422.795140000004</v>
      </c>
      <c r="BF33" s="94">
        <f t="shared" si="41"/>
        <v>-1121.5</v>
      </c>
    </row>
    <row r="34" spans="1:58" ht="12.75">
      <c r="A34" s="11" t="s">
        <v>47</v>
      </c>
      <c r="B34" s="136">
        <v>1385</v>
      </c>
      <c r="C34" s="137">
        <f t="shared" si="24"/>
        <v>11980.25</v>
      </c>
      <c r="D34" s="138">
        <f t="shared" si="39"/>
        <v>1145.56</v>
      </c>
      <c r="E34" s="78">
        <v>1037.07</v>
      </c>
      <c r="F34" s="78">
        <v>213.52</v>
      </c>
      <c r="G34" s="78">
        <v>1404.61</v>
      </c>
      <c r="H34" s="78">
        <v>289.4</v>
      </c>
      <c r="I34" s="78">
        <v>3375.04</v>
      </c>
      <c r="J34" s="78">
        <v>695.07</v>
      </c>
      <c r="K34" s="78">
        <v>2337.92</v>
      </c>
      <c r="L34" s="78">
        <v>481.59</v>
      </c>
      <c r="M34" s="84">
        <v>829.68</v>
      </c>
      <c r="N34" s="84">
        <v>170.79</v>
      </c>
      <c r="O34" s="78">
        <v>0</v>
      </c>
      <c r="P34" s="139">
        <v>0</v>
      </c>
      <c r="Q34" s="139"/>
      <c r="R34" s="139"/>
      <c r="S34" s="78">
        <f t="shared" si="25"/>
        <v>8984.32</v>
      </c>
      <c r="T34" s="140">
        <f t="shared" si="26"/>
        <v>1850.37</v>
      </c>
      <c r="U34" s="149">
        <v>822.42</v>
      </c>
      <c r="V34" s="149">
        <v>1114.24</v>
      </c>
      <c r="W34" s="149">
        <v>2676.82</v>
      </c>
      <c r="X34" s="149">
        <v>1854.4</v>
      </c>
      <c r="Y34" s="149">
        <v>657.95</v>
      </c>
      <c r="Z34" s="149">
        <v>0</v>
      </c>
      <c r="AA34" s="150">
        <v>0</v>
      </c>
      <c r="AB34" s="139">
        <f aca="true" t="shared" si="42" ref="AB34:AB41">SUM(U34:AA34)</f>
        <v>7125.829999999999</v>
      </c>
      <c r="AC34" s="141">
        <f t="shared" si="27"/>
        <v>10121.759999999998</v>
      </c>
      <c r="AD34" s="87">
        <f t="shared" si="28"/>
        <v>0</v>
      </c>
      <c r="AE34" s="87">
        <f t="shared" si="29"/>
        <v>0</v>
      </c>
      <c r="AF34" s="87">
        <f>'[3]Т04-10'!$I$70+'[3]Т04-10'!$I$78+'[3]Т04-10'!$I$113+'[3]Т04-10'!$I$117</f>
        <v>2401.98614</v>
      </c>
      <c r="AG34" s="13">
        <f t="shared" si="30"/>
        <v>831</v>
      </c>
      <c r="AH34" s="13">
        <f t="shared" si="31"/>
        <v>277</v>
      </c>
      <c r="AI34" s="13">
        <f t="shared" si="32"/>
        <v>1385</v>
      </c>
      <c r="AJ34" s="13">
        <v>0</v>
      </c>
      <c r="AK34" s="13">
        <f t="shared" si="33"/>
        <v>1357.3</v>
      </c>
      <c r="AL34" s="13">
        <v>0</v>
      </c>
      <c r="AM34" s="13">
        <f t="shared" si="34"/>
        <v>3116.25</v>
      </c>
      <c r="AN34" s="13">
        <v>0</v>
      </c>
      <c r="AO34" s="13"/>
      <c r="AP34" s="13"/>
      <c r="AQ34" s="142"/>
      <c r="AR34" s="142"/>
      <c r="AS34" s="83">
        <v>580</v>
      </c>
      <c r="AT34" s="83">
        <v>766.27</v>
      </c>
      <c r="AU34" s="83"/>
      <c r="AV34" s="143">
        <v>263</v>
      </c>
      <c r="AW34" s="144">
        <v>1</v>
      </c>
      <c r="AX34" s="13">
        <f t="shared" si="36"/>
        <v>368.2</v>
      </c>
      <c r="AY34" s="145"/>
      <c r="AZ34" s="146"/>
      <c r="BA34" s="146">
        <f t="shared" si="37"/>
        <v>0</v>
      </c>
      <c r="BB34" s="146">
        <f t="shared" si="38"/>
        <v>8681.02</v>
      </c>
      <c r="BC34" s="147">
        <f>'[3]Т04-10'!$M$70+'[3]Т04-10'!$M$78+'[3]Т04-10'!$M$113+'[3]Т04-10'!$M$117</f>
        <v>990.039</v>
      </c>
      <c r="BD34" s="25"/>
      <c r="BE34" s="94">
        <f t="shared" si="40"/>
        <v>2852.687139999998</v>
      </c>
      <c r="BF34" s="94">
        <f t="shared" si="41"/>
        <v>-1858.4900000000007</v>
      </c>
    </row>
    <row r="35" spans="1:58" ht="13.5" thickBot="1">
      <c r="A35" s="121" t="s">
        <v>48</v>
      </c>
      <c r="B35" s="136">
        <v>1385</v>
      </c>
      <c r="C35" s="137">
        <f t="shared" si="24"/>
        <v>11980.25</v>
      </c>
      <c r="D35" s="138">
        <f t="shared" si="39"/>
        <v>1145.5700000000002</v>
      </c>
      <c r="E35" s="78">
        <v>1037.08</v>
      </c>
      <c r="F35" s="78">
        <v>213.52</v>
      </c>
      <c r="G35" s="78">
        <v>1404.59</v>
      </c>
      <c r="H35" s="78">
        <v>289.4</v>
      </c>
      <c r="I35" s="78">
        <v>3375.04</v>
      </c>
      <c r="J35" s="78">
        <v>695.07</v>
      </c>
      <c r="K35" s="78">
        <v>2337.91</v>
      </c>
      <c r="L35" s="78">
        <v>481.59</v>
      </c>
      <c r="M35" s="84">
        <v>829.69</v>
      </c>
      <c r="N35" s="84">
        <v>170.79</v>
      </c>
      <c r="O35" s="78">
        <v>0</v>
      </c>
      <c r="P35" s="139">
        <v>0</v>
      </c>
      <c r="Q35" s="78">
        <v>0</v>
      </c>
      <c r="R35" s="139">
        <v>0</v>
      </c>
      <c r="S35" s="78">
        <f t="shared" si="25"/>
        <v>8984.31</v>
      </c>
      <c r="T35" s="140">
        <f t="shared" si="26"/>
        <v>1850.37</v>
      </c>
      <c r="U35" s="78">
        <v>894.8</v>
      </c>
      <c r="V35" s="78">
        <v>1212.26</v>
      </c>
      <c r="W35" s="78">
        <v>2912.37</v>
      </c>
      <c r="X35" s="78">
        <v>2017.55</v>
      </c>
      <c r="Y35" s="78">
        <v>715.88</v>
      </c>
      <c r="Z35" s="78">
        <v>0</v>
      </c>
      <c r="AA35" s="139">
        <v>0</v>
      </c>
      <c r="AB35" s="139">
        <f t="shared" si="42"/>
        <v>7752.860000000001</v>
      </c>
      <c r="AC35" s="141">
        <f t="shared" si="27"/>
        <v>10748.800000000001</v>
      </c>
      <c r="AD35" s="87">
        <f t="shared" si="28"/>
        <v>0</v>
      </c>
      <c r="AE35" s="87">
        <f t="shared" si="29"/>
        <v>0</v>
      </c>
      <c r="AF35" s="87">
        <f>'[3]Т04-10'!$I$70+'[3]Т04-10'!$I$78+'[3]Т04-10'!$I$113+'[3]Т04-10'!$I$117</f>
        <v>2401.98614</v>
      </c>
      <c r="AG35" s="13">
        <f t="shared" si="30"/>
        <v>831</v>
      </c>
      <c r="AH35" s="13">
        <f t="shared" si="31"/>
        <v>277</v>
      </c>
      <c r="AI35" s="13">
        <f t="shared" si="32"/>
        <v>1385</v>
      </c>
      <c r="AJ35" s="13">
        <v>0</v>
      </c>
      <c r="AK35" s="13">
        <f t="shared" si="33"/>
        <v>1357.3</v>
      </c>
      <c r="AL35" s="13">
        <v>0</v>
      </c>
      <c r="AM35" s="13">
        <f t="shared" si="34"/>
        <v>3116.25</v>
      </c>
      <c r="AN35" s="13">
        <v>0</v>
      </c>
      <c r="AO35" s="13"/>
      <c r="AP35" s="13"/>
      <c r="AQ35" s="142"/>
      <c r="AR35" s="142"/>
      <c r="AS35" s="83">
        <v>9246</v>
      </c>
      <c r="AT35" s="83"/>
      <c r="AU35" s="83">
        <f t="shared" si="35"/>
        <v>0</v>
      </c>
      <c r="AV35" s="143">
        <v>233</v>
      </c>
      <c r="AW35" s="144">
        <v>1</v>
      </c>
      <c r="AX35" s="13">
        <f t="shared" si="36"/>
        <v>326.2</v>
      </c>
      <c r="AY35" s="145"/>
      <c r="AZ35" s="146"/>
      <c r="BA35" s="146">
        <f t="shared" si="37"/>
        <v>0</v>
      </c>
      <c r="BB35" s="146">
        <f t="shared" si="38"/>
        <v>16538.75</v>
      </c>
      <c r="BC35" s="147">
        <f>'[3]Т06-10'!$M$68+'[3]Т06-10'!$M$76+'[3]Т06-10'!$M$110+'[3]Т06-10'!$M$114</f>
        <v>990.039</v>
      </c>
      <c r="BD35" s="125"/>
      <c r="BE35" s="94">
        <f t="shared" si="40"/>
        <v>-4378.002859999999</v>
      </c>
      <c r="BF35" s="94">
        <f t="shared" si="41"/>
        <v>-1231.449999999999</v>
      </c>
    </row>
    <row r="36" spans="1:58" ht="12.75">
      <c r="A36" s="124" t="s">
        <v>49</v>
      </c>
      <c r="B36" s="136">
        <v>1385</v>
      </c>
      <c r="C36" s="137">
        <f t="shared" si="24"/>
        <v>11980.25</v>
      </c>
      <c r="D36" s="138">
        <f t="shared" si="39"/>
        <v>1131.0400000000013</v>
      </c>
      <c r="E36" s="80">
        <v>1252.3</v>
      </c>
      <c r="F36" s="78">
        <v>0</v>
      </c>
      <c r="G36" s="78">
        <v>1696.23</v>
      </c>
      <c r="H36" s="78">
        <v>0</v>
      </c>
      <c r="I36" s="78">
        <v>4075.58</v>
      </c>
      <c r="J36" s="78">
        <v>0</v>
      </c>
      <c r="K36" s="78">
        <v>2823.27</v>
      </c>
      <c r="L36" s="78">
        <v>0</v>
      </c>
      <c r="M36" s="84">
        <v>1001.83</v>
      </c>
      <c r="N36" s="84">
        <v>0</v>
      </c>
      <c r="O36" s="78">
        <v>0</v>
      </c>
      <c r="P36" s="139">
        <v>0</v>
      </c>
      <c r="Q36" s="139"/>
      <c r="R36" s="139"/>
      <c r="S36" s="78">
        <f t="shared" si="25"/>
        <v>10849.21</v>
      </c>
      <c r="T36" s="140">
        <f t="shared" si="26"/>
        <v>0</v>
      </c>
      <c r="U36" s="80">
        <v>923.07</v>
      </c>
      <c r="V36" s="78">
        <v>1249.77</v>
      </c>
      <c r="W36" s="78">
        <v>3003.44</v>
      </c>
      <c r="X36" s="78">
        <v>2080.39</v>
      </c>
      <c r="Y36" s="78">
        <v>738.42</v>
      </c>
      <c r="Z36" s="78">
        <v>0</v>
      </c>
      <c r="AA36" s="139">
        <v>0</v>
      </c>
      <c r="AB36" s="139">
        <f t="shared" si="42"/>
        <v>7995.09</v>
      </c>
      <c r="AC36" s="141">
        <f t="shared" si="27"/>
        <v>9126.130000000001</v>
      </c>
      <c r="AD36" s="87">
        <f t="shared" si="28"/>
        <v>0</v>
      </c>
      <c r="AE36" s="87">
        <f t="shared" si="29"/>
        <v>0</v>
      </c>
      <c r="AF36" s="87">
        <f>'[2]Т07-10'!$I$67+'[2]Т07-10'!$I$75+'[2]Т07-10'!$I$109+'[2]Т07-10'!$I$113</f>
        <v>2401.98614</v>
      </c>
      <c r="AG36" s="13">
        <f t="shared" si="30"/>
        <v>831</v>
      </c>
      <c r="AH36" s="13">
        <f t="shared" si="31"/>
        <v>277</v>
      </c>
      <c r="AI36" s="13">
        <f t="shared" si="32"/>
        <v>1385</v>
      </c>
      <c r="AJ36" s="13">
        <v>0</v>
      </c>
      <c r="AK36" s="13">
        <f t="shared" si="33"/>
        <v>1357.3</v>
      </c>
      <c r="AL36" s="13">
        <v>0</v>
      </c>
      <c r="AM36" s="13">
        <f t="shared" si="34"/>
        <v>3116.25</v>
      </c>
      <c r="AN36" s="13">
        <v>0</v>
      </c>
      <c r="AO36" s="13"/>
      <c r="AP36" s="13"/>
      <c r="AQ36" s="142"/>
      <c r="AR36" s="142"/>
      <c r="AS36" s="83"/>
      <c r="AT36" s="83"/>
      <c r="AU36" s="83">
        <f t="shared" si="35"/>
        <v>0</v>
      </c>
      <c r="AV36" s="143">
        <v>248</v>
      </c>
      <c r="AW36" s="144">
        <v>1</v>
      </c>
      <c r="AX36" s="13">
        <f t="shared" si="36"/>
        <v>347.2</v>
      </c>
      <c r="AY36" s="145"/>
      <c r="AZ36" s="146"/>
      <c r="BA36" s="146">
        <f t="shared" si="37"/>
        <v>0</v>
      </c>
      <c r="BB36" s="146">
        <f t="shared" si="38"/>
        <v>7313.75</v>
      </c>
      <c r="BC36" s="147">
        <f>'[3]Т06-10'!$M$68+'[3]Т06-10'!$M$76+'[3]Т06-10'!$M$110+'[3]Т06-10'!$M$114</f>
        <v>990.039</v>
      </c>
      <c r="BD36" s="25"/>
      <c r="BE36" s="94">
        <f t="shared" si="40"/>
        <v>3224.3271400000012</v>
      </c>
      <c r="BF36" s="94">
        <f t="shared" si="41"/>
        <v>-2854.119999999999</v>
      </c>
    </row>
    <row r="37" spans="1:58" ht="12.75">
      <c r="A37" s="11" t="s">
        <v>50</v>
      </c>
      <c r="B37" s="136">
        <v>1385</v>
      </c>
      <c r="C37" s="137">
        <f t="shared" si="24"/>
        <v>11980.25</v>
      </c>
      <c r="D37" s="138">
        <f t="shared" si="39"/>
        <v>1131.0400000000013</v>
      </c>
      <c r="E37" s="80">
        <v>1252.3</v>
      </c>
      <c r="F37" s="78">
        <v>0</v>
      </c>
      <c r="G37" s="78">
        <v>1696.23</v>
      </c>
      <c r="H37" s="78">
        <v>0</v>
      </c>
      <c r="I37" s="78">
        <v>4075.58</v>
      </c>
      <c r="J37" s="78">
        <v>0</v>
      </c>
      <c r="K37" s="78">
        <v>2823.27</v>
      </c>
      <c r="L37" s="78">
        <v>0</v>
      </c>
      <c r="M37" s="84">
        <v>1001.83</v>
      </c>
      <c r="N37" s="84">
        <v>0</v>
      </c>
      <c r="O37" s="78">
        <v>0</v>
      </c>
      <c r="P37" s="139">
        <v>0</v>
      </c>
      <c r="Q37" s="139"/>
      <c r="R37" s="139"/>
      <c r="S37" s="78">
        <f t="shared" si="25"/>
        <v>10849.21</v>
      </c>
      <c r="T37" s="140">
        <f t="shared" si="26"/>
        <v>0</v>
      </c>
      <c r="U37" s="149">
        <v>1273.6</v>
      </c>
      <c r="V37" s="149">
        <v>1725.32</v>
      </c>
      <c r="W37" s="149">
        <v>5145.23</v>
      </c>
      <c r="X37" s="149">
        <v>2871.63</v>
      </c>
      <c r="Y37" s="149">
        <v>1018.89</v>
      </c>
      <c r="Z37" s="149">
        <v>0</v>
      </c>
      <c r="AA37" s="150">
        <v>0</v>
      </c>
      <c r="AB37" s="139">
        <f t="shared" si="42"/>
        <v>12034.669999999998</v>
      </c>
      <c r="AC37" s="141">
        <f t="shared" si="27"/>
        <v>13165.71</v>
      </c>
      <c r="AD37" s="87">
        <f t="shared" si="28"/>
        <v>0</v>
      </c>
      <c r="AE37" s="87">
        <f t="shared" si="29"/>
        <v>0</v>
      </c>
      <c r="AF37" s="87">
        <f>'[2]Т07-10'!$I$67+'[2]Т07-10'!$I$75+'[2]Т07-10'!$I$109+'[2]Т07-10'!$I$113</f>
        <v>2401.98614</v>
      </c>
      <c r="AG37" s="13">
        <f t="shared" si="30"/>
        <v>831</v>
      </c>
      <c r="AH37" s="13">
        <f t="shared" si="31"/>
        <v>277</v>
      </c>
      <c r="AI37" s="13">
        <f t="shared" si="32"/>
        <v>1385</v>
      </c>
      <c r="AJ37" s="13">
        <v>0</v>
      </c>
      <c r="AK37" s="13">
        <f t="shared" si="33"/>
        <v>1357.3</v>
      </c>
      <c r="AL37" s="13">
        <v>0</v>
      </c>
      <c r="AM37" s="13">
        <f t="shared" si="34"/>
        <v>3116.25</v>
      </c>
      <c r="AN37" s="13">
        <v>0</v>
      </c>
      <c r="AO37" s="13"/>
      <c r="AP37" s="13"/>
      <c r="AQ37" s="142"/>
      <c r="AR37" s="142"/>
      <c r="AS37" s="83">
        <v>3377</v>
      </c>
      <c r="AT37" s="83">
        <f>47.8+210</f>
        <v>257.8</v>
      </c>
      <c r="AU37" s="83"/>
      <c r="AV37" s="143">
        <v>293</v>
      </c>
      <c r="AW37" s="144">
        <v>1</v>
      </c>
      <c r="AX37" s="13">
        <f t="shared" si="36"/>
        <v>410.2</v>
      </c>
      <c r="AY37" s="145"/>
      <c r="AZ37" s="146"/>
      <c r="BA37" s="146">
        <f t="shared" si="37"/>
        <v>0</v>
      </c>
      <c r="BB37" s="146">
        <f t="shared" si="38"/>
        <v>11011.55</v>
      </c>
      <c r="BC37" s="147">
        <f>'[3]Т06-10'!$M$68+'[3]Т06-10'!$M$76+'[3]Т06-10'!$M$110+'[3]Т06-10'!$M$114</f>
        <v>990.039</v>
      </c>
      <c r="BD37" s="25"/>
      <c r="BE37" s="94">
        <f t="shared" si="40"/>
        <v>3566.10714</v>
      </c>
      <c r="BF37" s="94">
        <f t="shared" si="41"/>
        <v>1185.4599999999991</v>
      </c>
    </row>
    <row r="38" spans="1:58" ht="13.5" thickBot="1">
      <c r="A38" s="121" t="s">
        <v>51</v>
      </c>
      <c r="B38" s="136">
        <v>1385</v>
      </c>
      <c r="C38" s="137">
        <f t="shared" si="24"/>
        <v>11980.25</v>
      </c>
      <c r="D38" s="138">
        <f t="shared" si="39"/>
        <v>1131.0500000000015</v>
      </c>
      <c r="E38" s="78">
        <v>1252.3</v>
      </c>
      <c r="F38" s="78">
        <v>0</v>
      </c>
      <c r="G38" s="78">
        <v>1696.22</v>
      </c>
      <c r="H38" s="78">
        <v>0</v>
      </c>
      <c r="I38" s="78">
        <v>4075.58</v>
      </c>
      <c r="J38" s="78">
        <v>0</v>
      </c>
      <c r="K38" s="78">
        <v>2823.27</v>
      </c>
      <c r="L38" s="78">
        <v>0</v>
      </c>
      <c r="M38" s="84">
        <v>1001.83</v>
      </c>
      <c r="N38" s="84">
        <v>0</v>
      </c>
      <c r="O38" s="78">
        <v>0</v>
      </c>
      <c r="P38" s="139">
        <v>0</v>
      </c>
      <c r="Q38" s="139"/>
      <c r="R38" s="139"/>
      <c r="S38" s="78">
        <f t="shared" si="25"/>
        <v>10849.2</v>
      </c>
      <c r="T38" s="140">
        <f t="shared" si="26"/>
        <v>0</v>
      </c>
      <c r="U38" s="78">
        <v>1252.21</v>
      </c>
      <c r="V38" s="78">
        <v>1696.56</v>
      </c>
      <c r="W38" s="78">
        <v>3905.21</v>
      </c>
      <c r="X38" s="78">
        <v>2823.44</v>
      </c>
      <c r="Y38" s="78">
        <v>1001.78</v>
      </c>
      <c r="Z38" s="78">
        <v>0</v>
      </c>
      <c r="AA38" s="139">
        <v>0</v>
      </c>
      <c r="AB38" s="139">
        <f t="shared" si="42"/>
        <v>10679.2</v>
      </c>
      <c r="AC38" s="141">
        <f t="shared" si="27"/>
        <v>11810.250000000002</v>
      </c>
      <c r="AD38" s="87">
        <f t="shared" si="28"/>
        <v>0</v>
      </c>
      <c r="AE38" s="87">
        <f t="shared" si="29"/>
        <v>0</v>
      </c>
      <c r="AF38" s="87">
        <f>'[2]Т07-10'!$I$67+'[2]Т07-10'!$I$75+'[2]Т07-10'!$I$109+'[2]Т07-10'!$I$113</f>
        <v>2401.98614</v>
      </c>
      <c r="AG38" s="13">
        <f t="shared" si="30"/>
        <v>831</v>
      </c>
      <c r="AH38" s="13">
        <f t="shared" si="31"/>
        <v>277</v>
      </c>
      <c r="AI38" s="13">
        <f t="shared" si="32"/>
        <v>1385</v>
      </c>
      <c r="AJ38" s="13">
        <v>0</v>
      </c>
      <c r="AK38" s="13">
        <f t="shared" si="33"/>
        <v>1357.3</v>
      </c>
      <c r="AL38" s="13">
        <v>0</v>
      </c>
      <c r="AM38" s="13">
        <f t="shared" si="34"/>
        <v>3116.25</v>
      </c>
      <c r="AN38" s="13">
        <v>0</v>
      </c>
      <c r="AO38" s="13"/>
      <c r="AP38" s="13"/>
      <c r="AQ38" s="142"/>
      <c r="AR38" s="142"/>
      <c r="AS38" s="83"/>
      <c r="AT38" s="83"/>
      <c r="AU38" s="151">
        <f t="shared" si="35"/>
        <v>0</v>
      </c>
      <c r="AV38" s="143">
        <v>349</v>
      </c>
      <c r="AW38" s="144">
        <v>1</v>
      </c>
      <c r="AX38" s="13">
        <f t="shared" si="36"/>
        <v>488.59999999999997</v>
      </c>
      <c r="AY38" s="145"/>
      <c r="AZ38" s="146"/>
      <c r="BA38" s="146">
        <f t="shared" si="37"/>
        <v>0</v>
      </c>
      <c r="BB38" s="146">
        <f t="shared" si="38"/>
        <v>7455.150000000001</v>
      </c>
      <c r="BC38" s="147">
        <f>'[3]Т06-10'!$M$68+'[3]Т06-10'!$M$76+'[3]Т06-10'!$M$110+'[3]Т06-10'!$M$114</f>
        <v>990.039</v>
      </c>
      <c r="BD38" s="125"/>
      <c r="BE38" s="94">
        <f t="shared" si="40"/>
        <v>5767.0471400000015</v>
      </c>
      <c r="BF38" s="94">
        <f t="shared" si="41"/>
        <v>-170</v>
      </c>
    </row>
    <row r="39" spans="1:58" ht="12.75">
      <c r="A39" s="128" t="s">
        <v>39</v>
      </c>
      <c r="B39" s="136">
        <v>1385</v>
      </c>
      <c r="C39" s="137">
        <f t="shared" si="24"/>
        <v>11980.25</v>
      </c>
      <c r="D39" s="138">
        <f t="shared" si="39"/>
        <v>1131.0400000000013</v>
      </c>
      <c r="E39" s="79">
        <v>1252.3</v>
      </c>
      <c r="F39" s="79">
        <v>0</v>
      </c>
      <c r="G39" s="79">
        <v>1696.23</v>
      </c>
      <c r="H39" s="79">
        <v>0</v>
      </c>
      <c r="I39" s="79">
        <v>4075.58</v>
      </c>
      <c r="J39" s="79">
        <v>0</v>
      </c>
      <c r="K39" s="79">
        <v>2823.27</v>
      </c>
      <c r="L39" s="79">
        <v>0</v>
      </c>
      <c r="M39" s="85">
        <v>1001.83</v>
      </c>
      <c r="N39" s="85">
        <v>0</v>
      </c>
      <c r="O39" s="79">
        <v>0</v>
      </c>
      <c r="P39" s="152">
        <v>0</v>
      </c>
      <c r="Q39" s="152"/>
      <c r="R39" s="152"/>
      <c r="S39" s="78">
        <f t="shared" si="25"/>
        <v>10849.21</v>
      </c>
      <c r="T39" s="140">
        <f t="shared" si="26"/>
        <v>0</v>
      </c>
      <c r="U39" s="78">
        <v>1109.57</v>
      </c>
      <c r="V39" s="78">
        <v>1502.86</v>
      </c>
      <c r="W39" s="78">
        <v>3610.99</v>
      </c>
      <c r="X39" s="78">
        <v>2501.47</v>
      </c>
      <c r="Y39" s="78">
        <v>887.62</v>
      </c>
      <c r="Z39" s="78">
        <v>0</v>
      </c>
      <c r="AA39" s="139">
        <v>0</v>
      </c>
      <c r="AB39" s="139">
        <f t="shared" si="42"/>
        <v>9612.51</v>
      </c>
      <c r="AC39" s="141">
        <f t="shared" si="27"/>
        <v>10743.550000000001</v>
      </c>
      <c r="AD39" s="87">
        <f t="shared" si="28"/>
        <v>0</v>
      </c>
      <c r="AE39" s="87">
        <f t="shared" si="29"/>
        <v>0</v>
      </c>
      <c r="AF39" s="87">
        <f>'[2]Т10-10'!$I$67+'[2]Т10-10'!$I$75+'[2]Т10-10'!$I$110+'[2]Т10-10'!$I$114+100</f>
        <v>2501.98614</v>
      </c>
      <c r="AG39" s="13">
        <f t="shared" si="30"/>
        <v>831</v>
      </c>
      <c r="AH39" s="13">
        <f t="shared" si="31"/>
        <v>277</v>
      </c>
      <c r="AI39" s="13">
        <f t="shared" si="32"/>
        <v>1385</v>
      </c>
      <c r="AJ39" s="13">
        <v>0</v>
      </c>
      <c r="AK39" s="13">
        <f t="shared" si="33"/>
        <v>1357.3</v>
      </c>
      <c r="AL39" s="13">
        <v>0</v>
      </c>
      <c r="AM39" s="13">
        <f t="shared" si="34"/>
        <v>3116.25</v>
      </c>
      <c r="AN39" s="13">
        <v>0</v>
      </c>
      <c r="AO39" s="13"/>
      <c r="AP39" s="13"/>
      <c r="AQ39" s="142"/>
      <c r="AR39" s="142"/>
      <c r="AS39" s="83"/>
      <c r="AT39" s="83">
        <f>120+170</f>
        <v>290</v>
      </c>
      <c r="AU39" s="83"/>
      <c r="AV39" s="143">
        <v>425</v>
      </c>
      <c r="AW39" s="144">
        <v>1</v>
      </c>
      <c r="AX39" s="13">
        <f t="shared" si="36"/>
        <v>595</v>
      </c>
      <c r="AY39" s="145"/>
      <c r="AZ39" s="146"/>
      <c r="BA39" s="146">
        <f t="shared" si="37"/>
        <v>0</v>
      </c>
      <c r="BB39" s="146">
        <f t="shared" si="38"/>
        <v>7851.549999999999</v>
      </c>
      <c r="BC39" s="147">
        <f>'[2]Т10-10'!$M$67+'[2]Т10-10'!$M$75+'[2]Т10-10'!$M$110+'[2]Т10-10'!$M$114+25</f>
        <v>1015.039</v>
      </c>
      <c r="BD39" s="129"/>
      <c r="BE39" s="94">
        <f t="shared" si="40"/>
        <v>4378.947140000002</v>
      </c>
      <c r="BF39" s="94">
        <f t="shared" si="41"/>
        <v>-1236.699999999999</v>
      </c>
    </row>
    <row r="40" spans="1:58" ht="12.75">
      <c r="A40" s="11" t="s">
        <v>40</v>
      </c>
      <c r="B40" s="136">
        <v>1385</v>
      </c>
      <c r="C40" s="137">
        <f t="shared" si="24"/>
        <v>11980.25</v>
      </c>
      <c r="D40" s="138">
        <f t="shared" si="39"/>
        <v>1131.0400000000013</v>
      </c>
      <c r="E40" s="78">
        <v>1252.3</v>
      </c>
      <c r="F40" s="78">
        <v>0</v>
      </c>
      <c r="G40" s="78">
        <v>1696.23</v>
      </c>
      <c r="H40" s="78">
        <v>0</v>
      </c>
      <c r="I40" s="78">
        <v>4075.58</v>
      </c>
      <c r="J40" s="78">
        <v>0</v>
      </c>
      <c r="K40" s="78">
        <v>2823.27</v>
      </c>
      <c r="L40" s="78">
        <v>0</v>
      </c>
      <c r="M40" s="84">
        <v>1001.83</v>
      </c>
      <c r="N40" s="84">
        <v>0</v>
      </c>
      <c r="O40" s="78">
        <v>0</v>
      </c>
      <c r="P40" s="139">
        <v>0</v>
      </c>
      <c r="Q40" s="139"/>
      <c r="R40" s="139"/>
      <c r="S40" s="78">
        <f t="shared" si="25"/>
        <v>10849.21</v>
      </c>
      <c r="T40" s="140">
        <f t="shared" si="26"/>
        <v>0</v>
      </c>
      <c r="U40" s="80">
        <v>1167.53</v>
      </c>
      <c r="V40" s="78">
        <v>1581.6</v>
      </c>
      <c r="W40" s="78">
        <v>3769.35</v>
      </c>
      <c r="X40" s="78">
        <v>2632.35</v>
      </c>
      <c r="Y40" s="78">
        <v>934.04</v>
      </c>
      <c r="Z40" s="78">
        <v>0</v>
      </c>
      <c r="AA40" s="139">
        <v>0</v>
      </c>
      <c r="AB40" s="139">
        <f t="shared" si="42"/>
        <v>10084.869999999999</v>
      </c>
      <c r="AC40" s="141">
        <f t="shared" si="27"/>
        <v>11215.91</v>
      </c>
      <c r="AD40" s="87">
        <f t="shared" si="28"/>
        <v>0</v>
      </c>
      <c r="AE40" s="87">
        <f t="shared" si="29"/>
        <v>0</v>
      </c>
      <c r="AF40" s="87">
        <f>'[2]Т11'!$I$67+'[2]Т11'!$I$75+'[2]Т11'!$I$109+'[2]Т11'!$I$113+100</f>
        <v>2501.98614</v>
      </c>
      <c r="AG40" s="13">
        <f t="shared" si="30"/>
        <v>831</v>
      </c>
      <c r="AH40" s="13">
        <f t="shared" si="31"/>
        <v>277</v>
      </c>
      <c r="AI40" s="13">
        <f t="shared" si="32"/>
        <v>1385</v>
      </c>
      <c r="AJ40" s="13">
        <v>0</v>
      </c>
      <c r="AK40" s="13">
        <f t="shared" si="33"/>
        <v>1357.3</v>
      </c>
      <c r="AL40" s="13">
        <v>0</v>
      </c>
      <c r="AM40" s="13">
        <f t="shared" si="34"/>
        <v>3116.25</v>
      </c>
      <c r="AN40" s="13">
        <v>0</v>
      </c>
      <c r="AO40" s="13"/>
      <c r="AP40" s="13"/>
      <c r="AQ40" s="142"/>
      <c r="AR40" s="142"/>
      <c r="AS40" s="83"/>
      <c r="AT40" s="83"/>
      <c r="AU40" s="83">
        <f t="shared" si="35"/>
        <v>0</v>
      </c>
      <c r="AV40" s="143">
        <v>470</v>
      </c>
      <c r="AW40" s="144">
        <v>1</v>
      </c>
      <c r="AX40" s="13">
        <f t="shared" si="36"/>
        <v>658</v>
      </c>
      <c r="AY40" s="145"/>
      <c r="AZ40" s="146"/>
      <c r="BA40" s="146">
        <f t="shared" si="37"/>
        <v>0</v>
      </c>
      <c r="BB40" s="146">
        <f t="shared" si="38"/>
        <v>7624.55</v>
      </c>
      <c r="BC40" s="147">
        <f>'[2]Т11'!$M$67+'[2]Т11'!$M$75+'[2]Т11'!$M$109+'[2]Т11'!$M$113+25</f>
        <v>1015.039</v>
      </c>
      <c r="BD40" s="40"/>
      <c r="BE40" s="94">
        <f t="shared" si="40"/>
        <v>5078.30714</v>
      </c>
      <c r="BF40" s="94">
        <f t="shared" si="41"/>
        <v>-764.3400000000001</v>
      </c>
    </row>
    <row r="41" spans="1:58" s="93" customFormat="1" ht="12.75">
      <c r="A41" s="100" t="s">
        <v>41</v>
      </c>
      <c r="B41" s="136">
        <v>1385</v>
      </c>
      <c r="C41" s="137">
        <f t="shared" si="24"/>
        <v>11980.25</v>
      </c>
      <c r="D41" s="138">
        <f t="shared" si="39"/>
        <v>1131.070000000001</v>
      </c>
      <c r="E41" s="78">
        <v>1252.3</v>
      </c>
      <c r="F41" s="78">
        <v>0</v>
      </c>
      <c r="G41" s="78">
        <v>1696.22</v>
      </c>
      <c r="H41" s="78">
        <v>0</v>
      </c>
      <c r="I41" s="78">
        <v>4075.58</v>
      </c>
      <c r="J41" s="78">
        <v>0</v>
      </c>
      <c r="K41" s="78">
        <v>2823.26</v>
      </c>
      <c r="L41" s="78">
        <v>0</v>
      </c>
      <c r="M41" s="84">
        <v>1001.82</v>
      </c>
      <c r="N41" s="84">
        <v>0</v>
      </c>
      <c r="O41" s="78">
        <v>0</v>
      </c>
      <c r="P41" s="139">
        <v>0</v>
      </c>
      <c r="Q41" s="139"/>
      <c r="R41" s="139"/>
      <c r="S41" s="78">
        <f t="shared" si="25"/>
        <v>10849.18</v>
      </c>
      <c r="T41" s="140">
        <f t="shared" si="26"/>
        <v>0</v>
      </c>
      <c r="U41" s="78">
        <v>1500.6</v>
      </c>
      <c r="V41" s="78">
        <v>2032.38</v>
      </c>
      <c r="W41" s="78">
        <v>4749.72</v>
      </c>
      <c r="X41" s="78">
        <v>3382.84</v>
      </c>
      <c r="Y41" s="78">
        <v>1200.44</v>
      </c>
      <c r="Z41" s="78">
        <v>0</v>
      </c>
      <c r="AA41" s="139">
        <v>0</v>
      </c>
      <c r="AB41" s="139">
        <f t="shared" si="42"/>
        <v>12865.980000000001</v>
      </c>
      <c r="AC41" s="141">
        <f t="shared" si="27"/>
        <v>13997.050000000003</v>
      </c>
      <c r="AD41" s="87">
        <f t="shared" si="28"/>
        <v>0</v>
      </c>
      <c r="AE41" s="87">
        <f t="shared" si="29"/>
        <v>0</v>
      </c>
      <c r="AF41" s="87">
        <f>'[2]Т11'!$I$67+'[2]Т11'!$I$75+'[2]Т11'!$I$109+'[2]Т11'!$I$113+100</f>
        <v>2501.98614</v>
      </c>
      <c r="AG41" s="13">
        <f t="shared" si="30"/>
        <v>831</v>
      </c>
      <c r="AH41" s="13">
        <f t="shared" si="31"/>
        <v>277</v>
      </c>
      <c r="AI41" s="13">
        <f t="shared" si="32"/>
        <v>1385</v>
      </c>
      <c r="AJ41" s="13">
        <v>0</v>
      </c>
      <c r="AK41" s="13">
        <f t="shared" si="33"/>
        <v>1357.3</v>
      </c>
      <c r="AL41" s="13">
        <v>0</v>
      </c>
      <c r="AM41" s="13">
        <f t="shared" si="34"/>
        <v>3116.25</v>
      </c>
      <c r="AN41" s="13">
        <v>0</v>
      </c>
      <c r="AO41" s="13"/>
      <c r="AP41" s="13"/>
      <c r="AQ41" s="142"/>
      <c r="AR41" s="142"/>
      <c r="AS41" s="83"/>
      <c r="AT41" s="83"/>
      <c r="AU41" s="83">
        <f t="shared" si="35"/>
        <v>0</v>
      </c>
      <c r="AV41" s="143">
        <v>514</v>
      </c>
      <c r="AW41" s="144">
        <v>1</v>
      </c>
      <c r="AX41" s="13">
        <f t="shared" si="36"/>
        <v>719.5999999999999</v>
      </c>
      <c r="AY41" s="145"/>
      <c r="AZ41" s="146"/>
      <c r="BA41" s="146">
        <f t="shared" si="37"/>
        <v>0</v>
      </c>
      <c r="BB41" s="146">
        <f t="shared" si="38"/>
        <v>7686.15</v>
      </c>
      <c r="BC41" s="147">
        <f>'[2]Т11'!$M$67+'[2]Т11'!$M$75+'[2]Т11'!$M$109+'[2]Т11'!$M$113+25</f>
        <v>1015.039</v>
      </c>
      <c r="BD41" s="46"/>
      <c r="BE41" s="94">
        <f t="shared" si="40"/>
        <v>7797.8471400000035</v>
      </c>
      <c r="BF41" s="94">
        <f t="shared" si="41"/>
        <v>2016.800000000001</v>
      </c>
    </row>
    <row r="42" spans="1:58" s="16" customFormat="1" ht="12.75">
      <c r="A42" s="14" t="s">
        <v>3</v>
      </c>
      <c r="B42" s="48"/>
      <c r="C42" s="48">
        <f>SUM(C30:C41)</f>
        <v>143776.84</v>
      </c>
      <c r="D42" s="48">
        <f aca="true" t="shared" si="43" ref="D42:BF42">SUM(D30:D41)</f>
        <v>13659.900000000018</v>
      </c>
      <c r="E42" s="48">
        <f t="shared" si="43"/>
        <v>13737.589999999997</v>
      </c>
      <c r="F42" s="48">
        <f t="shared" si="43"/>
        <v>1281.28</v>
      </c>
      <c r="G42" s="48">
        <f t="shared" si="43"/>
        <v>18606.87</v>
      </c>
      <c r="H42" s="48">
        <f t="shared" si="43"/>
        <v>1736.69</v>
      </c>
      <c r="I42" s="48">
        <f t="shared" si="43"/>
        <v>44708.20000000001</v>
      </c>
      <c r="J42" s="48">
        <f t="shared" si="43"/>
        <v>4171.06</v>
      </c>
      <c r="K42" s="48">
        <f t="shared" si="43"/>
        <v>30970.270000000004</v>
      </c>
      <c r="L42" s="48">
        <f t="shared" si="43"/>
        <v>2889.9</v>
      </c>
      <c r="M42" s="48">
        <f t="shared" si="43"/>
        <v>10990.18</v>
      </c>
      <c r="N42" s="48">
        <f t="shared" si="43"/>
        <v>1024.9</v>
      </c>
      <c r="O42" s="48">
        <f t="shared" si="43"/>
        <v>0</v>
      </c>
      <c r="P42" s="48">
        <f t="shared" si="43"/>
        <v>0</v>
      </c>
      <c r="Q42" s="48">
        <f t="shared" si="43"/>
        <v>0</v>
      </c>
      <c r="R42" s="48">
        <f t="shared" si="43"/>
        <v>0</v>
      </c>
      <c r="S42" s="48">
        <f t="shared" si="43"/>
        <v>119013.10999999999</v>
      </c>
      <c r="T42" s="48">
        <f t="shared" si="43"/>
        <v>11103.829999999998</v>
      </c>
      <c r="U42" s="48">
        <f t="shared" si="43"/>
        <v>12723.310000000001</v>
      </c>
      <c r="V42" s="48">
        <f t="shared" si="43"/>
        <v>17229.87</v>
      </c>
      <c r="W42" s="48">
        <f t="shared" si="43"/>
        <v>42058.56</v>
      </c>
      <c r="X42" s="48">
        <f t="shared" si="43"/>
        <v>28680.379999999997</v>
      </c>
      <c r="Y42" s="48">
        <f t="shared" si="43"/>
        <v>10178.65</v>
      </c>
      <c r="Z42" s="48">
        <f t="shared" si="43"/>
        <v>0</v>
      </c>
      <c r="AA42" s="48">
        <f t="shared" si="43"/>
        <v>0</v>
      </c>
      <c r="AB42" s="48">
        <f t="shared" si="43"/>
        <v>110870.76999999997</v>
      </c>
      <c r="AC42" s="48">
        <f t="shared" si="43"/>
        <v>135634.50000000003</v>
      </c>
      <c r="AD42" s="48">
        <f t="shared" si="43"/>
        <v>0</v>
      </c>
      <c r="AE42" s="48">
        <f t="shared" si="43"/>
        <v>0</v>
      </c>
      <c r="AF42" s="48">
        <f t="shared" si="43"/>
        <v>29123.833680000007</v>
      </c>
      <c r="AG42" s="48">
        <f t="shared" si="43"/>
        <v>9972.96</v>
      </c>
      <c r="AH42" s="48">
        <f t="shared" si="43"/>
        <v>3324.32</v>
      </c>
      <c r="AI42" s="48">
        <f t="shared" si="43"/>
        <v>16621.6</v>
      </c>
      <c r="AJ42" s="48">
        <f t="shared" si="43"/>
        <v>0</v>
      </c>
      <c r="AK42" s="48">
        <f t="shared" si="43"/>
        <v>16289.167999999996</v>
      </c>
      <c r="AL42" s="48">
        <f t="shared" si="43"/>
        <v>0</v>
      </c>
      <c r="AM42" s="48">
        <f t="shared" si="43"/>
        <v>37398.6</v>
      </c>
      <c r="AN42" s="48">
        <f t="shared" si="43"/>
        <v>0</v>
      </c>
      <c r="AO42" s="48">
        <f t="shared" si="43"/>
        <v>2103.84</v>
      </c>
      <c r="AP42" s="48">
        <f t="shared" si="43"/>
        <v>0</v>
      </c>
      <c r="AQ42" s="130">
        <f t="shared" si="43"/>
        <v>0</v>
      </c>
      <c r="AR42" s="130">
        <f t="shared" si="43"/>
        <v>0</v>
      </c>
      <c r="AS42" s="47">
        <f t="shared" si="43"/>
        <v>14549</v>
      </c>
      <c r="AT42" s="47">
        <f t="shared" si="43"/>
        <v>1421.07</v>
      </c>
      <c r="AU42" s="47">
        <f t="shared" si="43"/>
        <v>0</v>
      </c>
      <c r="AV42" s="48">
        <f t="shared" si="43"/>
        <v>4400</v>
      </c>
      <c r="AW42" s="48">
        <f t="shared" si="43"/>
        <v>12</v>
      </c>
      <c r="AX42" s="48">
        <f t="shared" si="43"/>
        <v>6160</v>
      </c>
      <c r="AY42" s="48">
        <f t="shared" si="43"/>
        <v>0</v>
      </c>
      <c r="AZ42" s="48">
        <f t="shared" si="43"/>
        <v>0</v>
      </c>
      <c r="BA42" s="48">
        <f t="shared" si="43"/>
        <v>0</v>
      </c>
      <c r="BB42" s="48">
        <f t="shared" si="43"/>
        <v>107840.55799999999</v>
      </c>
      <c r="BC42" s="48">
        <f t="shared" si="43"/>
        <v>11955.468</v>
      </c>
      <c r="BD42" s="48">
        <f t="shared" si="43"/>
        <v>0</v>
      </c>
      <c r="BE42" s="48">
        <f t="shared" si="43"/>
        <v>44962.30768000003</v>
      </c>
      <c r="BF42" s="131">
        <f t="shared" si="43"/>
        <v>-8142.3399999999965</v>
      </c>
    </row>
    <row r="43" spans="1:58" s="16" customFormat="1" ht="12.75">
      <c r="A43" s="14"/>
      <c r="B43" s="48"/>
      <c r="C43" s="48"/>
      <c r="D43" s="4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9"/>
      <c r="X43" s="49"/>
      <c r="Y43" s="49"/>
      <c r="Z43" s="49"/>
      <c r="AA43" s="49"/>
      <c r="AB43" s="49"/>
      <c r="AC43" s="49"/>
      <c r="AD43" s="86"/>
      <c r="AE43" s="8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82"/>
      <c r="AQ43" s="132"/>
      <c r="AR43" s="132"/>
      <c r="AS43" s="82"/>
      <c r="AT43" s="82"/>
      <c r="AU43" s="82"/>
      <c r="AV43" s="15"/>
      <c r="AW43" s="15"/>
      <c r="AX43" s="133"/>
      <c r="AY43" s="59"/>
      <c r="AZ43" s="59"/>
      <c r="BA43" s="59"/>
      <c r="BB43" s="59"/>
      <c r="BC43" s="59"/>
      <c r="BD43" s="59"/>
      <c r="BE43" s="59"/>
      <c r="BF43" s="134"/>
    </row>
    <row r="44" spans="1:58" s="16" customFormat="1" ht="13.5" thickBot="1">
      <c r="A44" s="18" t="s">
        <v>52</v>
      </c>
      <c r="B44" s="19"/>
      <c r="C44" s="19">
        <f>C28+C42</f>
        <v>323397.55000000005</v>
      </c>
      <c r="D44" s="19">
        <f aca="true" t="shared" si="44" ref="D44:BF44">D28+D42</f>
        <v>37531.41632630004</v>
      </c>
      <c r="E44" s="19">
        <f t="shared" si="44"/>
        <v>28496.069999999992</v>
      </c>
      <c r="F44" s="19">
        <f t="shared" si="44"/>
        <v>4436.09</v>
      </c>
      <c r="G44" s="19">
        <f t="shared" si="44"/>
        <v>38567.229999999996</v>
      </c>
      <c r="H44" s="19">
        <f t="shared" si="44"/>
        <v>6005.280000000001</v>
      </c>
      <c r="I44" s="19">
        <f t="shared" si="44"/>
        <v>92721.03000000001</v>
      </c>
      <c r="J44" s="19">
        <f t="shared" si="44"/>
        <v>14433.77</v>
      </c>
      <c r="K44" s="19">
        <f t="shared" si="44"/>
        <v>64212.630000000005</v>
      </c>
      <c r="L44" s="19">
        <f t="shared" si="44"/>
        <v>9997.800000000001</v>
      </c>
      <c r="M44" s="19">
        <f t="shared" si="44"/>
        <v>22797.35</v>
      </c>
      <c r="N44" s="19">
        <f t="shared" si="44"/>
        <v>3548.57</v>
      </c>
      <c r="O44" s="19">
        <f t="shared" si="44"/>
        <v>0</v>
      </c>
      <c r="P44" s="19">
        <f t="shared" si="44"/>
        <v>0</v>
      </c>
      <c r="Q44" s="19">
        <f t="shared" si="44"/>
        <v>0</v>
      </c>
      <c r="R44" s="19">
        <f t="shared" si="44"/>
        <v>0</v>
      </c>
      <c r="S44" s="19">
        <f t="shared" si="44"/>
        <v>246794.31</v>
      </c>
      <c r="T44" s="19">
        <f t="shared" si="44"/>
        <v>38421.509999999995</v>
      </c>
      <c r="U44" s="19">
        <f t="shared" si="44"/>
        <v>26192.34</v>
      </c>
      <c r="V44" s="19">
        <f t="shared" si="44"/>
        <v>35444.89</v>
      </c>
      <c r="W44" s="19">
        <f t="shared" si="44"/>
        <v>85876.15</v>
      </c>
      <c r="X44" s="19">
        <f t="shared" si="44"/>
        <v>59017.58</v>
      </c>
      <c r="Y44" s="19">
        <f t="shared" si="44"/>
        <v>20954.199999999997</v>
      </c>
      <c r="Z44" s="19">
        <f t="shared" si="44"/>
        <v>0</v>
      </c>
      <c r="AA44" s="19">
        <f t="shared" si="44"/>
        <v>0</v>
      </c>
      <c r="AB44" s="19">
        <f t="shared" si="44"/>
        <v>227485.15999999997</v>
      </c>
      <c r="AC44" s="19">
        <f t="shared" si="44"/>
        <v>303438.08632630005</v>
      </c>
      <c r="AD44" s="19">
        <f t="shared" si="44"/>
        <v>0</v>
      </c>
      <c r="AE44" s="19">
        <f t="shared" si="44"/>
        <v>0</v>
      </c>
      <c r="AF44" s="19">
        <f t="shared" si="44"/>
        <v>41400.49164000001</v>
      </c>
      <c r="AG44" s="19">
        <f t="shared" si="44"/>
        <v>22099.992</v>
      </c>
      <c r="AH44" s="19">
        <f t="shared" si="44"/>
        <v>7405.2997904</v>
      </c>
      <c r="AI44" s="19">
        <f t="shared" si="44"/>
        <v>33626.0635055</v>
      </c>
      <c r="AJ44" s="19">
        <f t="shared" si="44"/>
        <v>3060.80343099</v>
      </c>
      <c r="AK44" s="19">
        <f t="shared" si="44"/>
        <v>33494.8966379</v>
      </c>
      <c r="AL44" s="19">
        <f t="shared" si="44"/>
        <v>3097.0311548219997</v>
      </c>
      <c r="AM44" s="19">
        <f t="shared" si="44"/>
        <v>75077.76371883968</v>
      </c>
      <c r="AN44" s="19">
        <f t="shared" si="44"/>
        <v>6782.2494693911385</v>
      </c>
      <c r="AO44" s="19">
        <f t="shared" si="44"/>
        <v>2103.84</v>
      </c>
      <c r="AP44" s="19">
        <f t="shared" si="44"/>
        <v>0</v>
      </c>
      <c r="AQ44" s="135">
        <f t="shared" si="44"/>
        <v>0</v>
      </c>
      <c r="AR44" s="135">
        <f t="shared" si="44"/>
        <v>0</v>
      </c>
      <c r="AS44" s="44">
        <f t="shared" si="44"/>
        <v>58357.14</v>
      </c>
      <c r="AT44" s="44">
        <f t="shared" si="44"/>
        <v>1421.07</v>
      </c>
      <c r="AU44" s="44">
        <f t="shared" si="44"/>
        <v>7885.4752</v>
      </c>
      <c r="AV44" s="19"/>
      <c r="AW44" s="19"/>
      <c r="AX44" s="19">
        <f t="shared" si="44"/>
        <v>11975.042000000001</v>
      </c>
      <c r="AY44" s="19">
        <f t="shared" si="44"/>
        <v>0</v>
      </c>
      <c r="AZ44" s="19">
        <f t="shared" si="44"/>
        <v>0</v>
      </c>
      <c r="BA44" s="19">
        <f t="shared" si="44"/>
        <v>0</v>
      </c>
      <c r="BB44" s="19">
        <f t="shared" si="44"/>
        <v>266386.66690784285</v>
      </c>
      <c r="BC44" s="19">
        <f t="shared" si="44"/>
        <v>16953.2044749942</v>
      </c>
      <c r="BD44" s="19">
        <f t="shared" si="44"/>
        <v>151267.187422837</v>
      </c>
      <c r="BE44" s="19">
        <f t="shared" si="44"/>
        <v>61498.70658346305</v>
      </c>
      <c r="BF44" s="19">
        <f t="shared" si="44"/>
        <v>-19309.149999999998</v>
      </c>
    </row>
  </sheetData>
  <sheetProtection/>
  <mergeCells count="67">
    <mergeCell ref="BA5:BA6"/>
    <mergeCell ref="BB5:BB6"/>
    <mergeCell ref="BC3:BD3"/>
    <mergeCell ref="BE3:BE6"/>
    <mergeCell ref="BF3:BF6"/>
    <mergeCell ref="BC4:BC6"/>
    <mergeCell ref="BD4:BD6"/>
    <mergeCell ref="AR5:AR6"/>
    <mergeCell ref="E3:F4"/>
    <mergeCell ref="G3:H4"/>
    <mergeCell ref="I3:J4"/>
    <mergeCell ref="K3:L4"/>
    <mergeCell ref="M3:N4"/>
    <mergeCell ref="O3:P4"/>
    <mergeCell ref="Q3:R4"/>
    <mergeCell ref="AH5:AH6"/>
    <mergeCell ref="AI5:AI6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N5:N6"/>
    <mergeCell ref="AQ5:AQ6"/>
    <mergeCell ref="I5:I6"/>
    <mergeCell ref="J5:J6"/>
    <mergeCell ref="K5:K6"/>
    <mergeCell ref="P5:P6"/>
    <mergeCell ref="Q5:Q6"/>
    <mergeCell ref="R5:R6"/>
    <mergeCell ref="L5:L6"/>
    <mergeCell ref="M5:M6"/>
    <mergeCell ref="AJ5:AJ6"/>
    <mergeCell ref="AE3:AE6"/>
    <mergeCell ref="T5:T6"/>
    <mergeCell ref="U5:U6"/>
    <mergeCell ref="AP5:AP6"/>
    <mergeCell ref="AK5:AK6"/>
    <mergeCell ref="AL5:AL6"/>
    <mergeCell ref="AM5:AM6"/>
    <mergeCell ref="AG3:BB4"/>
    <mergeCell ref="AT5:AT6"/>
    <mergeCell ref="AV5:AX5"/>
    <mergeCell ref="AO5:AO6"/>
    <mergeCell ref="AD3:AD6"/>
    <mergeCell ref="AY5:AY6"/>
    <mergeCell ref="O5:O6"/>
    <mergeCell ref="AB5:AB6"/>
    <mergeCell ref="AG5:AG6"/>
    <mergeCell ref="AF3:AF6"/>
    <mergeCell ref="S3:T4"/>
    <mergeCell ref="U3:AB4"/>
    <mergeCell ref="AC3:AC6"/>
    <mergeCell ref="AZ5:AZ6"/>
    <mergeCell ref="AS5:AS6"/>
    <mergeCell ref="S5:S6"/>
    <mergeCell ref="Z5:Z6"/>
    <mergeCell ref="AA5:AA6"/>
    <mergeCell ref="V5:V6"/>
    <mergeCell ref="W5:W6"/>
    <mergeCell ref="X5:X6"/>
    <mergeCell ref="Y5:Y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E7">
      <selection activeCell="A61" sqref="A61"/>
    </sheetView>
  </sheetViews>
  <sheetFormatPr defaultColWidth="9.00390625" defaultRowHeight="12.75"/>
  <cols>
    <col min="1" max="1" width="9.375" style="2" customWidth="1"/>
    <col min="2" max="2" width="8.375" style="2" customWidth="1"/>
    <col min="3" max="3" width="9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125" style="2" customWidth="1"/>
    <col min="10" max="10" width="9.25390625" style="2" customWidth="1"/>
    <col min="11" max="11" width="9.125" style="2" customWidth="1"/>
    <col min="12" max="13" width="10.125" style="2" customWidth="1"/>
    <col min="14" max="14" width="9.125" style="2" customWidth="1"/>
    <col min="15" max="15" width="10.375" style="2" customWidth="1"/>
    <col min="16" max="16" width="10.253906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83" t="s">
        <v>53</v>
      </c>
      <c r="C1" s="383"/>
      <c r="D1" s="383"/>
      <c r="E1" s="383"/>
      <c r="F1" s="383"/>
      <c r="G1" s="383"/>
      <c r="H1" s="383"/>
    </row>
    <row r="2" spans="2:8" ht="21" customHeight="1">
      <c r="B2" s="383" t="s">
        <v>54</v>
      </c>
      <c r="C2" s="383"/>
      <c r="D2" s="383"/>
      <c r="E2" s="383"/>
      <c r="F2" s="383"/>
      <c r="G2" s="383"/>
      <c r="H2" s="383"/>
    </row>
    <row r="5" spans="1:17" ht="12.75">
      <c r="A5" s="385" t="s">
        <v>75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7" ht="12.75">
      <c r="A6" s="386" t="s">
        <v>93</v>
      </c>
      <c r="B6" s="386"/>
      <c r="C6" s="386"/>
      <c r="D6" s="386"/>
      <c r="E6" s="386"/>
      <c r="F6" s="386"/>
      <c r="G6" s="386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6" ht="13.5" thickBot="1">
      <c r="A8" s="384" t="s">
        <v>55</v>
      </c>
      <c r="B8" s="384"/>
      <c r="C8" s="384"/>
      <c r="D8" s="384"/>
      <c r="E8" s="384">
        <v>8.65</v>
      </c>
      <c r="F8" s="384"/>
    </row>
    <row r="9" spans="1:18" ht="12.75" customHeight="1">
      <c r="A9" s="359" t="s">
        <v>56</v>
      </c>
      <c r="B9" s="362" t="s">
        <v>0</v>
      </c>
      <c r="C9" s="377" t="s">
        <v>57</v>
      </c>
      <c r="D9" s="380" t="s">
        <v>2</v>
      </c>
      <c r="E9" s="370" t="s">
        <v>58</v>
      </c>
      <c r="F9" s="327"/>
      <c r="G9" s="373" t="s">
        <v>59</v>
      </c>
      <c r="H9" s="374"/>
      <c r="I9" s="344" t="str">
        <f>Лист1!AD3</f>
        <v>Собрано по отоплению</v>
      </c>
      <c r="J9" s="350" t="s">
        <v>8</v>
      </c>
      <c r="K9" s="351"/>
      <c r="L9" s="351"/>
      <c r="M9" s="351"/>
      <c r="N9" s="351"/>
      <c r="O9" s="352"/>
      <c r="P9" s="347" t="s">
        <v>76</v>
      </c>
      <c r="Q9" s="356" t="s">
        <v>60</v>
      </c>
      <c r="R9" s="356" t="s">
        <v>10</v>
      </c>
    </row>
    <row r="10" spans="1:18" ht="12.75">
      <c r="A10" s="360"/>
      <c r="B10" s="363"/>
      <c r="C10" s="378"/>
      <c r="D10" s="381"/>
      <c r="E10" s="371"/>
      <c r="F10" s="372"/>
      <c r="G10" s="375"/>
      <c r="H10" s="376"/>
      <c r="I10" s="345"/>
      <c r="J10" s="353"/>
      <c r="K10" s="354"/>
      <c r="L10" s="354"/>
      <c r="M10" s="354"/>
      <c r="N10" s="354"/>
      <c r="O10" s="355"/>
      <c r="P10" s="348"/>
      <c r="Q10" s="357"/>
      <c r="R10" s="357"/>
    </row>
    <row r="11" spans="1:18" ht="26.25" customHeight="1">
      <c r="A11" s="360"/>
      <c r="B11" s="363"/>
      <c r="C11" s="378"/>
      <c r="D11" s="381"/>
      <c r="E11" s="365" t="s">
        <v>61</v>
      </c>
      <c r="F11" s="330"/>
      <c r="G11" s="76" t="s">
        <v>62</v>
      </c>
      <c r="H11" s="339" t="s">
        <v>5</v>
      </c>
      <c r="I11" s="345"/>
      <c r="J11" s="366" t="s">
        <v>63</v>
      </c>
      <c r="K11" s="368" t="s">
        <v>30</v>
      </c>
      <c r="L11" s="368" t="s">
        <v>64</v>
      </c>
      <c r="M11" s="368" t="s">
        <v>35</v>
      </c>
      <c r="N11" s="368" t="s">
        <v>65</v>
      </c>
      <c r="O11" s="339" t="s">
        <v>37</v>
      </c>
      <c r="P11" s="348"/>
      <c r="Q11" s="357"/>
      <c r="R11" s="357"/>
    </row>
    <row r="12" spans="1:18" ht="66.75" customHeight="1" thickBot="1">
      <c r="A12" s="361"/>
      <c r="B12" s="364"/>
      <c r="C12" s="379"/>
      <c r="D12" s="382"/>
      <c r="E12" s="50" t="s">
        <v>66</v>
      </c>
      <c r="F12" s="54" t="s">
        <v>19</v>
      </c>
      <c r="G12" s="69" t="s">
        <v>67</v>
      </c>
      <c r="H12" s="340"/>
      <c r="I12" s="346"/>
      <c r="J12" s="367"/>
      <c r="K12" s="369"/>
      <c r="L12" s="369"/>
      <c r="M12" s="369"/>
      <c r="N12" s="369"/>
      <c r="O12" s="340"/>
      <c r="P12" s="349"/>
      <c r="Q12" s="358"/>
      <c r="R12" s="358"/>
    </row>
    <row r="13" spans="1:18" ht="13.5" thickBot="1">
      <c r="A13" s="51">
        <v>1</v>
      </c>
      <c r="B13" s="52">
        <v>2</v>
      </c>
      <c r="C13" s="51">
        <v>3</v>
      </c>
      <c r="D13" s="52">
        <v>4</v>
      </c>
      <c r="E13" s="51">
        <v>5</v>
      </c>
      <c r="F13" s="52">
        <v>6</v>
      </c>
      <c r="G13" s="51">
        <v>7</v>
      </c>
      <c r="H13" s="52">
        <v>8</v>
      </c>
      <c r="I13" s="51">
        <v>9</v>
      </c>
      <c r="J13" s="52">
        <v>10</v>
      </c>
      <c r="K13" s="51">
        <v>11</v>
      </c>
      <c r="L13" s="52">
        <v>12</v>
      </c>
      <c r="M13" s="51">
        <v>13</v>
      </c>
      <c r="N13" s="52">
        <v>14</v>
      </c>
      <c r="O13" s="51">
        <v>15</v>
      </c>
      <c r="P13" s="52">
        <v>16</v>
      </c>
      <c r="Q13" s="51">
        <v>17</v>
      </c>
      <c r="R13" s="53">
        <v>18</v>
      </c>
    </row>
    <row r="14" spans="1:18" ht="12.75" hidden="1">
      <c r="A14" s="7" t="s">
        <v>38</v>
      </c>
      <c r="B14" s="8"/>
      <c r="C14" s="21"/>
      <c r="D14" s="7"/>
      <c r="E14" s="8"/>
      <c r="F14" s="9"/>
      <c r="G14" s="7"/>
      <c r="H14" s="9"/>
      <c r="I14" s="73"/>
      <c r="J14" s="7"/>
      <c r="K14" s="8"/>
      <c r="L14" s="8"/>
      <c r="M14" s="8"/>
      <c r="N14" s="8"/>
      <c r="O14" s="9"/>
      <c r="P14" s="70"/>
      <c r="Q14" s="64"/>
      <c r="R14" s="61"/>
    </row>
    <row r="15" spans="1:18" ht="12.75" hidden="1">
      <c r="A15" s="11" t="s">
        <v>39</v>
      </c>
      <c r="B15" s="71">
        <f>Лист1!B9</f>
        <v>1384.2</v>
      </c>
      <c r="C15" s="22">
        <f>B15*8.65</f>
        <v>11973.330000000002</v>
      </c>
      <c r="D15" s="23">
        <f>Лист1!D9</f>
        <v>2884.1357304000007</v>
      </c>
      <c r="E15" s="12">
        <f>Лист1!S9</f>
        <v>8987.08</v>
      </c>
      <c r="F15" s="25">
        <f>Лист1!T9</f>
        <v>1779.14</v>
      </c>
      <c r="G15" s="24">
        <f>Лист1!AB9</f>
        <v>106.7</v>
      </c>
      <c r="H15" s="25">
        <f>Лист1!AC9</f>
        <v>4769.9757304</v>
      </c>
      <c r="I15" s="74">
        <f>Лист1!AD9</f>
        <v>0</v>
      </c>
      <c r="J15" s="24">
        <f>Лист1!AG9</f>
        <v>830.52</v>
      </c>
      <c r="K15" s="12">
        <f>Лист1!AI9+Лист1!AJ9</f>
        <v>1391.2926408</v>
      </c>
      <c r="L15" s="12">
        <f>Лист1!AH9+Лист1!AK9+Лист1!AL9+Лист1!AM9+Лист1!AN9+Лист1!AO9+Лист1!AP9</f>
        <v>4885.38592902</v>
      </c>
      <c r="M15" s="26">
        <f>Лист1!AS9+Лист1!AT9+Лист1!AU9</f>
        <v>2987.6656000000003</v>
      </c>
      <c r="N15" s="26">
        <f>Лист1!AX9</f>
        <v>0</v>
      </c>
      <c r="O15" s="25">
        <f>Лист1!BB9</f>
        <v>10094.86416982</v>
      </c>
      <c r="P15" s="77">
        <f>Лист1!BD9</f>
        <v>10094.86416982</v>
      </c>
      <c r="Q15" s="62">
        <f>Лист1!BE9</f>
        <v>-5324.88843942</v>
      </c>
      <c r="R15" s="62">
        <f>Лист1!BF9</f>
        <v>-8880.38</v>
      </c>
    </row>
    <row r="16" spans="1:18" ht="12.75" hidden="1">
      <c r="A16" s="11" t="s">
        <v>40</v>
      </c>
      <c r="B16" s="71">
        <f>Лист1!B10</f>
        <v>1384.2</v>
      </c>
      <c r="C16" s="22">
        <f aca="true" t="shared" si="0" ref="C16:C31">B16*8.65</f>
        <v>11973.330000000002</v>
      </c>
      <c r="D16" s="23">
        <f>Лист1!D10</f>
        <v>2884.1357304000007</v>
      </c>
      <c r="E16" s="12">
        <f>Лист1!S10</f>
        <v>8739.61</v>
      </c>
      <c r="F16" s="25">
        <f>Лист1!T10</f>
        <v>1698.67</v>
      </c>
      <c r="G16" s="24">
        <f>Лист1!AB10</f>
        <v>6523.75</v>
      </c>
      <c r="H16" s="25">
        <f>Лист1!AC10</f>
        <v>11106.555730400001</v>
      </c>
      <c r="I16" s="74">
        <f>Лист1!AD10</f>
        <v>0</v>
      </c>
      <c r="J16" s="24">
        <f>Лист1!AG10</f>
        <v>830.52</v>
      </c>
      <c r="K16" s="12">
        <f>Лист1!AI10+Лист1!AJ10</f>
        <v>1391.2926408</v>
      </c>
      <c r="L16" s="12">
        <f>Лист1!AH10+Лист1!AK10+Лист1!AL10+Лист1!AM10+Лист1!AN10+Лист1!AO10+Лист1!AP10</f>
        <v>4870.64143062</v>
      </c>
      <c r="M16" s="26">
        <f>Лист1!AS10+Лист1!AT10+Лист1!AU10</f>
        <v>23447.78</v>
      </c>
      <c r="N16" s="26">
        <f>Лист1!AX10</f>
        <v>0</v>
      </c>
      <c r="O16" s="25">
        <f>Лист1!BB10</f>
        <v>30540.23407142</v>
      </c>
      <c r="P16" s="77">
        <f>Лист1!BD10</f>
        <v>30540.23407142</v>
      </c>
      <c r="Q16" s="62">
        <f>Лист1!BE10</f>
        <v>-19433.67834102</v>
      </c>
      <c r="R16" s="62">
        <f>Лист1!BF10</f>
        <v>-2215.8600000000006</v>
      </c>
    </row>
    <row r="17" spans="1:20" ht="13.5" hidden="1" thickBot="1">
      <c r="A17" s="27" t="s">
        <v>41</v>
      </c>
      <c r="B17" s="71">
        <f>Лист1!B11</f>
        <v>1384.2</v>
      </c>
      <c r="C17" s="28">
        <f t="shared" si="0"/>
        <v>11973.330000000002</v>
      </c>
      <c r="D17" s="23">
        <f>Лист1!D11</f>
        <v>2877.7898655000004</v>
      </c>
      <c r="E17" s="12">
        <f>Лист1!S11</f>
        <v>6793.579999999999</v>
      </c>
      <c r="F17" s="25">
        <f>Лист1!T11</f>
        <v>1774.5800000000002</v>
      </c>
      <c r="G17" s="24">
        <f>Лист1!AB11</f>
        <v>8426.97</v>
      </c>
      <c r="H17" s="25">
        <f>Лист1!AC11</f>
        <v>13079.3398655</v>
      </c>
      <c r="I17" s="74">
        <f>Лист1!AD11</f>
        <v>0</v>
      </c>
      <c r="J17" s="24">
        <f>Лист1!AG11</f>
        <v>830.52</v>
      </c>
      <c r="K17" s="12">
        <f>Лист1!AI11+Лист1!AJ11</f>
        <v>1387.24191792</v>
      </c>
      <c r="L17" s="12">
        <f>Лист1!AH11+Лист1!AK11+Лист1!AL11+Лист1!AM11+Лист1!AN11+Лист1!AO11+Лист1!AP11</f>
        <v>4862.897703666</v>
      </c>
      <c r="M17" s="26">
        <f>Лист1!AS11+Лист1!AT11+Лист1!AU11</f>
        <v>0</v>
      </c>
      <c r="N17" s="26">
        <f>Лист1!AX11</f>
        <v>0</v>
      </c>
      <c r="O17" s="25">
        <f>Лист1!BB11</f>
        <v>7080.659621586001</v>
      </c>
      <c r="P17" s="77">
        <f>Лист1!BD11</f>
        <v>7080.659621586001</v>
      </c>
      <c r="Q17" s="62">
        <f>Лист1!BE11</f>
        <v>5998.680243913999</v>
      </c>
      <c r="R17" s="62">
        <f>Лист1!BF11</f>
        <v>1633.3900000000003</v>
      </c>
      <c r="S17" s="1"/>
      <c r="T17" s="1"/>
    </row>
    <row r="18" spans="1:20" s="16" customFormat="1" ht="13.5" hidden="1" thickBot="1">
      <c r="A18" s="29" t="s">
        <v>3</v>
      </c>
      <c r="B18" s="30"/>
      <c r="C18" s="31">
        <f>SUM(C15:C17)</f>
        <v>35919.990000000005</v>
      </c>
      <c r="D18" s="55">
        <f aca="true" t="shared" si="1" ref="D18:J18">SUM(D15:D17)</f>
        <v>8646.061326300001</v>
      </c>
      <c r="E18" s="31">
        <f t="shared" si="1"/>
        <v>24520.27</v>
      </c>
      <c r="F18" s="56">
        <f t="shared" si="1"/>
        <v>5252.39</v>
      </c>
      <c r="G18" s="55">
        <f t="shared" si="1"/>
        <v>15057.419999999998</v>
      </c>
      <c r="H18" s="56">
        <f t="shared" si="1"/>
        <v>28955.871326300003</v>
      </c>
      <c r="I18" s="56">
        <f t="shared" si="1"/>
        <v>0</v>
      </c>
      <c r="J18" s="55">
        <f t="shared" si="1"/>
        <v>2491.56</v>
      </c>
      <c r="K18" s="31">
        <f aca="true" t="shared" si="2" ref="K18:R18">SUM(K15:K17)</f>
        <v>4169.82719952</v>
      </c>
      <c r="L18" s="31">
        <f t="shared" si="2"/>
        <v>14618.925063306</v>
      </c>
      <c r="M18" s="31">
        <f t="shared" si="2"/>
        <v>26435.4456</v>
      </c>
      <c r="N18" s="31">
        <f t="shared" si="2"/>
        <v>0</v>
      </c>
      <c r="O18" s="56">
        <f t="shared" si="2"/>
        <v>47715.75786282601</v>
      </c>
      <c r="P18" s="56">
        <f t="shared" si="2"/>
        <v>47715.75786282601</v>
      </c>
      <c r="Q18" s="63">
        <f t="shared" si="2"/>
        <v>-18759.886536526</v>
      </c>
      <c r="R18" s="63">
        <f t="shared" si="2"/>
        <v>-9462.849999999999</v>
      </c>
      <c r="S18" s="58"/>
      <c r="T18" s="59"/>
    </row>
    <row r="19" spans="1:20" ht="12.75" hidden="1">
      <c r="A19" s="7" t="s">
        <v>42</v>
      </c>
      <c r="B19" s="35"/>
      <c r="C19" s="36"/>
      <c r="D19" s="37"/>
      <c r="E19" s="38"/>
      <c r="F19" s="40"/>
      <c r="G19" s="39"/>
      <c r="H19" s="40"/>
      <c r="I19" s="75"/>
      <c r="J19" s="39"/>
      <c r="K19" s="12"/>
      <c r="L19" s="12"/>
      <c r="M19" s="26"/>
      <c r="N19" s="57"/>
      <c r="O19" s="25"/>
      <c r="P19" s="77"/>
      <c r="Q19" s="62"/>
      <c r="R19" s="62"/>
      <c r="S19" s="1"/>
      <c r="T19" s="1"/>
    </row>
    <row r="20" spans="1:20" ht="12.75" hidden="1">
      <c r="A20" s="11" t="s">
        <v>43</v>
      </c>
      <c r="B20" s="71">
        <f>Лист1!B14</f>
        <v>1384.2</v>
      </c>
      <c r="C20" s="22">
        <f t="shared" si="0"/>
        <v>11973.330000000002</v>
      </c>
      <c r="D20" s="23">
        <f>Лист1!D14</f>
        <v>1496.6662500000002</v>
      </c>
      <c r="E20" s="12">
        <f>Лист1!S14</f>
        <v>8052.390000000001</v>
      </c>
      <c r="F20" s="25">
        <f>Лист1!T14</f>
        <v>1774.5900000000001</v>
      </c>
      <c r="G20" s="24">
        <f>Лист1!AB14</f>
        <v>6546.2699999999995</v>
      </c>
      <c r="H20" s="25">
        <f>Лист1!AC14</f>
        <v>9817.526249999999</v>
      </c>
      <c r="I20" s="74">
        <f>Лист1!AD14</f>
        <v>0</v>
      </c>
      <c r="J20" s="24">
        <f>Лист1!AG14</f>
        <v>747.468</v>
      </c>
      <c r="K20" s="12">
        <f>Лист1!AI14+Лист1!AJ14</f>
        <v>1203.6781042</v>
      </c>
      <c r="L20" s="12">
        <f>Лист1!AH14+Лист1!AK14+Лист1!AL14+Лист1!AM14+Лист1!AN14+Лист1!AO14+Лист1!AP14</f>
        <v>4133.857350636</v>
      </c>
      <c r="M20" s="26">
        <f>Лист1!AS14+Лист1!AT14+Лист1!AU14</f>
        <v>2950.01</v>
      </c>
      <c r="N20" s="26">
        <f>Лист1!AX14</f>
        <v>0</v>
      </c>
      <c r="O20" s="25">
        <f>Лист1!BB14</f>
        <v>9035.013454836</v>
      </c>
      <c r="P20" s="77">
        <f>Лист1!BD14</f>
        <v>9035.013454836</v>
      </c>
      <c r="Q20" s="62">
        <f>Лист1!BE14</f>
        <v>782.5127951639988</v>
      </c>
      <c r="R20" s="62">
        <f>Лист1!BF14</f>
        <v>-1506.1200000000017</v>
      </c>
      <c r="S20" s="1"/>
      <c r="T20" s="1"/>
    </row>
    <row r="21" spans="1:20" ht="12.75" hidden="1">
      <c r="A21" s="11" t="s">
        <v>44</v>
      </c>
      <c r="B21" s="71">
        <f>Лист1!B15</f>
        <v>1384.2</v>
      </c>
      <c r="C21" s="22">
        <f t="shared" si="0"/>
        <v>11973.330000000002</v>
      </c>
      <c r="D21" s="23">
        <f>Лист1!D15</f>
        <v>1496.6662500000002</v>
      </c>
      <c r="E21" s="12">
        <f>Лист1!S15</f>
        <v>7939.929999999999</v>
      </c>
      <c r="F21" s="25">
        <f>Лист1!T15</f>
        <v>1774.5900000000001</v>
      </c>
      <c r="G21" s="24">
        <f>Лист1!AB15</f>
        <v>7131.880000000001</v>
      </c>
      <c r="H21" s="25">
        <f>Лист1!AC15</f>
        <v>10403.136250000001</v>
      </c>
      <c r="I21" s="74">
        <f>Лист1!AD15</f>
        <v>0</v>
      </c>
      <c r="J21" s="24">
        <f>Лист1!AG15</f>
        <v>747.468</v>
      </c>
      <c r="K21" s="12">
        <f>Лист1!AI15+Лист1!AJ15</f>
        <v>1203.7017042</v>
      </c>
      <c r="L21" s="12">
        <f>Лист1!AH15+Лист1!AK15+Лист1!AL15+Лист1!AM15+Лист1!AN15+Лист1!AO15+Лист1!AP15</f>
        <v>4139.825052096</v>
      </c>
      <c r="M21" s="26">
        <f>Лист1!AS15+Лист1!AT15+Лист1!AU15</f>
        <v>3422</v>
      </c>
      <c r="N21" s="26">
        <f>Лист1!AX15</f>
        <v>0</v>
      </c>
      <c r="O21" s="25">
        <f>Лист1!BB15</f>
        <v>9512.994756296</v>
      </c>
      <c r="P21" s="77">
        <f>Лист1!BD15</f>
        <v>9512.994756296</v>
      </c>
      <c r="Q21" s="62">
        <f>Лист1!BE15</f>
        <v>890.1414937040008</v>
      </c>
      <c r="R21" s="62">
        <f>Лист1!BF15</f>
        <v>-808.0499999999984</v>
      </c>
      <c r="S21" s="1"/>
      <c r="T21" s="1"/>
    </row>
    <row r="22" spans="1:20" ht="12.75" hidden="1">
      <c r="A22" s="11" t="s">
        <v>45</v>
      </c>
      <c r="B22" s="71">
        <f>Лист1!B16</f>
        <v>1384.2</v>
      </c>
      <c r="C22" s="22">
        <f t="shared" si="0"/>
        <v>11973.330000000002</v>
      </c>
      <c r="D22" s="23">
        <f>Лист1!D16</f>
        <v>1496.6662500000002</v>
      </c>
      <c r="E22" s="12">
        <f>Лист1!S16</f>
        <v>7647.599999999999</v>
      </c>
      <c r="F22" s="25">
        <f>Лист1!T16</f>
        <v>1774.5800000000002</v>
      </c>
      <c r="G22" s="24">
        <f>Лист1!AB16</f>
        <v>8371.53</v>
      </c>
      <c r="H22" s="25">
        <f>Лист1!AC16</f>
        <v>11642.77625</v>
      </c>
      <c r="I22" s="74">
        <f>Лист1!AD16</f>
        <v>0</v>
      </c>
      <c r="J22" s="24">
        <f>Лист1!AG16</f>
        <v>747.468</v>
      </c>
      <c r="K22" s="12">
        <f>Лист1!AI16+Лист1!AJ16</f>
        <v>1204.3958805</v>
      </c>
      <c r="L22" s="12">
        <f>Лист1!AH16+Лист1!AK16+Лист1!AL16+Лист1!AM16+Лист1!AN16+Лист1!AO16+Лист1!AP16</f>
        <v>4002.119437716</v>
      </c>
      <c r="M22" s="26">
        <f>Лист1!AS16+Лист1!AT16+Лист1!AU16</f>
        <v>939.28</v>
      </c>
      <c r="N22" s="26">
        <f>Лист1!AX16</f>
        <v>0</v>
      </c>
      <c r="O22" s="25">
        <f>Лист1!BB16</f>
        <v>6893.263318216001</v>
      </c>
      <c r="P22" s="77">
        <f>Лист1!BD16</f>
        <v>6893.263318216001</v>
      </c>
      <c r="Q22" s="62">
        <f>Лист1!BE16</f>
        <v>4749.512931784</v>
      </c>
      <c r="R22" s="62">
        <f>Лист1!BF16</f>
        <v>723.9300000000012</v>
      </c>
      <c r="S22" s="1"/>
      <c r="T22" s="1"/>
    </row>
    <row r="23" spans="1:20" ht="12.75" hidden="1">
      <c r="A23" s="11" t="s">
        <v>46</v>
      </c>
      <c r="B23" s="71">
        <f>Лист1!B17</f>
        <v>1384.2</v>
      </c>
      <c r="C23" s="22">
        <f t="shared" si="0"/>
        <v>11973.330000000002</v>
      </c>
      <c r="D23" s="23">
        <f>Лист1!D17</f>
        <v>1496.6662500000002</v>
      </c>
      <c r="E23" s="12">
        <f>Лист1!S17</f>
        <v>8019.34</v>
      </c>
      <c r="F23" s="25">
        <f>Лист1!T17</f>
        <v>1774.5900000000001</v>
      </c>
      <c r="G23" s="24">
        <f>Лист1!AB17</f>
        <v>7865.82</v>
      </c>
      <c r="H23" s="25">
        <f>Лист1!AC17</f>
        <v>11137.07625</v>
      </c>
      <c r="I23" s="74">
        <f>Лист1!AD17</f>
        <v>0</v>
      </c>
      <c r="J23" s="24">
        <f>Лист1!AG17</f>
        <v>747.468</v>
      </c>
      <c r="K23" s="12">
        <f>Лист1!AI17+Лист1!AJ17</f>
        <v>1240.35421284</v>
      </c>
      <c r="L23" s="12">
        <f>Лист1!AH17+Лист1!AK17+Лист1!AL17+Лист1!AM17+Лист1!AN17+Лист1!AO17+Лист1!AP17</f>
        <v>4058.8251009120004</v>
      </c>
      <c r="M23" s="26">
        <f>Лист1!AS17+Лист1!AT17+Лист1!AU17</f>
        <v>13421.5796</v>
      </c>
      <c r="N23" s="26">
        <f>Лист1!AX17</f>
        <v>2121.17</v>
      </c>
      <c r="O23" s="25">
        <f>Лист1!BB17</f>
        <v>21589.396913751996</v>
      </c>
      <c r="P23" s="77">
        <f>Лист1!BD17</f>
        <v>21589.396913751996</v>
      </c>
      <c r="Q23" s="62">
        <f>Лист1!BE17</f>
        <v>-10452.320663751996</v>
      </c>
      <c r="R23" s="62">
        <f>Лист1!BF17</f>
        <v>-153.52000000000044</v>
      </c>
      <c r="S23" s="1"/>
      <c r="T23" s="1"/>
    </row>
    <row r="24" spans="1:20" ht="12.75" hidden="1">
      <c r="A24" s="11" t="s">
        <v>47</v>
      </c>
      <c r="B24" s="71">
        <f>Лист1!B18</f>
        <v>1384.2</v>
      </c>
      <c r="C24" s="22">
        <f t="shared" si="0"/>
        <v>11973.330000000002</v>
      </c>
      <c r="D24" s="23">
        <f>Лист1!D18</f>
        <v>1179.2000000000007</v>
      </c>
      <c r="E24" s="12">
        <f>Лист1!S18</f>
        <v>8827.52</v>
      </c>
      <c r="F24" s="25">
        <f>Лист1!T18</f>
        <v>1966.6100000000001</v>
      </c>
      <c r="G24" s="24">
        <f>Лист1!AB18</f>
        <v>6573.19</v>
      </c>
      <c r="H24" s="25">
        <f>Лист1!AC18</f>
        <v>9719</v>
      </c>
      <c r="I24" s="74">
        <f>Лист1!AD18</f>
        <v>0</v>
      </c>
      <c r="J24" s="24">
        <f>Лист1!AG18</f>
        <v>830.52</v>
      </c>
      <c r="K24" s="12">
        <f>Лист1!AI18+Лист1!AJ18</f>
        <v>1388.3526</v>
      </c>
      <c r="L24" s="12">
        <f>Лист1!AH18+Лист1!AK18+Лист1!AL18+Лист1!AM18+Лист1!AN18+Лист1!AO18+Лист1!AP18</f>
        <v>4755.00384</v>
      </c>
      <c r="M24" s="26">
        <f>Лист1!AS18+Лист1!AT18+Лист1!AU18</f>
        <v>3781.428</v>
      </c>
      <c r="N24" s="26">
        <f>Лист1!AX18</f>
        <v>347.5808</v>
      </c>
      <c r="O24" s="25">
        <f>Лист1!BB18</f>
        <v>11102.88524</v>
      </c>
      <c r="P24" s="77">
        <f>Лист1!BD18</f>
        <v>11102.88524</v>
      </c>
      <c r="Q24" s="62">
        <f>Лист1!BE18</f>
        <v>-1383.8852399999996</v>
      </c>
      <c r="R24" s="62">
        <f>Лист1!BF18</f>
        <v>-2254.330000000001</v>
      </c>
      <c r="S24" s="1"/>
      <c r="T24" s="1"/>
    </row>
    <row r="25" spans="1:20" ht="12.75" hidden="1">
      <c r="A25" s="11" t="s">
        <v>48</v>
      </c>
      <c r="B25" s="71">
        <f>Лист1!B19</f>
        <v>1384.2</v>
      </c>
      <c r="C25" s="22">
        <f t="shared" si="0"/>
        <v>11973.330000000002</v>
      </c>
      <c r="D25" s="23">
        <f>Лист1!D19</f>
        <v>1159.5200000000023</v>
      </c>
      <c r="E25" s="12">
        <f>Лист1!S19</f>
        <v>8899.43</v>
      </c>
      <c r="F25" s="25">
        <f>Лист1!T19</f>
        <v>1914.38</v>
      </c>
      <c r="G25" s="24">
        <f>Лист1!AB19</f>
        <v>7403.179999999999</v>
      </c>
      <c r="H25" s="25">
        <f>Лист1!AC19</f>
        <v>10477.080000000002</v>
      </c>
      <c r="I25" s="74">
        <f>Лист1!AD19</f>
        <v>0</v>
      </c>
      <c r="J25" s="24">
        <f>Лист1!AG19</f>
        <v>830.52</v>
      </c>
      <c r="K25" s="12">
        <f>Лист1!AI19+Лист1!AJ19</f>
        <v>1388.3526</v>
      </c>
      <c r="L25" s="12">
        <f>Лист1!AH19+Лист1!AK19+Лист1!AL19+Лист1!AM19+Лист1!AN19+Лист1!AO19+Лист1!AP19</f>
        <v>4755.128418</v>
      </c>
      <c r="M25" s="26">
        <f>Лист1!AS19+Лист1!AT19+Лист1!AU19</f>
        <v>0</v>
      </c>
      <c r="N25" s="26">
        <f>Лист1!AX19</f>
        <v>307.93280000000004</v>
      </c>
      <c r="O25" s="25">
        <f>Лист1!BB19</f>
        <v>7281.933818000001</v>
      </c>
      <c r="P25" s="77">
        <f>Лист1!BD19</f>
        <v>7281.933818000001</v>
      </c>
      <c r="Q25" s="62">
        <f>Лист1!BE19</f>
        <v>3195.1461820000004</v>
      </c>
      <c r="R25" s="62">
        <f>Лист1!BF19</f>
        <v>-1496.250000000001</v>
      </c>
      <c r="S25" s="1"/>
      <c r="T25" s="1"/>
    </row>
    <row r="26" spans="1:20" ht="12.75" hidden="1">
      <c r="A26" s="11" t="s">
        <v>49</v>
      </c>
      <c r="B26" s="71">
        <f>Лист1!B20</f>
        <v>1384.2</v>
      </c>
      <c r="C26" s="22">
        <f t="shared" si="0"/>
        <v>11973.330000000002</v>
      </c>
      <c r="D26" s="23">
        <f>Лист1!D20</f>
        <v>1144.6200000000026</v>
      </c>
      <c r="E26" s="12">
        <f>Лист1!S20</f>
        <v>8982.61</v>
      </c>
      <c r="F26" s="25">
        <f>Лист1!T20</f>
        <v>1846.1000000000001</v>
      </c>
      <c r="G26" s="24">
        <f>Лист1!AB20</f>
        <v>9877.41</v>
      </c>
      <c r="H26" s="25">
        <f>Лист1!AC20</f>
        <v>12868.130000000003</v>
      </c>
      <c r="I26" s="74">
        <f>Лист1!AD20</f>
        <v>0</v>
      </c>
      <c r="J26" s="24">
        <f>Лист1!AG20</f>
        <v>830.52</v>
      </c>
      <c r="K26" s="12">
        <f>Лист1!AI20+Лист1!AJ20</f>
        <v>1368.49915782</v>
      </c>
      <c r="L26" s="12">
        <f>Лист1!AH20+Лист1!AK20+Лист1!AL20+Лист1!AM20+Лист1!AN20+Лист1!AO20+Лист1!AP20</f>
        <v>4708.13012172</v>
      </c>
      <c r="M26" s="26">
        <f>Лист1!AS20+Лист1!AT20+Лист1!AU20</f>
        <v>0</v>
      </c>
      <c r="N26" s="26">
        <f>Лист1!AX20</f>
        <v>327.75680000000006</v>
      </c>
      <c r="O26" s="25">
        <f>Лист1!BB20</f>
        <v>7234.90607954</v>
      </c>
      <c r="P26" s="77">
        <f>Лист1!BD20</f>
        <v>6220.079581800001</v>
      </c>
      <c r="Q26" s="62">
        <f>Лист1!BE20</f>
        <v>6648.050418200002</v>
      </c>
      <c r="R26" s="62">
        <f>Лист1!BF20</f>
        <v>894.7999999999993</v>
      </c>
      <c r="S26" s="1"/>
      <c r="T26" s="1"/>
    </row>
    <row r="27" spans="1:20" ht="12.75" hidden="1">
      <c r="A27" s="11" t="s">
        <v>50</v>
      </c>
      <c r="B27" s="71">
        <f>Лист1!B21</f>
        <v>1384.2</v>
      </c>
      <c r="C27" s="22">
        <f t="shared" si="0"/>
        <v>11973.330000000002</v>
      </c>
      <c r="D27" s="23">
        <f>Лист1!D21</f>
        <v>1144.6200000000026</v>
      </c>
      <c r="E27" s="12">
        <f>Лист1!S21</f>
        <v>8982.61</v>
      </c>
      <c r="F27" s="25">
        <f>Лист1!T21</f>
        <v>1846.1000000000001</v>
      </c>
      <c r="G27" s="24">
        <f>Лист1!AB21</f>
        <v>9551.97</v>
      </c>
      <c r="H27" s="25">
        <f>Лист1!AC21</f>
        <v>12542.690000000002</v>
      </c>
      <c r="I27" s="74">
        <f>Лист1!AD21</f>
        <v>0</v>
      </c>
      <c r="J27" s="24">
        <f>Лист1!AG21</f>
        <v>830.52</v>
      </c>
      <c r="K27" s="12">
        <f>Лист1!AI21+Лист1!AJ21</f>
        <v>1367.888282676</v>
      </c>
      <c r="L27" s="12">
        <f>Лист1!AH21+Лист1!AK21+Лист1!AL21+Лист1!AM21+Лист1!AN21+Лист1!AO21+Лист1!AP21</f>
        <v>4707.1354356</v>
      </c>
      <c r="M27" s="26">
        <f>Лист1!AS21+Лист1!AT21+Лист1!AU21</f>
        <v>0</v>
      </c>
      <c r="N27" s="26">
        <f>Лист1!AX21</f>
        <v>387.22880000000004</v>
      </c>
      <c r="O27" s="25">
        <f>Лист1!BB21</f>
        <v>7292.7725182760005</v>
      </c>
      <c r="P27" s="77">
        <f>Лист1!BD21</f>
        <v>6277.639138054001</v>
      </c>
      <c r="Q27" s="62">
        <f>Лист1!BE21</f>
        <v>6265.0508619460015</v>
      </c>
      <c r="R27" s="62">
        <f>Лист1!BF21</f>
        <v>569.3599999999988</v>
      </c>
      <c r="S27" s="1"/>
      <c r="T27" s="1"/>
    </row>
    <row r="28" spans="1:20" ht="12.75" hidden="1">
      <c r="A28" s="11" t="s">
        <v>51</v>
      </c>
      <c r="B28" s="71">
        <f>Лист1!B22</f>
        <v>1384.2</v>
      </c>
      <c r="C28" s="22">
        <f t="shared" si="0"/>
        <v>11973.330000000002</v>
      </c>
      <c r="D28" s="23">
        <f>Лист1!D22</f>
        <v>1144.630000000001</v>
      </c>
      <c r="E28" s="12">
        <f>Лист1!S22</f>
        <v>8982.6</v>
      </c>
      <c r="F28" s="25">
        <f>Лист1!T22</f>
        <v>1846.1000000000001</v>
      </c>
      <c r="G28" s="24">
        <f>Лист1!AB22</f>
        <v>8642.77</v>
      </c>
      <c r="H28" s="25">
        <f>Лист1!AC22</f>
        <v>11633.500000000002</v>
      </c>
      <c r="I28" s="74">
        <f>Лист1!AD22</f>
        <v>0</v>
      </c>
      <c r="J28" s="24">
        <f>Лист1!AG22</f>
        <v>830.52</v>
      </c>
      <c r="K28" s="12">
        <f>Лист1!AI22+Лист1!AJ22</f>
        <v>1367.652262734</v>
      </c>
      <c r="L28" s="12">
        <f>Лист1!AH22+Лист1!AK22+Лист1!AL22+Лист1!AM22+Лист1!AN22+Лист1!AO22+Лист1!AP22</f>
        <v>4706.5169113668</v>
      </c>
      <c r="M28" s="26">
        <f>Лист1!AS22+Лист1!AT22+Лист1!AU22</f>
        <v>0</v>
      </c>
      <c r="N28" s="26">
        <f>Лист1!AX22</f>
        <v>461.2384</v>
      </c>
      <c r="O28" s="25">
        <f>Лист1!BB22</f>
        <v>7365.9275741008005</v>
      </c>
      <c r="P28" s="77">
        <f>Лист1!BD22</f>
        <v>6350.692089057</v>
      </c>
      <c r="Q28" s="62">
        <f>Лист1!BE22</f>
        <v>5282.807910943002</v>
      </c>
      <c r="R28" s="62">
        <f>Лист1!BF22</f>
        <v>-339.8299999999999</v>
      </c>
      <c r="S28" s="1"/>
      <c r="T28" s="1"/>
    </row>
    <row r="29" spans="1:20" ht="12.75" hidden="1">
      <c r="A29" s="11" t="s">
        <v>39</v>
      </c>
      <c r="B29" s="71">
        <f>Лист1!B23</f>
        <v>1384.2</v>
      </c>
      <c r="C29" s="22">
        <f>B29*8.65</f>
        <v>11973.330000000002</v>
      </c>
      <c r="D29" s="23">
        <f>Лист1!D23</f>
        <v>1144.6200000000026</v>
      </c>
      <c r="E29" s="12">
        <f>Лист1!S23</f>
        <v>8982.61</v>
      </c>
      <c r="F29" s="25">
        <f>Лист1!T23</f>
        <v>1846.1000000000001</v>
      </c>
      <c r="G29" s="24">
        <f>Лист1!AB23</f>
        <v>8657.349999999999</v>
      </c>
      <c r="H29" s="25">
        <f>Лист1!AC23</f>
        <v>11648.070000000002</v>
      </c>
      <c r="I29" s="74">
        <f>Лист1!AD23</f>
        <v>0</v>
      </c>
      <c r="J29" s="24">
        <f>Лист1!AG23</f>
        <v>830.52</v>
      </c>
      <c r="K29" s="12">
        <f>Лист1!AI23+Лист1!AJ23</f>
        <v>1383.452532</v>
      </c>
      <c r="L29" s="12">
        <f>Лист1!AH23+Лист1!AK23+Лист1!AL23+Лист1!AM23+Лист1!AN23+Лист1!AO23+Лист1!AP23</f>
        <v>4746.975480000001</v>
      </c>
      <c r="M29" s="26">
        <f>Лист1!AS23+Лист1!AT23+Лист1!AU23</f>
        <v>743.872</v>
      </c>
      <c r="N29" s="26">
        <f>Лист1!AX23</f>
        <v>561.6800000000001</v>
      </c>
      <c r="O29" s="25">
        <f>Лист1!BB23</f>
        <v>8266.500012</v>
      </c>
      <c r="P29" s="77">
        <f>Лист1!BD23</f>
        <v>6854.32085</v>
      </c>
      <c r="Q29" s="62">
        <f>Лист1!BE23</f>
        <v>4793.7491500000015</v>
      </c>
      <c r="R29" s="62">
        <f>Лист1!BF23</f>
        <v>-325.26000000000204</v>
      </c>
      <c r="S29" s="1"/>
      <c r="T29" s="1"/>
    </row>
    <row r="30" spans="1:20" ht="12.75" hidden="1">
      <c r="A30" s="11" t="s">
        <v>40</v>
      </c>
      <c r="B30" s="71">
        <f>Лист1!B24</f>
        <v>1385.4</v>
      </c>
      <c r="C30" s="22">
        <f t="shared" si="0"/>
        <v>11983.710000000001</v>
      </c>
      <c r="D30" s="23">
        <f>Лист1!D24</f>
        <v>1145.620000000003</v>
      </c>
      <c r="E30" s="12">
        <f>Лист1!S24</f>
        <v>8987.32</v>
      </c>
      <c r="F30" s="25">
        <f>Лист1!T24</f>
        <v>1850.77</v>
      </c>
      <c r="G30" s="24">
        <f>Лист1!AB24</f>
        <v>10702.95</v>
      </c>
      <c r="H30" s="25">
        <f>Лист1!AC24</f>
        <v>13699.340000000004</v>
      </c>
      <c r="I30" s="74">
        <f>Лист1!AD24</f>
        <v>0</v>
      </c>
      <c r="J30" s="24">
        <f>Лист1!AG24</f>
        <v>831.24</v>
      </c>
      <c r="K30" s="12">
        <f>Лист1!AI24+Лист1!AJ24</f>
        <v>1389.5562000000002</v>
      </c>
      <c r="L30" s="12">
        <f>Лист1!AH24+Лист1!AK24+Лист1!AL24+Лист1!AM24+Лист1!AN24+Лист1!AO24+Лист1!AP24</f>
        <v>4756.35528</v>
      </c>
      <c r="M30" s="26">
        <f>Лист1!AS24+Лист1!AT24+Лист1!AU24</f>
        <v>0</v>
      </c>
      <c r="N30" s="26">
        <f>Лист1!AX24</f>
        <v>621.152</v>
      </c>
      <c r="O30" s="25">
        <f>Лист1!BB24</f>
        <v>7598.30348</v>
      </c>
      <c r="P30" s="77">
        <f>Лист1!BD24</f>
        <v>6187.53</v>
      </c>
      <c r="Q30" s="62">
        <f>Лист1!BE24</f>
        <v>7511.810000000004</v>
      </c>
      <c r="R30" s="62">
        <f>Лист1!BF24</f>
        <v>1715.630000000001</v>
      </c>
      <c r="S30" s="1"/>
      <c r="T30" s="1"/>
    </row>
    <row r="31" spans="1:20" ht="13.5" hidden="1" thickBot="1">
      <c r="A31" s="27" t="s">
        <v>41</v>
      </c>
      <c r="B31" s="71">
        <f>Лист1!B25</f>
        <v>1385.4</v>
      </c>
      <c r="C31" s="28">
        <f t="shared" si="0"/>
        <v>11983.710000000001</v>
      </c>
      <c r="D31" s="23">
        <f>Лист1!D25</f>
        <v>1175.9600000000023</v>
      </c>
      <c r="E31" s="12">
        <f>Лист1!S25</f>
        <v>8956.97</v>
      </c>
      <c r="F31" s="25">
        <f>Лист1!T25</f>
        <v>1850.78</v>
      </c>
      <c r="G31" s="24">
        <f>Лист1!AB25</f>
        <v>10232.65</v>
      </c>
      <c r="H31" s="25">
        <f>Лист1!AC25</f>
        <v>13259.390000000003</v>
      </c>
      <c r="I31" s="74">
        <f>Лист1!AD25</f>
        <v>0</v>
      </c>
      <c r="J31" s="24">
        <f>Лист1!AG25</f>
        <v>831.24</v>
      </c>
      <c r="K31" s="12">
        <f>Лист1!AI25+Лист1!AJ25</f>
        <v>1389.5562000000002</v>
      </c>
      <c r="L31" s="12">
        <f>Лист1!AH25+Лист1!AK25+Лист1!AL25+Лист1!AM25+Лист1!AN25+Лист1!AO25+Лист1!AP25</f>
        <v>4756.35528</v>
      </c>
      <c r="M31" s="26">
        <f>Лист1!AS25+Лист1!AT25+Лист1!AU25</f>
        <v>0</v>
      </c>
      <c r="N31" s="26">
        <f>Лист1!AX25</f>
        <v>679.3024</v>
      </c>
      <c r="O31" s="25">
        <f>Лист1!BB25</f>
        <v>7656.453879999999</v>
      </c>
      <c r="P31" s="77">
        <f>Лист1!BD25</f>
        <v>6245.680399999999</v>
      </c>
      <c r="Q31" s="62">
        <f>Лист1!BE25</f>
        <v>7013.709600000004</v>
      </c>
      <c r="R31" s="62">
        <f>Лист1!BF25</f>
        <v>1275.6800000000003</v>
      </c>
      <c r="S31" s="1"/>
      <c r="T31" s="1"/>
    </row>
    <row r="32" spans="1:20" s="16" customFormat="1" ht="13.5" hidden="1" thickBot="1">
      <c r="A32" s="29" t="s">
        <v>3</v>
      </c>
      <c r="B32" s="30"/>
      <c r="C32" s="31">
        <f aca="true" t="shared" si="3" ref="C32:R32">SUM(C20:C31)</f>
        <v>143700.72</v>
      </c>
      <c r="D32" s="55">
        <f t="shared" si="3"/>
        <v>15225.455000000018</v>
      </c>
      <c r="E32" s="31">
        <f t="shared" si="3"/>
        <v>103260.93</v>
      </c>
      <c r="F32" s="56">
        <f t="shared" si="3"/>
        <v>22065.289999999997</v>
      </c>
      <c r="G32" s="55">
        <f t="shared" si="3"/>
        <v>101556.96999999999</v>
      </c>
      <c r="H32" s="56">
        <f t="shared" si="3"/>
        <v>138847.71500000003</v>
      </c>
      <c r="I32" s="56">
        <f t="shared" si="3"/>
        <v>0</v>
      </c>
      <c r="J32" s="55">
        <f t="shared" si="3"/>
        <v>9635.472000000002</v>
      </c>
      <c r="K32" s="31">
        <f t="shared" si="3"/>
        <v>15895.439736970002</v>
      </c>
      <c r="L32" s="31">
        <f t="shared" si="3"/>
        <v>54226.227708046805</v>
      </c>
      <c r="M32" s="31">
        <f t="shared" si="3"/>
        <v>25258.169599999997</v>
      </c>
      <c r="N32" s="31">
        <f t="shared" si="3"/>
        <v>5815.042000000001</v>
      </c>
      <c r="O32" s="56">
        <f t="shared" si="3"/>
        <v>110830.35104501681</v>
      </c>
      <c r="P32" s="56">
        <f t="shared" si="3"/>
        <v>103551.429560011</v>
      </c>
      <c r="Q32" s="63">
        <f t="shared" si="3"/>
        <v>35296.28543998902</v>
      </c>
      <c r="R32" s="63">
        <f t="shared" si="3"/>
        <v>-1703.9600000000037</v>
      </c>
      <c r="S32" s="59"/>
      <c r="T32" s="59"/>
    </row>
    <row r="33" spans="1:20" ht="13.5" thickBot="1">
      <c r="A33" s="341" t="s">
        <v>68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67"/>
      <c r="S33" s="1"/>
      <c r="T33" s="1"/>
    </row>
    <row r="34" spans="1:20" s="16" customFormat="1" ht="13.5" thickBot="1">
      <c r="A34" s="68" t="s">
        <v>52</v>
      </c>
      <c r="B34" s="33"/>
      <c r="C34" s="34">
        <f>C18+C32</f>
        <v>179620.71000000002</v>
      </c>
      <c r="D34" s="32">
        <f aca="true" t="shared" si="4" ref="D34:R34">D18+D32</f>
        <v>23871.51632630002</v>
      </c>
      <c r="E34" s="33">
        <f t="shared" si="4"/>
        <v>127781.2</v>
      </c>
      <c r="F34" s="34">
        <f t="shared" si="4"/>
        <v>27317.679999999997</v>
      </c>
      <c r="G34" s="32">
        <f t="shared" si="4"/>
        <v>116614.38999999998</v>
      </c>
      <c r="H34" s="34">
        <f t="shared" si="4"/>
        <v>167803.58632630002</v>
      </c>
      <c r="I34" s="34">
        <f t="shared" si="4"/>
        <v>0</v>
      </c>
      <c r="J34" s="32">
        <f t="shared" si="4"/>
        <v>12127.032000000001</v>
      </c>
      <c r="K34" s="33">
        <f t="shared" si="4"/>
        <v>20065.266936490003</v>
      </c>
      <c r="L34" s="33">
        <f t="shared" si="4"/>
        <v>68845.1527713528</v>
      </c>
      <c r="M34" s="33">
        <f t="shared" si="4"/>
        <v>51693.6152</v>
      </c>
      <c r="N34" s="33">
        <f t="shared" si="4"/>
        <v>5815.042000000001</v>
      </c>
      <c r="O34" s="66">
        <f t="shared" si="4"/>
        <v>158546.10890784283</v>
      </c>
      <c r="P34" s="66">
        <f t="shared" si="4"/>
        <v>151267.187422837</v>
      </c>
      <c r="Q34" s="65">
        <f>Q18+Q32</f>
        <v>16536.39890346302</v>
      </c>
      <c r="R34" s="65">
        <f t="shared" si="4"/>
        <v>-11166.810000000001</v>
      </c>
      <c r="S34" s="60"/>
      <c r="T34" s="59"/>
    </row>
    <row r="35" spans="1:20" ht="12.75">
      <c r="A35" s="7" t="s">
        <v>91</v>
      </c>
      <c r="B35" s="35"/>
      <c r="C35" s="36"/>
      <c r="D35" s="37"/>
      <c r="E35" s="38"/>
      <c r="F35" s="40"/>
      <c r="G35" s="39"/>
      <c r="H35" s="40"/>
      <c r="I35" s="75"/>
      <c r="J35" s="39"/>
      <c r="K35" s="12"/>
      <c r="L35" s="12"/>
      <c r="M35" s="26"/>
      <c r="N35" s="57"/>
      <c r="O35" s="25"/>
      <c r="P35" s="77"/>
      <c r="Q35" s="62"/>
      <c r="R35" s="62"/>
      <c r="S35" s="1"/>
      <c r="T35" s="1"/>
    </row>
    <row r="36" spans="1:20" ht="12.75">
      <c r="A36" s="11" t="s">
        <v>43</v>
      </c>
      <c r="B36" s="71">
        <f>Лист1!B30</f>
        <v>1385.4</v>
      </c>
      <c r="C36" s="22">
        <f aca="true" t="shared" si="5" ref="C36:C47">B36*8.65</f>
        <v>11983.710000000001</v>
      </c>
      <c r="D36" s="23">
        <f>Лист1!D30</f>
        <v>1145.620000000003</v>
      </c>
      <c r="E36" s="12">
        <f>Лист1!S30</f>
        <v>8987.32</v>
      </c>
      <c r="F36" s="25">
        <f>Лист1!T30</f>
        <v>1850.77</v>
      </c>
      <c r="G36" s="24">
        <f>Лист1!AB30</f>
        <v>5280.92</v>
      </c>
      <c r="H36" s="25">
        <f>Лист1!AC30</f>
        <v>8277.310000000003</v>
      </c>
      <c r="I36" s="74">
        <f>Лист1!AD30</f>
        <v>0</v>
      </c>
      <c r="J36" s="24">
        <f>Лист1!AG30</f>
        <v>831.24</v>
      </c>
      <c r="K36" s="12">
        <f>Лист1!AI30+Лист1!AJ30</f>
        <v>1385.4</v>
      </c>
      <c r="L36" s="12">
        <f>Лист1!AH30+Лист1!AK30+Лист1!AL30+Лист1!AM30+Лист1!AN30+Лист1!AO30+Лист1!AP30</f>
        <v>4751.9220000000005</v>
      </c>
      <c r="M36" s="26">
        <f>Лист1!AS30+Лист1!AT30+Лист1!AU30</f>
        <v>0</v>
      </c>
      <c r="N36" s="26">
        <f>Лист1!AX30</f>
        <v>711.1999999999999</v>
      </c>
      <c r="O36" s="25">
        <f>Лист1!BB30</f>
        <v>7679.762</v>
      </c>
      <c r="P36" s="77">
        <f>Лист1!BD30</f>
        <v>0</v>
      </c>
      <c r="Q36" s="62">
        <f>Лист1!BE30</f>
        <v>2009.4951400000034</v>
      </c>
      <c r="R36" s="62">
        <f>Лист1!BF30</f>
        <v>-3706.3999999999996</v>
      </c>
      <c r="S36" s="1"/>
      <c r="T36" s="1"/>
    </row>
    <row r="37" spans="1:20" ht="12.75">
      <c r="A37" s="11" t="s">
        <v>44</v>
      </c>
      <c r="B37" s="71">
        <f>Лист1!B31</f>
        <v>1385.4</v>
      </c>
      <c r="C37" s="22">
        <f t="shared" si="5"/>
        <v>11983.710000000001</v>
      </c>
      <c r="D37" s="23">
        <f>Лист1!D31</f>
        <v>1145.620000000003</v>
      </c>
      <c r="E37" s="12">
        <f>Лист1!S31</f>
        <v>8987.32</v>
      </c>
      <c r="F37" s="25">
        <f>Лист1!T31</f>
        <v>1850.77</v>
      </c>
      <c r="G37" s="24">
        <f>Лист1!AB31</f>
        <v>9129.189999999999</v>
      </c>
      <c r="H37" s="25">
        <f>Лист1!AC31</f>
        <v>12125.580000000002</v>
      </c>
      <c r="I37" s="74">
        <f>Лист1!AD31</f>
        <v>0</v>
      </c>
      <c r="J37" s="24">
        <f>Лист1!AG31</f>
        <v>831.24</v>
      </c>
      <c r="K37" s="12">
        <f>Лист1!AI31+Лист1!AJ31</f>
        <v>1385.4</v>
      </c>
      <c r="L37" s="12">
        <f>Лист1!AH31+Лист1!AK31+Лист1!AL31+Лист1!AM31+Лист1!AN31+Лист1!AO31+Лист1!AP31</f>
        <v>6855.762000000001</v>
      </c>
      <c r="M37" s="26">
        <f>Лист1!AS31+Лист1!AT31+Лист1!AU31</f>
        <v>0</v>
      </c>
      <c r="N37" s="26">
        <f>Лист1!AX31</f>
        <v>569.8</v>
      </c>
      <c r="O37" s="25">
        <f>Лист1!BB31</f>
        <v>9642.202</v>
      </c>
      <c r="P37" s="77">
        <f>Лист1!BD31</f>
        <v>0</v>
      </c>
      <c r="Q37" s="62">
        <f>Лист1!BE31</f>
        <v>3895.3251400000026</v>
      </c>
      <c r="R37" s="62">
        <f>Лист1!BF31</f>
        <v>141.86999999999898</v>
      </c>
      <c r="S37" s="1"/>
      <c r="T37" s="1"/>
    </row>
    <row r="38" spans="1:20" ht="12.75">
      <c r="A38" s="11" t="s">
        <v>45</v>
      </c>
      <c r="B38" s="71">
        <f>Лист1!B32</f>
        <v>1385.4</v>
      </c>
      <c r="C38" s="22">
        <f t="shared" si="5"/>
        <v>11983.710000000001</v>
      </c>
      <c r="D38" s="23">
        <f>Лист1!D32</f>
        <v>1145.6300000000033</v>
      </c>
      <c r="E38" s="12">
        <f>Лист1!S32</f>
        <v>8987.3</v>
      </c>
      <c r="F38" s="25">
        <f>Лист1!T32</f>
        <v>1850.78</v>
      </c>
      <c r="G38" s="24">
        <f>Лист1!AB32</f>
        <v>10443.83</v>
      </c>
      <c r="H38" s="25">
        <f>Лист1!AC32</f>
        <v>13440.240000000003</v>
      </c>
      <c r="I38" s="74">
        <f>Лист1!AD32</f>
        <v>0</v>
      </c>
      <c r="J38" s="24">
        <f>Лист1!AG32</f>
        <v>831.24</v>
      </c>
      <c r="K38" s="12">
        <f>Лист1!AI32+Лист1!AJ32</f>
        <v>1385.4</v>
      </c>
      <c r="L38" s="12">
        <f>Лист1!AH32+Лист1!AK32+Лист1!AL32+Лист1!AM32+Лист1!AN32+Лист1!AO32+Лист1!AP32</f>
        <v>4751.9220000000005</v>
      </c>
      <c r="M38" s="26">
        <f>Лист1!AS32+Лист1!AT32+Лист1!AU32</f>
        <v>0</v>
      </c>
      <c r="N38" s="26">
        <f>Лист1!AX32</f>
        <v>536.1999999999999</v>
      </c>
      <c r="O38" s="25">
        <f>Лист1!BB32</f>
        <v>7504.762</v>
      </c>
      <c r="P38" s="77">
        <f>Лист1!BD32</f>
        <v>0</v>
      </c>
      <c r="Q38" s="62">
        <f>Лист1!BE32</f>
        <v>7347.425140000004</v>
      </c>
      <c r="R38" s="62">
        <f>Лист1!BF32</f>
        <v>1456.5300000000007</v>
      </c>
      <c r="S38" s="1"/>
      <c r="T38" s="1"/>
    </row>
    <row r="39" spans="1:20" ht="12.75">
      <c r="A39" s="11" t="s">
        <v>46</v>
      </c>
      <c r="B39" s="71">
        <f>Лист1!B33</f>
        <v>1385.4</v>
      </c>
      <c r="C39" s="22">
        <f t="shared" si="5"/>
        <v>11983.710000000001</v>
      </c>
      <c r="D39" s="23">
        <f>Лист1!D33</f>
        <v>1145.620000000003</v>
      </c>
      <c r="E39" s="12">
        <f>Лист1!S33</f>
        <v>8987.32</v>
      </c>
      <c r="F39" s="25">
        <f>Лист1!T33</f>
        <v>1850.77</v>
      </c>
      <c r="G39" s="24">
        <f>Лист1!AB33</f>
        <v>7865.82</v>
      </c>
      <c r="H39" s="25">
        <f>Лист1!AC33</f>
        <v>10862.210000000003</v>
      </c>
      <c r="I39" s="74">
        <f>Лист1!AD33</f>
        <v>0</v>
      </c>
      <c r="J39" s="24">
        <f>Лист1!AG33</f>
        <v>831.24</v>
      </c>
      <c r="K39" s="12">
        <f>Лист1!AI33+Лист1!AJ33</f>
        <v>1385.4</v>
      </c>
      <c r="L39" s="12">
        <f>Лист1!AH33+Лист1!AK33+Лист1!AL33+Лист1!AM33+Лист1!AN33+Лист1!AO33+Лист1!AP33</f>
        <v>4751.9220000000005</v>
      </c>
      <c r="M39" s="26">
        <f>Лист1!AS33+Лист1!AT33+Лист1!AU33</f>
        <v>1453</v>
      </c>
      <c r="N39" s="26">
        <f>Лист1!AX33</f>
        <v>429.79999999999995</v>
      </c>
      <c r="O39" s="25">
        <f>Лист1!BB33</f>
        <v>8851.362</v>
      </c>
      <c r="P39" s="77">
        <f>Лист1!BD33</f>
        <v>0</v>
      </c>
      <c r="Q39" s="62">
        <f>Лист1!BE33</f>
        <v>3422.795140000004</v>
      </c>
      <c r="R39" s="62">
        <f>Лист1!BF33</f>
        <v>-1121.5</v>
      </c>
      <c r="S39" s="1"/>
      <c r="T39" s="1"/>
    </row>
    <row r="40" spans="1:20" ht="12.75">
      <c r="A40" s="11" t="s">
        <v>47</v>
      </c>
      <c r="B40" s="71">
        <f>Лист1!B34</f>
        <v>1385</v>
      </c>
      <c r="C40" s="22">
        <f t="shared" si="5"/>
        <v>11980.25</v>
      </c>
      <c r="D40" s="23">
        <f>Лист1!D34</f>
        <v>1145.56</v>
      </c>
      <c r="E40" s="12">
        <f>Лист1!S34</f>
        <v>8984.32</v>
      </c>
      <c r="F40" s="25">
        <f>Лист1!T34</f>
        <v>1850.37</v>
      </c>
      <c r="G40" s="24">
        <f>Лист1!AB34</f>
        <v>7125.829999999999</v>
      </c>
      <c r="H40" s="25">
        <f>Лист1!AC34</f>
        <v>10121.759999999998</v>
      </c>
      <c r="I40" s="74">
        <f>Лист1!AD34</f>
        <v>0</v>
      </c>
      <c r="J40" s="24">
        <f>Лист1!AG34</f>
        <v>831</v>
      </c>
      <c r="K40" s="12">
        <f>Лист1!AI34+Лист1!AJ34</f>
        <v>1385</v>
      </c>
      <c r="L40" s="12">
        <f>Лист1!AH34+Лист1!AK34+Лист1!AL34+Лист1!AM34+Лист1!AN34+Лист1!AO34+Лист1!AP34</f>
        <v>4750.55</v>
      </c>
      <c r="M40" s="26">
        <f>Лист1!AS34+Лист1!AT34+Лист1!AU34</f>
        <v>1346.27</v>
      </c>
      <c r="N40" s="26">
        <f>Лист1!AX34</f>
        <v>368.2</v>
      </c>
      <c r="O40" s="25">
        <f>Лист1!BB34</f>
        <v>8681.02</v>
      </c>
      <c r="P40" s="77">
        <f>Лист1!BD34</f>
        <v>0</v>
      </c>
      <c r="Q40" s="62">
        <f>Лист1!BE34</f>
        <v>2852.687139999998</v>
      </c>
      <c r="R40" s="62">
        <f>Лист1!BF34</f>
        <v>-1858.4900000000007</v>
      </c>
      <c r="S40" s="1"/>
      <c r="T40" s="1"/>
    </row>
    <row r="41" spans="1:20" ht="12.75">
      <c r="A41" s="11" t="s">
        <v>48</v>
      </c>
      <c r="B41" s="71">
        <f>Лист1!B35</f>
        <v>1385</v>
      </c>
      <c r="C41" s="22">
        <f t="shared" si="5"/>
        <v>11980.25</v>
      </c>
      <c r="D41" s="23">
        <f>Лист1!D35</f>
        <v>1145.5700000000002</v>
      </c>
      <c r="E41" s="12">
        <f>Лист1!S35</f>
        <v>8984.31</v>
      </c>
      <c r="F41" s="25">
        <f>Лист1!T35</f>
        <v>1850.37</v>
      </c>
      <c r="G41" s="24">
        <f>Лист1!AB35</f>
        <v>7752.860000000001</v>
      </c>
      <c r="H41" s="25">
        <f>Лист1!AC35</f>
        <v>10748.800000000001</v>
      </c>
      <c r="I41" s="74">
        <f>Лист1!AD35</f>
        <v>0</v>
      </c>
      <c r="J41" s="24">
        <f>Лист1!AG35</f>
        <v>831</v>
      </c>
      <c r="K41" s="12">
        <f>Лист1!AI35+Лист1!AJ35</f>
        <v>1385</v>
      </c>
      <c r="L41" s="12">
        <f>Лист1!AH35+Лист1!AK35+Лист1!AL35+Лист1!AM35+Лист1!AN35+Лист1!AO35+Лист1!AP35</f>
        <v>4750.55</v>
      </c>
      <c r="M41" s="26">
        <f>Лист1!AS35+Лист1!AT35+Лист1!AU35</f>
        <v>9246</v>
      </c>
      <c r="N41" s="26">
        <f>Лист1!AX35</f>
        <v>326.2</v>
      </c>
      <c r="O41" s="25">
        <f>Лист1!BB35</f>
        <v>16538.75</v>
      </c>
      <c r="P41" s="77">
        <f>Лист1!BD35</f>
        <v>0</v>
      </c>
      <c r="Q41" s="62">
        <f>Лист1!BE35</f>
        <v>-4378.002859999999</v>
      </c>
      <c r="R41" s="62">
        <f>Лист1!BF35</f>
        <v>-1231.449999999999</v>
      </c>
      <c r="S41" s="1"/>
      <c r="T41" s="1"/>
    </row>
    <row r="42" spans="1:20" ht="12.75">
      <c r="A42" s="11" t="s">
        <v>49</v>
      </c>
      <c r="B42" s="71">
        <f>Лист1!B36</f>
        <v>1385</v>
      </c>
      <c r="C42" s="22">
        <f t="shared" si="5"/>
        <v>11980.25</v>
      </c>
      <c r="D42" s="23">
        <f>Лист1!D36</f>
        <v>1131.0400000000013</v>
      </c>
      <c r="E42" s="12">
        <f>Лист1!S36</f>
        <v>10849.21</v>
      </c>
      <c r="F42" s="25">
        <f>Лист1!T36</f>
        <v>0</v>
      </c>
      <c r="G42" s="24">
        <f>Лист1!AB36</f>
        <v>7995.09</v>
      </c>
      <c r="H42" s="25">
        <f>Лист1!AC36</f>
        <v>9126.130000000001</v>
      </c>
      <c r="I42" s="74">
        <f>Лист1!AD36</f>
        <v>0</v>
      </c>
      <c r="J42" s="24">
        <f>Лист1!AG36</f>
        <v>831</v>
      </c>
      <c r="K42" s="12">
        <f>Лист1!AI36+Лист1!AJ36</f>
        <v>1385</v>
      </c>
      <c r="L42" s="12">
        <f>Лист1!AH36+Лист1!AK36+Лист1!AL36+Лист1!AM36+Лист1!AN36+Лист1!AO36+Лист1!AP36</f>
        <v>4750.55</v>
      </c>
      <c r="M42" s="26">
        <f>Лист1!AS36+Лист1!AT36+Лист1!AU36</f>
        <v>0</v>
      </c>
      <c r="N42" s="26">
        <f>Лист1!AX36</f>
        <v>347.2</v>
      </c>
      <c r="O42" s="25">
        <f>Лист1!BB36</f>
        <v>7313.75</v>
      </c>
      <c r="P42" s="77">
        <f>Лист1!BD36</f>
        <v>0</v>
      </c>
      <c r="Q42" s="62">
        <f>Лист1!BE36</f>
        <v>3224.3271400000012</v>
      </c>
      <c r="R42" s="62">
        <f>Лист1!BF36</f>
        <v>-2854.119999999999</v>
      </c>
      <c r="S42" s="1"/>
      <c r="T42" s="1"/>
    </row>
    <row r="43" spans="1:20" ht="12.75">
      <c r="A43" s="11" t="s">
        <v>50</v>
      </c>
      <c r="B43" s="71">
        <f>Лист1!B37</f>
        <v>1385</v>
      </c>
      <c r="C43" s="22">
        <f t="shared" si="5"/>
        <v>11980.25</v>
      </c>
      <c r="D43" s="23">
        <f>Лист1!D37</f>
        <v>1131.0400000000013</v>
      </c>
      <c r="E43" s="12">
        <f>Лист1!S37</f>
        <v>10849.21</v>
      </c>
      <c r="F43" s="25">
        <f>Лист1!T37</f>
        <v>0</v>
      </c>
      <c r="G43" s="24">
        <f>Лист1!AB37</f>
        <v>12034.669999999998</v>
      </c>
      <c r="H43" s="25">
        <f>Лист1!AC37</f>
        <v>13165.71</v>
      </c>
      <c r="I43" s="74">
        <f>Лист1!AD37</f>
        <v>0</v>
      </c>
      <c r="J43" s="24">
        <f>Лист1!AG37</f>
        <v>831</v>
      </c>
      <c r="K43" s="12">
        <f>Лист1!AI37+Лист1!AJ37</f>
        <v>1385</v>
      </c>
      <c r="L43" s="12">
        <f>Лист1!AH37+Лист1!AK37+Лист1!AL37+Лист1!AM37+Лист1!AN37+Лист1!AO37+Лист1!AP37</f>
        <v>4750.55</v>
      </c>
      <c r="M43" s="26">
        <f>Лист1!AS37+Лист1!AT37+Лист1!AU37</f>
        <v>3634.8</v>
      </c>
      <c r="N43" s="26">
        <f>Лист1!AX37</f>
        <v>410.2</v>
      </c>
      <c r="O43" s="25">
        <f>Лист1!BB37</f>
        <v>11011.55</v>
      </c>
      <c r="P43" s="77">
        <f>Лист1!BD37</f>
        <v>0</v>
      </c>
      <c r="Q43" s="62">
        <f>Лист1!BE37</f>
        <v>3566.10714</v>
      </c>
      <c r="R43" s="62">
        <f>Лист1!BF37</f>
        <v>1185.4599999999991</v>
      </c>
      <c r="S43" s="1"/>
      <c r="T43" s="1"/>
    </row>
    <row r="44" spans="1:20" ht="12.75">
      <c r="A44" s="11" t="s">
        <v>51</v>
      </c>
      <c r="B44" s="71">
        <f>Лист1!B38</f>
        <v>1385</v>
      </c>
      <c r="C44" s="22">
        <f t="shared" si="5"/>
        <v>11980.25</v>
      </c>
      <c r="D44" s="23">
        <f>Лист1!D38</f>
        <v>1131.0500000000015</v>
      </c>
      <c r="E44" s="12">
        <f>Лист1!S38</f>
        <v>10849.2</v>
      </c>
      <c r="F44" s="25">
        <f>Лист1!T38</f>
        <v>0</v>
      </c>
      <c r="G44" s="24">
        <f>Лист1!AB38</f>
        <v>10679.2</v>
      </c>
      <c r="H44" s="25">
        <f>Лист1!AC38</f>
        <v>11810.250000000002</v>
      </c>
      <c r="I44" s="74">
        <f>Лист1!AD38</f>
        <v>0</v>
      </c>
      <c r="J44" s="24">
        <f>Лист1!AG38</f>
        <v>831</v>
      </c>
      <c r="K44" s="12">
        <f>Лист1!AI38+Лист1!AJ38</f>
        <v>1385</v>
      </c>
      <c r="L44" s="12">
        <f>Лист1!AH38+Лист1!AK38+Лист1!AL38+Лист1!AM38+Лист1!AN38+Лист1!AO38+Лист1!AP38</f>
        <v>4750.55</v>
      </c>
      <c r="M44" s="26">
        <f>Лист1!AS38+Лист1!AT38+Лист1!AU38</f>
        <v>0</v>
      </c>
      <c r="N44" s="26">
        <f>Лист1!AX38</f>
        <v>488.59999999999997</v>
      </c>
      <c r="O44" s="25">
        <f>Лист1!BB38</f>
        <v>7455.150000000001</v>
      </c>
      <c r="P44" s="77">
        <f>Лист1!BD38</f>
        <v>0</v>
      </c>
      <c r="Q44" s="62">
        <f>Лист1!BE38</f>
        <v>5767.0471400000015</v>
      </c>
      <c r="R44" s="62">
        <f>Лист1!BF38</f>
        <v>-170</v>
      </c>
      <c r="S44" s="1"/>
      <c r="T44" s="1"/>
    </row>
    <row r="45" spans="1:20" ht="12.75">
      <c r="A45" s="11" t="s">
        <v>39</v>
      </c>
      <c r="B45" s="71">
        <f>Лист1!B39</f>
        <v>1385</v>
      </c>
      <c r="C45" s="22">
        <f>B45*8.65</f>
        <v>11980.25</v>
      </c>
      <c r="D45" s="23">
        <f>Лист1!D39</f>
        <v>1131.0400000000013</v>
      </c>
      <c r="E45" s="12">
        <f>Лист1!S39</f>
        <v>10849.21</v>
      </c>
      <c r="F45" s="25">
        <f>Лист1!T39</f>
        <v>0</v>
      </c>
      <c r="G45" s="24">
        <f>Лист1!AB39</f>
        <v>9612.51</v>
      </c>
      <c r="H45" s="25">
        <f>Лист1!AC39</f>
        <v>10743.550000000001</v>
      </c>
      <c r="I45" s="74">
        <f>Лист1!AD39</f>
        <v>0</v>
      </c>
      <c r="J45" s="24">
        <f>Лист1!AG39</f>
        <v>831</v>
      </c>
      <c r="K45" s="12">
        <f>Лист1!AI39+Лист1!AJ39</f>
        <v>1385</v>
      </c>
      <c r="L45" s="12">
        <f>Лист1!AH39+Лист1!AK39+Лист1!AL39+Лист1!AM39+Лист1!AN39+Лист1!AO39+Лист1!AP39</f>
        <v>4750.55</v>
      </c>
      <c r="M45" s="26">
        <f>Лист1!AS39+Лист1!AT39+Лист1!AU39</f>
        <v>290</v>
      </c>
      <c r="N45" s="26">
        <f>Лист1!AX39</f>
        <v>595</v>
      </c>
      <c r="O45" s="25">
        <f>Лист1!BB39</f>
        <v>7851.549999999999</v>
      </c>
      <c r="P45" s="77">
        <f>Лист1!BD39</f>
        <v>0</v>
      </c>
      <c r="Q45" s="62">
        <f>Лист1!BE39</f>
        <v>4378.947140000002</v>
      </c>
      <c r="R45" s="62">
        <f>Лист1!BF39</f>
        <v>-1236.699999999999</v>
      </c>
      <c r="S45" s="1"/>
      <c r="T45" s="1"/>
    </row>
    <row r="46" spans="1:20" ht="12.75">
      <c r="A46" s="11" t="s">
        <v>40</v>
      </c>
      <c r="B46" s="71">
        <f>Лист1!B40</f>
        <v>1385</v>
      </c>
      <c r="C46" s="22">
        <f t="shared" si="5"/>
        <v>11980.25</v>
      </c>
      <c r="D46" s="23">
        <f>Лист1!D40</f>
        <v>1131.0400000000013</v>
      </c>
      <c r="E46" s="12">
        <f>Лист1!S40</f>
        <v>10849.21</v>
      </c>
      <c r="F46" s="25">
        <f>Лист1!T40</f>
        <v>0</v>
      </c>
      <c r="G46" s="24">
        <f>Лист1!AB40</f>
        <v>10084.869999999999</v>
      </c>
      <c r="H46" s="25">
        <f>Лист1!AC40</f>
        <v>11215.91</v>
      </c>
      <c r="I46" s="74">
        <f>Лист1!AD40</f>
        <v>0</v>
      </c>
      <c r="J46" s="24">
        <f>Лист1!AG40</f>
        <v>831</v>
      </c>
      <c r="K46" s="12">
        <f>Лист1!AI40+Лист1!AJ40</f>
        <v>1385</v>
      </c>
      <c r="L46" s="12">
        <f>Лист1!AH40+Лист1!AK40+Лист1!AL40+Лист1!AM40+Лист1!AN40+Лист1!AO40+Лист1!AP40</f>
        <v>4750.55</v>
      </c>
      <c r="M46" s="26">
        <f>Лист1!AS40+Лист1!AT40+Лист1!AU40</f>
        <v>0</v>
      </c>
      <c r="N46" s="26">
        <f>Лист1!AX40</f>
        <v>658</v>
      </c>
      <c r="O46" s="25">
        <f>Лист1!BB40</f>
        <v>7624.55</v>
      </c>
      <c r="P46" s="77">
        <f>Лист1!BD40</f>
        <v>0</v>
      </c>
      <c r="Q46" s="62">
        <f>Лист1!BE40</f>
        <v>5078.30714</v>
      </c>
      <c r="R46" s="62">
        <f>Лист1!BF40</f>
        <v>-764.3400000000001</v>
      </c>
      <c r="S46" s="1"/>
      <c r="T46" s="1"/>
    </row>
    <row r="47" spans="1:20" ht="13.5" thickBot="1">
      <c r="A47" s="27" t="s">
        <v>41</v>
      </c>
      <c r="B47" s="71">
        <f>Лист1!B41</f>
        <v>1385</v>
      </c>
      <c r="C47" s="28">
        <f t="shared" si="5"/>
        <v>11980.25</v>
      </c>
      <c r="D47" s="23">
        <f>Лист1!D41</f>
        <v>1131.070000000001</v>
      </c>
      <c r="E47" s="12">
        <f>Лист1!S41</f>
        <v>10849.18</v>
      </c>
      <c r="F47" s="25">
        <f>Лист1!T41</f>
        <v>0</v>
      </c>
      <c r="G47" s="24">
        <f>Лист1!AB41</f>
        <v>12865.980000000001</v>
      </c>
      <c r="H47" s="25">
        <f>Лист1!AC41</f>
        <v>13997.050000000003</v>
      </c>
      <c r="I47" s="74">
        <f>Лист1!AD41</f>
        <v>0</v>
      </c>
      <c r="J47" s="24">
        <f>Лист1!AG41</f>
        <v>831</v>
      </c>
      <c r="K47" s="12">
        <f>Лист1!AI41+Лист1!AJ41</f>
        <v>1385</v>
      </c>
      <c r="L47" s="12">
        <f>Лист1!AH41+Лист1!AK41+Лист1!AL41+Лист1!AM41+Лист1!AN41+Лист1!AO41+Лист1!AP41</f>
        <v>4750.55</v>
      </c>
      <c r="M47" s="26">
        <f>Лист1!AS41+Лист1!AT41+Лист1!AU41</f>
        <v>0</v>
      </c>
      <c r="N47" s="26">
        <f>Лист1!AX41</f>
        <v>719.5999999999999</v>
      </c>
      <c r="O47" s="25">
        <f>Лист1!BB41</f>
        <v>7686.15</v>
      </c>
      <c r="P47" s="77">
        <f>Лист1!BD41</f>
        <v>0</v>
      </c>
      <c r="Q47" s="62">
        <f>Лист1!BE41</f>
        <v>7797.8471400000035</v>
      </c>
      <c r="R47" s="62">
        <f>Лист1!BF41</f>
        <v>2016.800000000001</v>
      </c>
      <c r="S47" s="1"/>
      <c r="T47" s="1"/>
    </row>
    <row r="48" spans="1:20" s="16" customFormat="1" ht="13.5" thickBot="1">
      <c r="A48" s="29" t="s">
        <v>3</v>
      </c>
      <c r="B48" s="30"/>
      <c r="C48" s="31">
        <f aca="true" t="shared" si="6" ref="C48:R48">SUM(C36:C47)</f>
        <v>143776.84</v>
      </c>
      <c r="D48" s="55">
        <f t="shared" si="6"/>
        <v>13659.900000000018</v>
      </c>
      <c r="E48" s="31">
        <f t="shared" si="6"/>
        <v>119013.10999999999</v>
      </c>
      <c r="F48" s="56">
        <f t="shared" si="6"/>
        <v>11103.829999999998</v>
      </c>
      <c r="G48" s="55">
        <f t="shared" si="6"/>
        <v>110870.76999999997</v>
      </c>
      <c r="H48" s="56">
        <f t="shared" si="6"/>
        <v>135634.50000000003</v>
      </c>
      <c r="I48" s="56">
        <f t="shared" si="6"/>
        <v>0</v>
      </c>
      <c r="J48" s="55">
        <f t="shared" si="6"/>
        <v>9972.96</v>
      </c>
      <c r="K48" s="31">
        <f t="shared" si="6"/>
        <v>16621.6</v>
      </c>
      <c r="L48" s="31">
        <f t="shared" si="6"/>
        <v>59115.928000000014</v>
      </c>
      <c r="M48" s="31">
        <f t="shared" si="6"/>
        <v>15970.07</v>
      </c>
      <c r="N48" s="31">
        <f t="shared" si="6"/>
        <v>6160</v>
      </c>
      <c r="O48" s="56">
        <f t="shared" si="6"/>
        <v>107840.55799999999</v>
      </c>
      <c r="P48" s="56">
        <f t="shared" si="6"/>
        <v>0</v>
      </c>
      <c r="Q48" s="63">
        <f t="shared" si="6"/>
        <v>44962.30768000003</v>
      </c>
      <c r="R48" s="63">
        <f t="shared" si="6"/>
        <v>-8142.3399999999965</v>
      </c>
      <c r="S48" s="59"/>
      <c r="T48" s="59"/>
    </row>
    <row r="49" spans="1:20" ht="13.5" thickBot="1">
      <c r="A49" s="341" t="s">
        <v>68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67"/>
      <c r="S49" s="1"/>
      <c r="T49" s="1"/>
    </row>
    <row r="50" spans="1:20" s="16" customFormat="1" ht="13.5" thickBot="1">
      <c r="A50" s="68" t="s">
        <v>52</v>
      </c>
      <c r="B50" s="33"/>
      <c r="C50" s="34">
        <f>C34+C48</f>
        <v>323397.55000000005</v>
      </c>
      <c r="D50" s="32">
        <f aca="true" t="shared" si="7" ref="D50:P50">D34+D48</f>
        <v>37531.41632630004</v>
      </c>
      <c r="E50" s="33">
        <f t="shared" si="7"/>
        <v>246794.31</v>
      </c>
      <c r="F50" s="34">
        <f t="shared" si="7"/>
        <v>38421.509999999995</v>
      </c>
      <c r="G50" s="32">
        <f t="shared" si="7"/>
        <v>227485.15999999997</v>
      </c>
      <c r="H50" s="34">
        <f t="shared" si="7"/>
        <v>303438.08632630005</v>
      </c>
      <c r="I50" s="34">
        <f t="shared" si="7"/>
        <v>0</v>
      </c>
      <c r="J50" s="32">
        <f t="shared" si="7"/>
        <v>22099.992</v>
      </c>
      <c r="K50" s="33">
        <f t="shared" si="7"/>
        <v>36686.86693649</v>
      </c>
      <c r="L50" s="33">
        <f t="shared" si="7"/>
        <v>127961.08077135282</v>
      </c>
      <c r="M50" s="33">
        <f t="shared" si="7"/>
        <v>67663.6852</v>
      </c>
      <c r="N50" s="33">
        <f t="shared" si="7"/>
        <v>11975.042000000001</v>
      </c>
      <c r="O50" s="66">
        <f t="shared" si="7"/>
        <v>266386.66690784285</v>
      </c>
      <c r="P50" s="66">
        <f t="shared" si="7"/>
        <v>151267.187422837</v>
      </c>
      <c r="Q50" s="65">
        <f>Q34+Q48</f>
        <v>61498.70658346305</v>
      </c>
      <c r="R50" s="65">
        <f>R34+R48</f>
        <v>-19309.149999999998</v>
      </c>
      <c r="S50" s="60"/>
      <c r="T50" s="59"/>
    </row>
    <row r="52" spans="1:20" ht="12.75">
      <c r="A52" s="16" t="s">
        <v>69</v>
      </c>
      <c r="D52" s="72" t="s">
        <v>92</v>
      </c>
      <c r="S52" s="1"/>
      <c r="T52" s="1"/>
    </row>
    <row r="53" spans="1:20" ht="12.75">
      <c r="A53" s="17" t="s">
        <v>70</v>
      </c>
      <c r="B53" s="17" t="s">
        <v>71</v>
      </c>
      <c r="C53" s="343" t="s">
        <v>72</v>
      </c>
      <c r="D53" s="343"/>
      <c r="S53" s="1"/>
      <c r="T53" s="1"/>
    </row>
    <row r="54" spans="1:20" ht="12.75">
      <c r="A54" s="17">
        <v>94728.91</v>
      </c>
      <c r="B54" s="17">
        <v>183610</v>
      </c>
      <c r="C54" s="337">
        <f>A54-B54</f>
        <v>-88881.09</v>
      </c>
      <c r="D54" s="338"/>
      <c r="S54" s="1"/>
      <c r="T54" s="1"/>
    </row>
    <row r="55" spans="1:20" ht="12.75">
      <c r="A55" s="41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94</v>
      </c>
    </row>
    <row r="60" ht="12.75">
      <c r="A60" s="2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18" sqref="BB18"/>
    </sheetView>
  </sheetViews>
  <sheetFormatPr defaultColWidth="9.00390625" defaultRowHeight="12.75"/>
  <cols>
    <col min="1" max="1" width="9.75390625" style="170" customWidth="1"/>
    <col min="2" max="2" width="9.125" style="170" customWidth="1"/>
    <col min="3" max="3" width="14.75390625" style="170" customWidth="1"/>
    <col min="4" max="4" width="10.375" style="170" customWidth="1"/>
    <col min="5" max="6" width="9.125" style="170" customWidth="1"/>
    <col min="7" max="7" width="10.25390625" style="170" customWidth="1"/>
    <col min="8" max="8" width="9.125" style="170" customWidth="1"/>
    <col min="9" max="9" width="9.875" style="170" customWidth="1"/>
    <col min="10" max="10" width="9.125" style="170" customWidth="1"/>
    <col min="11" max="11" width="10.375" style="170" customWidth="1"/>
    <col min="12" max="12" width="9.125" style="170" customWidth="1"/>
    <col min="13" max="13" width="10.125" style="170" bestFit="1" customWidth="1"/>
    <col min="14" max="14" width="9.125" style="170" customWidth="1"/>
    <col min="15" max="15" width="10.125" style="170" bestFit="1" customWidth="1"/>
    <col min="16" max="18" width="9.125" style="170" customWidth="1"/>
    <col min="19" max="19" width="10.125" style="170" bestFit="1" customWidth="1"/>
    <col min="20" max="20" width="10.125" style="170" customWidth="1"/>
    <col min="21" max="21" width="10.125" style="170" bestFit="1" customWidth="1"/>
    <col min="22" max="22" width="10.375" style="170" customWidth="1"/>
    <col min="23" max="23" width="10.625" style="170" customWidth="1"/>
    <col min="24" max="24" width="10.125" style="170" customWidth="1"/>
    <col min="25" max="28" width="10.125" style="170" bestFit="1" customWidth="1"/>
    <col min="29" max="30" width="11.375" style="170" customWidth="1"/>
    <col min="31" max="31" width="9.25390625" style="170" bestFit="1" customWidth="1"/>
    <col min="32" max="32" width="10.125" style="170" bestFit="1" customWidth="1"/>
    <col min="33" max="33" width="10.25390625" style="170" customWidth="1"/>
    <col min="34" max="35" width="9.25390625" style="170" bestFit="1" customWidth="1"/>
    <col min="36" max="36" width="11.75390625" style="170" customWidth="1"/>
    <col min="37" max="38" width="9.25390625" style="170" bestFit="1" customWidth="1"/>
    <col min="39" max="39" width="10.125" style="170" bestFit="1" customWidth="1"/>
    <col min="40" max="40" width="9.25390625" style="170" bestFit="1" customWidth="1"/>
    <col min="41" max="42" width="10.125" style="170" bestFit="1" customWidth="1"/>
    <col min="43" max="45" width="9.25390625" style="170" customWidth="1"/>
    <col min="46" max="46" width="10.125" style="170" bestFit="1" customWidth="1"/>
    <col min="47" max="47" width="11.625" style="170" customWidth="1"/>
    <col min="48" max="48" width="10.875" style="170" customWidth="1"/>
    <col min="49" max="49" width="10.625" style="170" customWidth="1"/>
    <col min="50" max="50" width="9.25390625" style="170" customWidth="1"/>
    <col min="51" max="51" width="10.625" style="170" customWidth="1"/>
    <col min="52" max="52" width="9.25390625" style="170" bestFit="1" customWidth="1"/>
    <col min="53" max="54" width="10.125" style="170" bestFit="1" customWidth="1"/>
    <col min="55" max="56" width="11.625" style="170" customWidth="1"/>
    <col min="57" max="57" width="12.625" style="170" customWidth="1"/>
    <col min="58" max="58" width="14.00390625" style="170" customWidth="1"/>
    <col min="59" max="59" width="10.375" style="170" customWidth="1"/>
    <col min="60" max="16384" width="9.125" style="170" customWidth="1"/>
  </cols>
  <sheetData>
    <row r="1" spans="1:18" ht="21" customHeight="1">
      <c r="A1" s="312" t="s">
        <v>95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169"/>
      <c r="P1" s="169"/>
      <c r="Q1" s="169"/>
      <c r="R1" s="169"/>
    </row>
    <row r="2" spans="1:18" ht="13.5" thickBot="1">
      <c r="A2" s="169"/>
      <c r="B2" s="171"/>
      <c r="C2" s="172"/>
      <c r="D2" s="172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60" ht="29.25" customHeight="1" thickBot="1">
      <c r="A3" s="287" t="s">
        <v>96</v>
      </c>
      <c r="B3" s="314" t="s">
        <v>0</v>
      </c>
      <c r="C3" s="316" t="s">
        <v>1</v>
      </c>
      <c r="D3" s="318" t="s">
        <v>2</v>
      </c>
      <c r="E3" s="287" t="s">
        <v>97</v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327"/>
      <c r="S3" s="287"/>
      <c r="T3" s="288"/>
      <c r="U3" s="287" t="s">
        <v>3</v>
      </c>
      <c r="V3" s="288"/>
      <c r="W3" s="291" t="s">
        <v>4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417"/>
      <c r="AJ3" s="419" t="s">
        <v>73</v>
      </c>
      <c r="AK3" s="302" t="s">
        <v>8</v>
      </c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4"/>
      <c r="BF3" s="331" t="s">
        <v>9</v>
      </c>
      <c r="BG3" s="406" t="s">
        <v>10</v>
      </c>
      <c r="BH3" s="173"/>
    </row>
    <row r="4" spans="1:59" ht="51.75" customHeight="1" hidden="1" thickBot="1">
      <c r="A4" s="313"/>
      <c r="B4" s="315"/>
      <c r="C4" s="317"/>
      <c r="D4" s="319"/>
      <c r="E4" s="313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30"/>
      <c r="S4" s="289"/>
      <c r="T4" s="290"/>
      <c r="U4" s="289"/>
      <c r="V4" s="290"/>
      <c r="W4" s="293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418"/>
      <c r="AJ4" s="420"/>
      <c r="AK4" s="281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6"/>
      <c r="BF4" s="332"/>
      <c r="BG4" s="407"/>
    </row>
    <row r="5" spans="1:61" ht="19.5" customHeight="1">
      <c r="A5" s="313"/>
      <c r="B5" s="315"/>
      <c r="C5" s="317"/>
      <c r="D5" s="319"/>
      <c r="E5" s="409" t="s">
        <v>11</v>
      </c>
      <c r="F5" s="410"/>
      <c r="G5" s="409" t="s">
        <v>98</v>
      </c>
      <c r="H5" s="410"/>
      <c r="I5" s="409" t="s">
        <v>12</v>
      </c>
      <c r="J5" s="410"/>
      <c r="K5" s="409" t="s">
        <v>14</v>
      </c>
      <c r="L5" s="410"/>
      <c r="M5" s="409" t="s">
        <v>13</v>
      </c>
      <c r="N5" s="410"/>
      <c r="O5" s="413" t="s">
        <v>15</v>
      </c>
      <c r="P5" s="413"/>
      <c r="Q5" s="409" t="s">
        <v>99</v>
      </c>
      <c r="R5" s="410"/>
      <c r="S5" s="413" t="s">
        <v>100</v>
      </c>
      <c r="T5" s="410"/>
      <c r="U5" s="270" t="s">
        <v>18</v>
      </c>
      <c r="V5" s="298" t="s">
        <v>19</v>
      </c>
      <c r="W5" s="402" t="s">
        <v>20</v>
      </c>
      <c r="X5" s="402" t="s">
        <v>101</v>
      </c>
      <c r="Y5" s="402" t="s">
        <v>21</v>
      </c>
      <c r="Z5" s="402" t="s">
        <v>23</v>
      </c>
      <c r="AA5" s="402" t="s">
        <v>22</v>
      </c>
      <c r="AB5" s="402" t="s">
        <v>24</v>
      </c>
      <c r="AC5" s="402" t="s">
        <v>25</v>
      </c>
      <c r="AD5" s="404" t="s">
        <v>26</v>
      </c>
      <c r="AE5" s="404" t="s">
        <v>102</v>
      </c>
      <c r="AF5" s="393" t="s">
        <v>27</v>
      </c>
      <c r="AG5" s="395" t="s">
        <v>86</v>
      </c>
      <c r="AH5" s="397" t="s">
        <v>6</v>
      </c>
      <c r="AI5" s="399" t="s">
        <v>7</v>
      </c>
      <c r="AJ5" s="420"/>
      <c r="AK5" s="401" t="s">
        <v>103</v>
      </c>
      <c r="AL5" s="392" t="s">
        <v>104</v>
      </c>
      <c r="AM5" s="392" t="s">
        <v>105</v>
      </c>
      <c r="AN5" s="266" t="s">
        <v>106</v>
      </c>
      <c r="AO5" s="392" t="s">
        <v>107</v>
      </c>
      <c r="AP5" s="266" t="s">
        <v>108</v>
      </c>
      <c r="AQ5" s="266" t="s">
        <v>109</v>
      </c>
      <c r="AR5" s="266" t="s">
        <v>110</v>
      </c>
      <c r="AS5" s="266" t="s">
        <v>111</v>
      </c>
      <c r="AT5" s="266" t="s">
        <v>34</v>
      </c>
      <c r="AU5" s="389" t="s">
        <v>112</v>
      </c>
      <c r="AV5" s="322" t="s">
        <v>113</v>
      </c>
      <c r="AW5" s="389" t="s">
        <v>114</v>
      </c>
      <c r="AX5" s="390" t="s">
        <v>115</v>
      </c>
      <c r="AY5" s="174"/>
      <c r="AZ5" s="278" t="s">
        <v>17</v>
      </c>
      <c r="BA5" s="266" t="s">
        <v>36</v>
      </c>
      <c r="BB5" s="266" t="s">
        <v>31</v>
      </c>
      <c r="BC5" s="387" t="s">
        <v>37</v>
      </c>
      <c r="BD5" s="334" t="s">
        <v>76</v>
      </c>
      <c r="BE5" s="266" t="s">
        <v>88</v>
      </c>
      <c r="BF5" s="332"/>
      <c r="BG5" s="407"/>
      <c r="BH5" s="166"/>
      <c r="BI5" s="167"/>
    </row>
    <row r="6" spans="1:61" ht="56.25" customHeight="1" thickBot="1">
      <c r="A6" s="313"/>
      <c r="B6" s="315"/>
      <c r="C6" s="317"/>
      <c r="D6" s="319"/>
      <c r="E6" s="411"/>
      <c r="F6" s="412"/>
      <c r="G6" s="411"/>
      <c r="H6" s="412"/>
      <c r="I6" s="411"/>
      <c r="J6" s="412"/>
      <c r="K6" s="411"/>
      <c r="L6" s="412"/>
      <c r="M6" s="411"/>
      <c r="N6" s="412"/>
      <c r="O6" s="414"/>
      <c r="P6" s="414"/>
      <c r="Q6" s="411"/>
      <c r="R6" s="412"/>
      <c r="S6" s="415"/>
      <c r="T6" s="412"/>
      <c r="U6" s="416"/>
      <c r="V6" s="422"/>
      <c r="W6" s="403"/>
      <c r="X6" s="403"/>
      <c r="Y6" s="403"/>
      <c r="Z6" s="403"/>
      <c r="AA6" s="403"/>
      <c r="AB6" s="403"/>
      <c r="AC6" s="403"/>
      <c r="AD6" s="405"/>
      <c r="AE6" s="405"/>
      <c r="AF6" s="394"/>
      <c r="AG6" s="396"/>
      <c r="AH6" s="398"/>
      <c r="AI6" s="400"/>
      <c r="AJ6" s="421"/>
      <c r="AK6" s="283"/>
      <c r="AL6" s="301"/>
      <c r="AM6" s="301"/>
      <c r="AN6" s="267"/>
      <c r="AO6" s="301"/>
      <c r="AP6" s="267"/>
      <c r="AQ6" s="267"/>
      <c r="AR6" s="267"/>
      <c r="AS6" s="267"/>
      <c r="AT6" s="267"/>
      <c r="AU6" s="269"/>
      <c r="AV6" s="323"/>
      <c r="AW6" s="269"/>
      <c r="AX6" s="391"/>
      <c r="AY6" s="90" t="s">
        <v>116</v>
      </c>
      <c r="AZ6" s="279"/>
      <c r="BA6" s="267"/>
      <c r="BB6" s="267"/>
      <c r="BC6" s="388"/>
      <c r="BD6" s="336"/>
      <c r="BE6" s="267"/>
      <c r="BF6" s="333"/>
      <c r="BG6" s="408"/>
      <c r="BH6" s="166"/>
      <c r="BI6" s="167"/>
    </row>
    <row r="7" spans="1:61" ht="19.5" customHeight="1" thickBot="1">
      <c r="A7" s="175">
        <v>1</v>
      </c>
      <c r="B7" s="176">
        <v>2</v>
      </c>
      <c r="C7" s="176">
        <v>3</v>
      </c>
      <c r="D7" s="175">
        <v>4</v>
      </c>
      <c r="E7" s="176">
        <v>5</v>
      </c>
      <c r="F7" s="176">
        <v>6</v>
      </c>
      <c r="G7" s="175">
        <v>7</v>
      </c>
      <c r="H7" s="176">
        <v>8</v>
      </c>
      <c r="I7" s="176">
        <v>9</v>
      </c>
      <c r="J7" s="175">
        <v>10</v>
      </c>
      <c r="K7" s="176">
        <v>11</v>
      </c>
      <c r="L7" s="176">
        <v>12</v>
      </c>
      <c r="M7" s="175">
        <v>13</v>
      </c>
      <c r="N7" s="176">
        <v>14</v>
      </c>
      <c r="O7" s="176">
        <v>15</v>
      </c>
      <c r="P7" s="175">
        <v>16</v>
      </c>
      <c r="Q7" s="176">
        <v>17</v>
      </c>
      <c r="R7" s="176">
        <v>18</v>
      </c>
      <c r="S7" s="175">
        <v>19</v>
      </c>
      <c r="T7" s="176">
        <v>20</v>
      </c>
      <c r="U7" s="176">
        <v>21</v>
      </c>
      <c r="V7" s="175">
        <v>22</v>
      </c>
      <c r="W7" s="176">
        <v>23</v>
      </c>
      <c r="X7" s="175">
        <v>24</v>
      </c>
      <c r="Y7" s="176">
        <v>25</v>
      </c>
      <c r="Z7" s="175">
        <v>26</v>
      </c>
      <c r="AA7" s="176">
        <v>27</v>
      </c>
      <c r="AB7" s="175">
        <v>28</v>
      </c>
      <c r="AC7" s="176">
        <v>29</v>
      </c>
      <c r="AD7" s="175">
        <v>30</v>
      </c>
      <c r="AE7" s="175">
        <v>31</v>
      </c>
      <c r="AF7" s="176">
        <v>32</v>
      </c>
      <c r="AG7" s="175">
        <v>33</v>
      </c>
      <c r="AH7" s="176">
        <v>34</v>
      </c>
      <c r="AI7" s="175">
        <v>35</v>
      </c>
      <c r="AJ7" s="176">
        <v>36</v>
      </c>
      <c r="AK7" s="175">
        <v>37</v>
      </c>
      <c r="AL7" s="176">
        <v>38</v>
      </c>
      <c r="AM7" s="175">
        <v>39</v>
      </c>
      <c r="AN7" s="175">
        <v>40</v>
      </c>
      <c r="AO7" s="176">
        <v>41</v>
      </c>
      <c r="AP7" s="175">
        <v>42</v>
      </c>
      <c r="AQ7" s="176">
        <v>43</v>
      </c>
      <c r="AR7" s="175"/>
      <c r="AS7" s="175">
        <v>44</v>
      </c>
      <c r="AT7" s="176">
        <v>45</v>
      </c>
      <c r="AU7" s="175">
        <v>46</v>
      </c>
      <c r="AV7" s="176">
        <v>47</v>
      </c>
      <c r="AW7" s="175">
        <v>48</v>
      </c>
      <c r="AX7" s="175">
        <v>49</v>
      </c>
      <c r="AY7" s="176"/>
      <c r="AZ7" s="176">
        <v>50</v>
      </c>
      <c r="BA7" s="176">
        <v>51</v>
      </c>
      <c r="BB7" s="176">
        <v>52</v>
      </c>
      <c r="BC7" s="176">
        <v>53</v>
      </c>
      <c r="BD7" s="176">
        <v>54</v>
      </c>
      <c r="BE7" s="176"/>
      <c r="BF7" s="176">
        <v>55</v>
      </c>
      <c r="BG7" s="176">
        <v>56</v>
      </c>
      <c r="BH7" s="167"/>
      <c r="BI7" s="167"/>
    </row>
    <row r="8" spans="1:59" s="16" customFormat="1" ht="13.5" thickBot="1">
      <c r="A8" s="18" t="s">
        <v>52</v>
      </c>
      <c r="B8" s="177"/>
      <c r="C8" s="177">
        <f>Лист1!C44</f>
        <v>323397.55000000005</v>
      </c>
      <c r="D8" s="177">
        <f>Лист1!D44</f>
        <v>37531.41632630004</v>
      </c>
      <c r="E8" s="177">
        <f>Лист1!E44</f>
        <v>28496.069999999992</v>
      </c>
      <c r="F8" s="177">
        <f>Лист1!F44</f>
        <v>4436.09</v>
      </c>
      <c r="G8" s="177">
        <f>0</f>
        <v>0</v>
      </c>
      <c r="H8" s="177">
        <f>0</f>
        <v>0</v>
      </c>
      <c r="I8" s="177">
        <f>Лист1!G44</f>
        <v>38567.229999999996</v>
      </c>
      <c r="J8" s="177">
        <f>Лист1!H44</f>
        <v>6005.280000000001</v>
      </c>
      <c r="K8" s="177">
        <f>Лист1!K44</f>
        <v>64212.630000000005</v>
      </c>
      <c r="L8" s="177">
        <f>Лист1!L44</f>
        <v>9997.800000000001</v>
      </c>
      <c r="M8" s="177">
        <f>Лист1!I44</f>
        <v>92721.03000000001</v>
      </c>
      <c r="N8" s="177">
        <f>Лист1!J44</f>
        <v>14433.77</v>
      </c>
      <c r="O8" s="177">
        <f>Лист1!M44</f>
        <v>22797.35</v>
      </c>
      <c r="P8" s="177">
        <f>Лист1!N44</f>
        <v>3548.57</v>
      </c>
      <c r="Q8" s="177">
        <f>'[7]Лист1'!O44</f>
        <v>0</v>
      </c>
      <c r="R8" s="177">
        <f>'[7]Лист1'!P44</f>
        <v>0</v>
      </c>
      <c r="S8" s="177">
        <f>'[7]Лист1'!Q44</f>
        <v>0</v>
      </c>
      <c r="T8" s="177">
        <f>'[7]Лист1'!R44</f>
        <v>0</v>
      </c>
      <c r="U8" s="177">
        <f>Лист1!S44</f>
        <v>246794.31</v>
      </c>
      <c r="V8" s="177">
        <f>Лист1!T44</f>
        <v>38421.509999999995</v>
      </c>
      <c r="W8" s="177">
        <f>Лист1!U44</f>
        <v>26192.34</v>
      </c>
      <c r="X8" s="177">
        <v>0</v>
      </c>
      <c r="Y8" s="177">
        <f>Лист1!V44</f>
        <v>35444.89</v>
      </c>
      <c r="Z8" s="177">
        <f>Лист1!X44</f>
        <v>59017.58</v>
      </c>
      <c r="AA8" s="177">
        <f>Лист1!W44</f>
        <v>85876.15</v>
      </c>
      <c r="AB8" s="177">
        <f>Лист1!Y44</f>
        <v>20954.199999999997</v>
      </c>
      <c r="AC8" s="177">
        <f>'[8]Лист1'!Z46</f>
        <v>0</v>
      </c>
      <c r="AD8" s="177">
        <f>'[8]Лист1'!AA46</f>
        <v>0</v>
      </c>
      <c r="AF8" s="177">
        <f>Лист1!AB44</f>
        <v>227485.15999999997</v>
      </c>
      <c r="AG8" s="177">
        <f>Лист1!AC44</f>
        <v>303438.08632630005</v>
      </c>
      <c r="AH8" s="177">
        <f>'[8]Лист1'!AD46</f>
        <v>0</v>
      </c>
      <c r="AI8" s="177">
        <f>'[8]Лист1'!AE46</f>
        <v>0</v>
      </c>
      <c r="AJ8" s="177">
        <f>Лист1!AF44</f>
        <v>41400.49164000001</v>
      </c>
      <c r="AK8" s="177">
        <f>Лист1!AG44</f>
        <v>22099.992</v>
      </c>
      <c r="AL8" s="177">
        <f>Лист1!AH44</f>
        <v>7405.2997904</v>
      </c>
      <c r="AM8" s="177">
        <f>Лист1!AI44+Лист1!AJ44</f>
        <v>36686.866936490005</v>
      </c>
      <c r="AN8" s="177">
        <v>0</v>
      </c>
      <c r="AO8" s="177">
        <f>Лист1!AK44+Лист1!AL44</f>
        <v>36591.927792721996</v>
      </c>
      <c r="AP8" s="177">
        <f>Лист1!AM44+Лист1!AN44</f>
        <v>81860.01318823082</v>
      </c>
      <c r="AQ8" s="177">
        <v>0</v>
      </c>
      <c r="AR8" s="177">
        <v>0</v>
      </c>
      <c r="AS8" s="177">
        <v>0</v>
      </c>
      <c r="AT8" s="177">
        <f>Лист1!AO44</f>
        <v>2103.84</v>
      </c>
      <c r="AU8" s="177">
        <f>Лист1!AS44+Лист1!AU44</f>
        <v>66242.6152</v>
      </c>
      <c r="AV8" s="177">
        <f>0</f>
        <v>0</v>
      </c>
      <c r="AW8" s="177">
        <f>Лист1!AT44</f>
        <v>1421.07</v>
      </c>
      <c r="AX8" s="177">
        <f>Лист1!AQ44</f>
        <v>0</v>
      </c>
      <c r="AY8" s="178">
        <f>Лист1!AX44</f>
        <v>11975.042000000001</v>
      </c>
      <c r="AZ8" s="178">
        <f>'[8]Лист1'!AY46</f>
        <v>0</v>
      </c>
      <c r="BA8" s="178">
        <f>Лист1!AZ44</f>
        <v>0</v>
      </c>
      <c r="BB8" s="178">
        <v>0</v>
      </c>
      <c r="BC8" s="178">
        <f>Лист1!BB44</f>
        <v>266386.66690784285</v>
      </c>
      <c r="BD8" s="178">
        <f>Лист1!BC44</f>
        <v>16953.2044749942</v>
      </c>
      <c r="BE8" s="179">
        <f>BD8+BC8</f>
        <v>283339.87138283707</v>
      </c>
      <c r="BF8" s="180">
        <f>Лист1!BE44</f>
        <v>61498.70658346305</v>
      </c>
      <c r="BG8" s="180">
        <f>Лист1!BF44</f>
        <v>-19309.149999999998</v>
      </c>
    </row>
    <row r="9" spans="1:60" ht="13.5" thickBot="1">
      <c r="A9" s="5" t="s">
        <v>122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0"/>
      <c r="BG9" s="183"/>
      <c r="BH9" s="169"/>
    </row>
    <row r="10" spans="1:67" ht="13.5" thickBot="1">
      <c r="A10" s="184" t="s">
        <v>43</v>
      </c>
      <c r="B10" s="185">
        <v>1385</v>
      </c>
      <c r="C10" s="137">
        <f aca="true" t="shared" si="0" ref="C10:C21">B10*8.55</f>
        <v>11841.750000000002</v>
      </c>
      <c r="D10" s="154">
        <v>73.31060000000001</v>
      </c>
      <c r="E10" s="187">
        <v>0</v>
      </c>
      <c r="F10" s="186">
        <v>0</v>
      </c>
      <c r="G10" s="187">
        <v>7300.69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3492.79</v>
      </c>
      <c r="N10" s="187">
        <v>0</v>
      </c>
      <c r="O10" s="188">
        <v>1211.36</v>
      </c>
      <c r="P10" s="189">
        <v>0</v>
      </c>
      <c r="Q10" s="190">
        <v>0</v>
      </c>
      <c r="R10" s="191">
        <v>0</v>
      </c>
      <c r="S10" s="192">
        <v>0</v>
      </c>
      <c r="T10" s="193">
        <v>0</v>
      </c>
      <c r="U10" s="194">
        <f aca="true" t="shared" si="1" ref="U10:V21">E10+G10+I10+K10+M10+O10+Q10+S10</f>
        <v>12004.84</v>
      </c>
      <c r="V10" s="195">
        <f t="shared" si="1"/>
        <v>0</v>
      </c>
      <c r="W10" s="187">
        <v>930.31</v>
      </c>
      <c r="X10" s="187"/>
      <c r="Y10" s="187">
        <v>1260.43</v>
      </c>
      <c r="Z10" s="187">
        <v>2097.72</v>
      </c>
      <c r="AA10" s="187">
        <v>3028</v>
      </c>
      <c r="AB10" s="187">
        <v>744.21</v>
      </c>
      <c r="AC10" s="187">
        <v>0</v>
      </c>
      <c r="AD10" s="186">
        <v>0</v>
      </c>
      <c r="AE10" s="196">
        <v>0</v>
      </c>
      <c r="AF10" s="196">
        <f>SUM(W10:AE10)</f>
        <v>8060.669999999999</v>
      </c>
      <c r="AG10" s="197">
        <f>AF10+V10+D10</f>
        <v>8133.980599999999</v>
      </c>
      <c r="AH10" s="198">
        <f aca="true" t="shared" si="2" ref="AH10:AI21">AC10</f>
        <v>0</v>
      </c>
      <c r="AI10" s="198">
        <f t="shared" si="2"/>
        <v>0</v>
      </c>
      <c r="AJ10" s="199">
        <f>'[9]Т01'!$I$67+'[9]Т01'!$I$73+'[9]Т01'!$I$109+'[9]Т01'!$I$113+'[9]Т01'!$I$144</f>
        <v>2499.9139999999998</v>
      </c>
      <c r="AK10" s="200">
        <f aca="true" t="shared" si="3" ref="AK10:AK21">0.67*B10</f>
        <v>927.95</v>
      </c>
      <c r="AL10" s="200">
        <f aca="true" t="shared" si="4" ref="AL10:AL21">B10*0.2</f>
        <v>277</v>
      </c>
      <c r="AM10" s="200">
        <f aca="true" t="shared" si="5" ref="AM10:AM21">B10*1</f>
        <v>1385</v>
      </c>
      <c r="AN10" s="200">
        <f aca="true" t="shared" si="6" ref="AN10:AN21">B10*0.21</f>
        <v>290.84999999999997</v>
      </c>
      <c r="AO10" s="200">
        <f aca="true" t="shared" si="7" ref="AO10:AO21">2.02*B10</f>
        <v>2797.7</v>
      </c>
      <c r="AP10" s="200">
        <f aca="true" t="shared" si="8" ref="AP10:AP21">B10*1.03</f>
        <v>1426.55</v>
      </c>
      <c r="AQ10" s="200">
        <f aca="true" t="shared" si="9" ref="AQ10:AQ21">B10*0.75</f>
        <v>1038.75</v>
      </c>
      <c r="AR10" s="200">
        <f aca="true" t="shared" si="10" ref="AR10:AR21">B10*0.75</f>
        <v>1038.75</v>
      </c>
      <c r="AS10" s="200">
        <f>B10*1.15</f>
        <v>1592.7499999999998</v>
      </c>
      <c r="AT10" s="200">
        <f>0.45*389.6</f>
        <v>175.32000000000002</v>
      </c>
      <c r="AU10" s="201"/>
      <c r="AV10" s="202"/>
      <c r="AW10" s="201">
        <v>12000</v>
      </c>
      <c r="AY10" s="145"/>
      <c r="AZ10" s="203"/>
      <c r="BA10" s="203"/>
      <c r="BB10" s="203">
        <f>AZ10*0.18</f>
        <v>0</v>
      </c>
      <c r="BC10" s="203">
        <f aca="true" t="shared" si="11" ref="BC10:BC21">SUM(AK10:BB10)</f>
        <v>22950.62</v>
      </c>
      <c r="BD10" s="204">
        <f>'[9]Т01'!$R$67+'[9]Т01'!$R$73+'[9]Т01'!$R$109+'[9]Т01'!$R$113+'[9]Т01'!$R$144</f>
        <v>1522.3629999999998</v>
      </c>
      <c r="BE10" s="204">
        <f>BC10+BD10</f>
        <v>24472.983</v>
      </c>
      <c r="BF10" s="204">
        <f>AG10+AJ10-BE10</f>
        <v>-13839.0884</v>
      </c>
      <c r="BG10" s="204">
        <f>AF10-U10</f>
        <v>-3944.170000000001</v>
      </c>
      <c r="BH10" s="204"/>
      <c r="BI10" s="205"/>
      <c r="BJ10" s="60"/>
      <c r="BK10" s="206"/>
      <c r="BL10" s="60"/>
      <c r="BM10" s="206"/>
      <c r="BN10" s="60"/>
      <c r="BO10" s="206"/>
    </row>
    <row r="11" spans="1:65" ht="13.5" thickBot="1">
      <c r="A11" s="184" t="s">
        <v>44</v>
      </c>
      <c r="B11" s="185">
        <v>1385</v>
      </c>
      <c r="C11" s="137">
        <f t="shared" si="0"/>
        <v>11841.750000000002</v>
      </c>
      <c r="D11" s="154">
        <v>73.31060000000001</v>
      </c>
      <c r="E11" s="187">
        <v>0</v>
      </c>
      <c r="F11" s="186">
        <v>0</v>
      </c>
      <c r="G11" s="187">
        <v>7084.67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3492.79</v>
      </c>
      <c r="N11" s="187">
        <v>0</v>
      </c>
      <c r="O11" s="188">
        <v>1211.36</v>
      </c>
      <c r="P11" s="188">
        <v>0</v>
      </c>
      <c r="Q11" s="186">
        <v>0</v>
      </c>
      <c r="R11" s="186">
        <v>0</v>
      </c>
      <c r="S11" s="186">
        <v>0</v>
      </c>
      <c r="T11" s="187">
        <v>0</v>
      </c>
      <c r="U11" s="207">
        <f t="shared" si="1"/>
        <v>11788.82</v>
      </c>
      <c r="V11" s="195">
        <f t="shared" si="1"/>
        <v>0</v>
      </c>
      <c r="W11" s="187">
        <v>45.21</v>
      </c>
      <c r="X11" s="186">
        <v>5935.99</v>
      </c>
      <c r="Y11" s="187">
        <v>61.29</v>
      </c>
      <c r="Z11" s="187">
        <v>102.02</v>
      </c>
      <c r="AA11" s="187">
        <v>2617.65</v>
      </c>
      <c r="AB11" s="187">
        <v>983.63</v>
      </c>
      <c r="AC11" s="187">
        <v>0</v>
      </c>
      <c r="AD11" s="186">
        <v>0</v>
      </c>
      <c r="AE11" s="186">
        <v>0</v>
      </c>
      <c r="AF11" s="196">
        <f>SUM(W11:AE11)</f>
        <v>9745.789999999999</v>
      </c>
      <c r="AG11" s="197">
        <f>AF11+V11+D11</f>
        <v>9819.1006</v>
      </c>
      <c r="AH11" s="198">
        <f t="shared" si="2"/>
        <v>0</v>
      </c>
      <c r="AI11" s="198">
        <f t="shared" si="2"/>
        <v>0</v>
      </c>
      <c r="AJ11" s="199">
        <f>'[9]Т02'!$J$67+'[9]Т02'!$J$73+'[9]Т02'!$J$109+'[9]Т02'!$J$113+'[9]Т02'!$J$146</f>
        <v>2499.9139999999998</v>
      </c>
      <c r="AK11" s="200">
        <f t="shared" si="3"/>
        <v>927.95</v>
      </c>
      <c r="AL11" s="200">
        <f t="shared" si="4"/>
        <v>277</v>
      </c>
      <c r="AM11" s="200">
        <f t="shared" si="5"/>
        <v>1385</v>
      </c>
      <c r="AN11" s="200">
        <f t="shared" si="6"/>
        <v>290.84999999999997</v>
      </c>
      <c r="AO11" s="200">
        <f t="shared" si="7"/>
        <v>2797.7</v>
      </c>
      <c r="AP11" s="200">
        <f t="shared" si="8"/>
        <v>1426.55</v>
      </c>
      <c r="AQ11" s="200">
        <f t="shared" si="9"/>
        <v>1038.75</v>
      </c>
      <c r="AR11" s="200">
        <f t="shared" si="10"/>
        <v>1038.75</v>
      </c>
      <c r="AS11" s="200">
        <f>B11*1.15</f>
        <v>1592.7499999999998</v>
      </c>
      <c r="AT11" s="200"/>
      <c r="AU11" s="201">
        <v>672</v>
      </c>
      <c r="AV11" s="202"/>
      <c r="AW11" s="201"/>
      <c r="AX11" s="201">
        <f>33.84+15</f>
        <v>48.84</v>
      </c>
      <c r="AY11" s="145"/>
      <c r="AZ11" s="203"/>
      <c r="BA11" s="203"/>
      <c r="BB11" s="203">
        <f>AZ11*0.18</f>
        <v>0</v>
      </c>
      <c r="BC11" s="203">
        <f t="shared" si="11"/>
        <v>11496.14</v>
      </c>
      <c r="BD11" s="204">
        <f>'[9]Т02'!$S$67+'[9]Т02'!$S$73+'[9]Т02'!$S$109+'[9]Т02'!$S$113+'[9]Т02'!$S$145</f>
        <v>1522.3629999999998</v>
      </c>
      <c r="BE11" s="204">
        <f aca="true" t="shared" si="12" ref="BE11:BE21">BC11+BD11</f>
        <v>13018.502999999999</v>
      </c>
      <c r="BF11" s="204">
        <f aca="true" t="shared" si="13" ref="BF11:BF21">AG11+AJ11-BE11</f>
        <v>-699.4884000000002</v>
      </c>
      <c r="BG11" s="204">
        <f aca="true" t="shared" si="14" ref="BG11:BG21">AF11-U11</f>
        <v>-2043.0300000000007</v>
      </c>
      <c r="BH11" s="204"/>
      <c r="BI11" s="205"/>
      <c r="BJ11" s="60"/>
      <c r="BK11" s="206"/>
      <c r="BL11" s="206"/>
      <c r="BM11" s="208"/>
    </row>
    <row r="12" spans="1:65" ht="13.5" thickBot="1">
      <c r="A12" s="184" t="s">
        <v>45</v>
      </c>
      <c r="B12" s="185">
        <v>1385</v>
      </c>
      <c r="C12" s="137">
        <f t="shared" si="0"/>
        <v>11841.750000000002</v>
      </c>
      <c r="D12" s="154">
        <v>73.31060000000001</v>
      </c>
      <c r="E12" s="187">
        <v>0</v>
      </c>
      <c r="F12" s="186">
        <v>0</v>
      </c>
      <c r="G12" s="187">
        <v>7192.68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3492.79</v>
      </c>
      <c r="N12" s="187">
        <v>0</v>
      </c>
      <c r="O12" s="188">
        <v>1211.36</v>
      </c>
      <c r="P12" s="215">
        <v>0</v>
      </c>
      <c r="Q12" s="209">
        <v>0</v>
      </c>
      <c r="R12" s="209">
        <v>0</v>
      </c>
      <c r="S12" s="209">
        <v>0</v>
      </c>
      <c r="T12" s="187">
        <v>0</v>
      </c>
      <c r="U12" s="187">
        <f t="shared" si="1"/>
        <v>11896.830000000002</v>
      </c>
      <c r="V12" s="210">
        <f t="shared" si="1"/>
        <v>0</v>
      </c>
      <c r="W12" s="211">
        <v>26.52</v>
      </c>
      <c r="X12" s="186">
        <v>6840.34</v>
      </c>
      <c r="Y12" s="187">
        <v>35.94</v>
      </c>
      <c r="Z12" s="187">
        <v>59.84</v>
      </c>
      <c r="AA12" s="187">
        <v>3216.62</v>
      </c>
      <c r="AB12" s="187">
        <v>1144.36</v>
      </c>
      <c r="AC12" s="187">
        <v>0</v>
      </c>
      <c r="AD12" s="186">
        <v>0</v>
      </c>
      <c r="AE12" s="187">
        <v>0</v>
      </c>
      <c r="AF12" s="212">
        <f>SUM(W12:AE12)</f>
        <v>11323.62</v>
      </c>
      <c r="AG12" s="197">
        <f>AF12+V12+D12</f>
        <v>11396.930600000002</v>
      </c>
      <c r="AH12" s="198">
        <f t="shared" si="2"/>
        <v>0</v>
      </c>
      <c r="AI12" s="198">
        <f t="shared" si="2"/>
        <v>0</v>
      </c>
      <c r="AJ12" s="199">
        <f>'[9]Т03'!$J$67+'[9]Т03'!$J$73+'[9]Т03'!$J$109+'[9]Т03'!$J$113+'[9]Т03'!$J$146</f>
        <v>2499.9139999999998</v>
      </c>
      <c r="AK12" s="200">
        <f t="shared" si="3"/>
        <v>927.95</v>
      </c>
      <c r="AL12" s="200">
        <f t="shared" si="4"/>
        <v>277</v>
      </c>
      <c r="AM12" s="200">
        <f t="shared" si="5"/>
        <v>1385</v>
      </c>
      <c r="AN12" s="200">
        <f t="shared" si="6"/>
        <v>290.84999999999997</v>
      </c>
      <c r="AO12" s="200">
        <f t="shared" si="7"/>
        <v>2797.7</v>
      </c>
      <c r="AP12" s="200">
        <f t="shared" si="8"/>
        <v>1426.55</v>
      </c>
      <c r="AQ12" s="200">
        <f t="shared" si="9"/>
        <v>1038.75</v>
      </c>
      <c r="AR12" s="200">
        <f t="shared" si="10"/>
        <v>1038.75</v>
      </c>
      <c r="AS12" s="200">
        <f>B12*1.15</f>
        <v>1592.7499999999998</v>
      </c>
      <c r="AT12" s="200">
        <f aca="true" t="shared" si="15" ref="AT12:AT21">0.45*389.6</f>
        <v>175.32000000000002</v>
      </c>
      <c r="AU12" s="201">
        <v>1323</v>
      </c>
      <c r="AV12" s="213"/>
      <c r="AW12" s="201"/>
      <c r="AX12" s="201">
        <f>30+34+16+16</f>
        <v>96</v>
      </c>
      <c r="AY12" s="145"/>
      <c r="AZ12" s="203"/>
      <c r="BA12" s="203"/>
      <c r="BB12" s="203">
        <f>AZ12*0.18</f>
        <v>0</v>
      </c>
      <c r="BC12" s="203">
        <f t="shared" si="11"/>
        <v>12369.619999999999</v>
      </c>
      <c r="BD12" s="204">
        <f>'[9]Т03'!$S$67+'[9]Т03'!$S$73+'[9]Т03'!$S$109+'[9]Т03'!$S$113+'[9]Т03'!$S$146</f>
        <v>1522.3629999999998</v>
      </c>
      <c r="BE12" s="204">
        <f t="shared" si="12"/>
        <v>13891.982999999998</v>
      </c>
      <c r="BF12" s="204">
        <f t="shared" si="13"/>
        <v>4.861600000001999</v>
      </c>
      <c r="BG12" s="204">
        <f t="shared" si="14"/>
        <v>-573.210000000001</v>
      </c>
      <c r="BH12" s="204"/>
      <c r="BI12" s="205"/>
      <c r="BJ12" s="60"/>
      <c r="BK12" s="206"/>
      <c r="BL12" s="206"/>
      <c r="BM12" s="208"/>
    </row>
    <row r="13" spans="1:65" ht="13.5" thickBot="1">
      <c r="A13" s="184" t="s">
        <v>46</v>
      </c>
      <c r="B13" s="185">
        <v>1385</v>
      </c>
      <c r="C13" s="137">
        <f t="shared" si="0"/>
        <v>11841.750000000002</v>
      </c>
      <c r="D13" s="214">
        <v>73.31060000000001</v>
      </c>
      <c r="E13" s="264">
        <v>0</v>
      </c>
      <c r="F13" s="186">
        <v>0</v>
      </c>
      <c r="G13" s="211">
        <v>7192.67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3492.79</v>
      </c>
      <c r="N13" s="187">
        <v>0</v>
      </c>
      <c r="O13" s="188">
        <v>1211.35</v>
      </c>
      <c r="P13" s="215">
        <v>0</v>
      </c>
      <c r="Q13" s="215">
        <v>0</v>
      </c>
      <c r="R13" s="189">
        <v>0</v>
      </c>
      <c r="S13" s="216">
        <v>0</v>
      </c>
      <c r="T13" s="193">
        <v>0</v>
      </c>
      <c r="U13" s="207">
        <f t="shared" si="1"/>
        <v>11896.81</v>
      </c>
      <c r="V13" s="210">
        <f t="shared" si="1"/>
        <v>0</v>
      </c>
      <c r="W13" s="187">
        <v>0.14</v>
      </c>
      <c r="X13" s="186">
        <v>6985.9</v>
      </c>
      <c r="Y13" s="187">
        <v>0.2</v>
      </c>
      <c r="Z13" s="187">
        <v>0.34</v>
      </c>
      <c r="AA13" s="187">
        <v>3296.71</v>
      </c>
      <c r="AB13" s="186">
        <v>1174.23</v>
      </c>
      <c r="AC13" s="187">
        <v>0</v>
      </c>
      <c r="AD13" s="186">
        <v>0</v>
      </c>
      <c r="AE13" s="186">
        <v>0</v>
      </c>
      <c r="AF13" s="196">
        <f>SUM(W13:AD13)</f>
        <v>11457.52</v>
      </c>
      <c r="AG13" s="217">
        <f>AF13+V13+D13</f>
        <v>11530.830600000001</v>
      </c>
      <c r="AH13" s="218">
        <f t="shared" si="2"/>
        <v>0</v>
      </c>
      <c r="AI13" s="218">
        <f t="shared" si="2"/>
        <v>0</v>
      </c>
      <c r="AJ13" s="219">
        <f>'[10]Т04'!$J$67+'[10]Т04'!$J$73+'[10]Т04'!$J$110+'[10]Т04'!$J$114+'[10]Т04'!$J$148</f>
        <v>2499.9139999999998</v>
      </c>
      <c r="AK13" s="200">
        <f t="shared" si="3"/>
        <v>927.95</v>
      </c>
      <c r="AL13" s="200">
        <f t="shared" si="4"/>
        <v>277</v>
      </c>
      <c r="AM13" s="200">
        <f t="shared" si="5"/>
        <v>1385</v>
      </c>
      <c r="AN13" s="200">
        <f t="shared" si="6"/>
        <v>290.84999999999997</v>
      </c>
      <c r="AO13" s="200">
        <f t="shared" si="7"/>
        <v>2797.7</v>
      </c>
      <c r="AP13" s="200">
        <f t="shared" si="8"/>
        <v>1426.55</v>
      </c>
      <c r="AQ13" s="200">
        <f t="shared" si="9"/>
        <v>1038.75</v>
      </c>
      <c r="AR13" s="200">
        <f t="shared" si="10"/>
        <v>1038.75</v>
      </c>
      <c r="AS13" s="200"/>
      <c r="AT13" s="220">
        <f t="shared" si="15"/>
        <v>175.32000000000002</v>
      </c>
      <c r="AU13" s="221"/>
      <c r="AV13" s="221"/>
      <c r="AW13" s="221"/>
      <c r="AX13" s="221">
        <f>45</f>
        <v>45</v>
      </c>
      <c r="AY13" s="145"/>
      <c r="AZ13" s="220"/>
      <c r="BA13" s="220"/>
      <c r="BB13" s="220"/>
      <c r="BC13" s="209">
        <f t="shared" si="11"/>
        <v>9402.869999999999</v>
      </c>
      <c r="BD13" s="222">
        <f>'[9]Т04'!$S$67+'[9]Т04'!$S$73+'[9]Т04'!$S$110+'[9]Т04'!$S$114+'[9]Т04'!$S$148</f>
        <v>1522.3629999999998</v>
      </c>
      <c r="BE13" s="204">
        <f t="shared" si="12"/>
        <v>10925.232999999998</v>
      </c>
      <c r="BF13" s="204">
        <f t="shared" si="13"/>
        <v>3105.5116000000035</v>
      </c>
      <c r="BG13" s="204">
        <f t="shared" si="14"/>
        <v>-439.28999999999905</v>
      </c>
      <c r="BH13" s="204"/>
      <c r="BI13" s="205"/>
      <c r="BJ13" s="60"/>
      <c r="BK13" s="206"/>
      <c r="BL13" s="206"/>
      <c r="BM13" s="208"/>
    </row>
    <row r="14" spans="1:65" ht="13.5" thickBot="1">
      <c r="A14" s="184" t="s">
        <v>47</v>
      </c>
      <c r="B14" s="223">
        <v>1385</v>
      </c>
      <c r="C14" s="137">
        <f t="shared" si="0"/>
        <v>11841.750000000002</v>
      </c>
      <c r="D14" s="214">
        <v>73.31060000000001</v>
      </c>
      <c r="E14" s="211">
        <v>0</v>
      </c>
      <c r="F14" s="186">
        <v>0</v>
      </c>
      <c r="G14" s="187">
        <v>7192.68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3492.79</v>
      </c>
      <c r="N14" s="187">
        <v>0</v>
      </c>
      <c r="O14" s="188">
        <v>1211.36</v>
      </c>
      <c r="P14" s="215">
        <v>0</v>
      </c>
      <c r="Q14" s="209">
        <v>0</v>
      </c>
      <c r="R14" s="224">
        <v>0</v>
      </c>
      <c r="S14" s="209">
        <v>0</v>
      </c>
      <c r="T14" s="186">
        <v>0</v>
      </c>
      <c r="U14" s="192">
        <f t="shared" si="1"/>
        <v>11896.830000000002</v>
      </c>
      <c r="V14" s="225">
        <f>F14+H14+J14+L14+N14++R14+T14</f>
        <v>0</v>
      </c>
      <c r="W14" s="187">
        <v>0.34</v>
      </c>
      <c r="X14" s="186">
        <v>6942.21</v>
      </c>
      <c r="Y14" s="187">
        <v>0.46</v>
      </c>
      <c r="Z14" s="187">
        <v>0.8</v>
      </c>
      <c r="AA14" s="187">
        <v>3293.9</v>
      </c>
      <c r="AB14" s="187">
        <v>1169.55</v>
      </c>
      <c r="AC14" s="187">
        <v>0</v>
      </c>
      <c r="AD14" s="186">
        <v>0</v>
      </c>
      <c r="AE14" s="196">
        <v>0</v>
      </c>
      <c r="AF14" s="226">
        <f>SUM(W14:AE14)</f>
        <v>11407.26</v>
      </c>
      <c r="AG14" s="217">
        <f aca="true" t="shared" si="16" ref="AG14:AG21">D14+V14+AF14</f>
        <v>11480.570600000001</v>
      </c>
      <c r="AH14" s="218">
        <f t="shared" si="2"/>
        <v>0</v>
      </c>
      <c r="AI14" s="218">
        <f t="shared" si="2"/>
        <v>0</v>
      </c>
      <c r="AJ14" s="219">
        <f>'[9]Т05'!$J$67+'[9]Т05'!$J$73+'[9]Т05'!$J$108+'[9]Т05'!$J$112+'[9]Т05'!$J$146+'[9]Т05'!$J$207</f>
        <v>2613.9139999999998</v>
      </c>
      <c r="AK14" s="200">
        <f t="shared" si="3"/>
        <v>927.95</v>
      </c>
      <c r="AL14" s="200">
        <f t="shared" si="4"/>
        <v>277</v>
      </c>
      <c r="AM14" s="200">
        <f t="shared" si="5"/>
        <v>1385</v>
      </c>
      <c r="AN14" s="200">
        <f t="shared" si="6"/>
        <v>290.84999999999997</v>
      </c>
      <c r="AO14" s="200">
        <f t="shared" si="7"/>
        <v>2797.7</v>
      </c>
      <c r="AP14" s="200">
        <f t="shared" si="8"/>
        <v>1426.55</v>
      </c>
      <c r="AQ14" s="200">
        <f t="shared" si="9"/>
        <v>1038.75</v>
      </c>
      <c r="AR14" s="200">
        <f t="shared" si="10"/>
        <v>1038.75</v>
      </c>
      <c r="AS14" s="200"/>
      <c r="AT14" s="220">
        <f t="shared" si="15"/>
        <v>175.32000000000002</v>
      </c>
      <c r="AU14" s="221"/>
      <c r="AV14" s="221"/>
      <c r="AW14" s="221">
        <v>371</v>
      </c>
      <c r="AX14" s="221"/>
      <c r="AY14" s="145"/>
      <c r="AZ14" s="220"/>
      <c r="BA14" s="220"/>
      <c r="BB14" s="220"/>
      <c r="BC14" s="209">
        <f t="shared" si="11"/>
        <v>9728.869999999999</v>
      </c>
      <c r="BD14" s="222">
        <f>'[9]Т05'!$S$67+'[9]Т05'!$S$73+'[9]Т05'!$S$108+'[9]Т05'!$S$112+'[9]Т05'!$S$146+'[9]Т05'!$S$207</f>
        <v>1550.8629999999998</v>
      </c>
      <c r="BE14" s="204">
        <f t="shared" si="12"/>
        <v>11279.732999999998</v>
      </c>
      <c r="BF14" s="204">
        <f t="shared" si="13"/>
        <v>2814.7516000000014</v>
      </c>
      <c r="BG14" s="204">
        <f t="shared" si="14"/>
        <v>-489.5700000000015</v>
      </c>
      <c r="BH14" s="204"/>
      <c r="BI14" s="205"/>
      <c r="BJ14" s="60"/>
      <c r="BK14" s="206"/>
      <c r="BL14" s="206"/>
      <c r="BM14" s="208"/>
    </row>
    <row r="15" spans="1:66" ht="13.5" thickBot="1">
      <c r="A15" s="184" t="s">
        <v>48</v>
      </c>
      <c r="B15" s="185">
        <v>1385</v>
      </c>
      <c r="C15" s="137">
        <f t="shared" si="0"/>
        <v>11841.750000000002</v>
      </c>
      <c r="D15" s="214">
        <v>73.31060000000001</v>
      </c>
      <c r="E15" s="227">
        <v>0</v>
      </c>
      <c r="F15" s="227"/>
      <c r="G15" s="227">
        <v>7192.67</v>
      </c>
      <c r="H15" s="227"/>
      <c r="I15" s="228">
        <v>0</v>
      </c>
      <c r="J15" s="228"/>
      <c r="K15" s="228">
        <v>0</v>
      </c>
      <c r="L15" s="228"/>
      <c r="M15" s="228">
        <v>3492.8</v>
      </c>
      <c r="N15" s="228"/>
      <c r="O15" s="228">
        <v>1211.36</v>
      </c>
      <c r="P15" s="228"/>
      <c r="Q15" s="228">
        <v>0</v>
      </c>
      <c r="R15" s="229"/>
      <c r="S15" s="229">
        <v>0</v>
      </c>
      <c r="T15" s="228"/>
      <c r="U15" s="230">
        <f t="shared" si="1"/>
        <v>11896.830000000002</v>
      </c>
      <c r="V15" s="231">
        <f t="shared" si="1"/>
        <v>0</v>
      </c>
      <c r="W15" s="232">
        <v>12.08</v>
      </c>
      <c r="X15" s="227">
        <v>6790.64</v>
      </c>
      <c r="Y15" s="227">
        <v>16.33</v>
      </c>
      <c r="Z15" s="227">
        <v>27.22</v>
      </c>
      <c r="AA15" s="227">
        <v>3861.91</v>
      </c>
      <c r="AB15" s="227">
        <v>1301.66</v>
      </c>
      <c r="AC15" s="227">
        <v>0</v>
      </c>
      <c r="AD15" s="227">
        <v>0</v>
      </c>
      <c r="AE15" s="233">
        <v>0</v>
      </c>
      <c r="AF15" s="234">
        <f aca="true" t="shared" si="17" ref="AF15:AF21">SUM(W15:AE15)</f>
        <v>12009.84</v>
      </c>
      <c r="AG15" s="217">
        <f t="shared" si="16"/>
        <v>12083.1506</v>
      </c>
      <c r="AH15" s="218">
        <f t="shared" si="2"/>
        <v>0</v>
      </c>
      <c r="AI15" s="218">
        <f t="shared" si="2"/>
        <v>0</v>
      </c>
      <c r="AJ15" s="219">
        <f>'[9]Т06'!$J$67+'[9]Т06'!$J$73+'[9]Т06'!$J$108+'[9]Т06'!$J$112+'[9]Т06'!$J$146+'[9]Т06'!$J$207</f>
        <v>2613.9139999999998</v>
      </c>
      <c r="AK15" s="200">
        <f t="shared" si="3"/>
        <v>927.95</v>
      </c>
      <c r="AL15" s="200">
        <f t="shared" si="4"/>
        <v>277</v>
      </c>
      <c r="AM15" s="200">
        <f t="shared" si="5"/>
        <v>1385</v>
      </c>
      <c r="AN15" s="200">
        <f t="shared" si="6"/>
        <v>290.84999999999997</v>
      </c>
      <c r="AO15" s="200">
        <f t="shared" si="7"/>
        <v>2797.7</v>
      </c>
      <c r="AP15" s="200">
        <f t="shared" si="8"/>
        <v>1426.55</v>
      </c>
      <c r="AQ15" s="200">
        <f t="shared" si="9"/>
        <v>1038.75</v>
      </c>
      <c r="AR15" s="200">
        <f t="shared" si="10"/>
        <v>1038.75</v>
      </c>
      <c r="AS15" s="200"/>
      <c r="AT15" s="220">
        <f t="shared" si="15"/>
        <v>175.32000000000002</v>
      </c>
      <c r="AU15" s="221"/>
      <c r="AV15" s="221"/>
      <c r="AW15" s="221"/>
      <c r="AX15" s="221"/>
      <c r="AY15" s="200"/>
      <c r="AZ15" s="220"/>
      <c r="BA15" s="220"/>
      <c r="BB15" s="220"/>
      <c r="BC15" s="235">
        <f t="shared" si="11"/>
        <v>9357.869999999999</v>
      </c>
      <c r="BD15" s="222">
        <f>'[9]Т06'!$S$67+'[9]Т06'!$S$73+'[9]Т06'!$S$108+'[9]Т06'!$S$112+'[9]Т06'!$S$146+'[9]Т06'!$S$207</f>
        <v>1550.8629999999998</v>
      </c>
      <c r="BE15" s="204">
        <f t="shared" si="12"/>
        <v>10908.732999999998</v>
      </c>
      <c r="BF15" s="204">
        <f t="shared" si="13"/>
        <v>3788.331600000003</v>
      </c>
      <c r="BG15" s="204">
        <f t="shared" si="14"/>
        <v>113.0099999999984</v>
      </c>
      <c r="BH15" s="204"/>
      <c r="BI15" s="205"/>
      <c r="BJ15" s="60"/>
      <c r="BK15" s="206"/>
      <c r="BL15" s="206"/>
      <c r="BM15" s="206"/>
      <c r="BN15" s="208"/>
    </row>
    <row r="16" spans="1:64" ht="13.5" thickBot="1">
      <c r="A16" s="184" t="s">
        <v>49</v>
      </c>
      <c r="B16" s="185">
        <v>1385</v>
      </c>
      <c r="C16" s="137">
        <f t="shared" si="0"/>
        <v>11841.750000000002</v>
      </c>
      <c r="D16" s="214">
        <v>73.31060000000001</v>
      </c>
      <c r="E16" s="236"/>
      <c r="F16" s="236"/>
      <c r="G16" s="236">
        <v>7192.68</v>
      </c>
      <c r="H16" s="236"/>
      <c r="I16" s="236"/>
      <c r="J16" s="236"/>
      <c r="K16" s="236"/>
      <c r="L16" s="236"/>
      <c r="M16" s="236">
        <v>3492.8</v>
      </c>
      <c r="N16" s="236"/>
      <c r="O16" s="236">
        <v>1211.36</v>
      </c>
      <c r="P16" s="236"/>
      <c r="Q16" s="236"/>
      <c r="R16" s="236"/>
      <c r="S16" s="237"/>
      <c r="T16" s="232"/>
      <c r="U16" s="238">
        <f t="shared" si="1"/>
        <v>11896.84</v>
      </c>
      <c r="V16" s="239">
        <f t="shared" si="1"/>
        <v>0</v>
      </c>
      <c r="W16" s="240">
        <v>0.01</v>
      </c>
      <c r="X16" s="236">
        <v>6422.76</v>
      </c>
      <c r="Y16" s="236">
        <v>0.01</v>
      </c>
      <c r="Z16" s="236">
        <v>0.02</v>
      </c>
      <c r="AA16" s="236">
        <v>3040.42</v>
      </c>
      <c r="AB16" s="236">
        <v>1081.44</v>
      </c>
      <c r="AC16" s="227"/>
      <c r="AD16" s="236"/>
      <c r="AE16" s="237"/>
      <c r="AF16" s="234">
        <f t="shared" si="17"/>
        <v>10544.660000000002</v>
      </c>
      <c r="AG16" s="241">
        <f t="shared" si="16"/>
        <v>10617.970600000002</v>
      </c>
      <c r="AH16" s="218">
        <f t="shared" si="2"/>
        <v>0</v>
      </c>
      <c r="AI16" s="218">
        <f t="shared" si="2"/>
        <v>0</v>
      </c>
      <c r="AJ16" s="219">
        <f>'[9]Т07'!$J$67+'[9]Т07'!$J$73+'[9]Т07'!$J$108+'[9]Т07'!$J$112+'[9]Т07'!$J$151+'[9]Т07'!$J$211</f>
        <v>2613.9139999999998</v>
      </c>
      <c r="AK16" s="200">
        <f t="shared" si="3"/>
        <v>927.95</v>
      </c>
      <c r="AL16" s="200">
        <f t="shared" si="4"/>
        <v>277</v>
      </c>
      <c r="AM16" s="200">
        <f t="shared" si="5"/>
        <v>1385</v>
      </c>
      <c r="AN16" s="200">
        <f t="shared" si="6"/>
        <v>290.84999999999997</v>
      </c>
      <c r="AO16" s="200">
        <f t="shared" si="7"/>
        <v>2797.7</v>
      </c>
      <c r="AP16" s="200">
        <f t="shared" si="8"/>
        <v>1426.55</v>
      </c>
      <c r="AQ16" s="200">
        <f t="shared" si="9"/>
        <v>1038.75</v>
      </c>
      <c r="AR16" s="200">
        <f t="shared" si="10"/>
        <v>1038.75</v>
      </c>
      <c r="AS16" s="200"/>
      <c r="AT16" s="220">
        <f t="shared" si="15"/>
        <v>175.32000000000002</v>
      </c>
      <c r="AU16" s="221">
        <v>603</v>
      </c>
      <c r="AV16" s="221"/>
      <c r="AW16" s="221"/>
      <c r="AX16" s="221">
        <f>111.43+9.43+100</f>
        <v>220.86</v>
      </c>
      <c r="AY16" s="145"/>
      <c r="AZ16" s="220"/>
      <c r="BA16" s="220"/>
      <c r="BB16" s="220"/>
      <c r="BC16" s="209">
        <f t="shared" si="11"/>
        <v>10181.73</v>
      </c>
      <c r="BD16" s="222">
        <f>'[9]Т07'!$S$67+'[9]Т07'!$S$73+'[9]Т07'!$S$108+'[9]Т07'!$S$112+'[9]Т07'!$S$151+'[9]Т07'!$S$211</f>
        <v>1550.8629999999998</v>
      </c>
      <c r="BE16" s="204">
        <f t="shared" si="12"/>
        <v>11732.592999999999</v>
      </c>
      <c r="BF16" s="204">
        <f t="shared" si="13"/>
        <v>1499.2916000000023</v>
      </c>
      <c r="BG16" s="204">
        <f t="shared" si="14"/>
        <v>-1352.1799999999985</v>
      </c>
      <c r="BH16" s="204"/>
      <c r="BI16" s="205"/>
      <c r="BJ16" s="60"/>
      <c r="BK16" s="169"/>
      <c r="BL16" s="169"/>
    </row>
    <row r="17" spans="1:64" ht="13.5" thickBot="1">
      <c r="A17" s="184" t="s">
        <v>50</v>
      </c>
      <c r="B17" s="185">
        <v>1385</v>
      </c>
      <c r="C17" s="137">
        <f t="shared" si="0"/>
        <v>11841.750000000002</v>
      </c>
      <c r="D17" s="214">
        <v>73.31060000000001</v>
      </c>
      <c r="E17" s="236"/>
      <c r="F17" s="236"/>
      <c r="G17" s="236">
        <v>7192.68</v>
      </c>
      <c r="H17" s="236"/>
      <c r="I17" s="236"/>
      <c r="J17" s="236"/>
      <c r="K17" s="236"/>
      <c r="L17" s="236"/>
      <c r="M17" s="236">
        <v>3492.79</v>
      </c>
      <c r="N17" s="236">
        <v>0</v>
      </c>
      <c r="O17" s="236">
        <v>1211.36</v>
      </c>
      <c r="P17" s="236"/>
      <c r="Q17" s="236"/>
      <c r="R17" s="236"/>
      <c r="S17" s="237"/>
      <c r="T17" s="233"/>
      <c r="U17" s="242">
        <f t="shared" si="1"/>
        <v>11896.830000000002</v>
      </c>
      <c r="V17" s="243">
        <f t="shared" si="1"/>
        <v>0</v>
      </c>
      <c r="W17" s="236">
        <v>0</v>
      </c>
      <c r="X17" s="236">
        <v>7014.47</v>
      </c>
      <c r="Y17" s="236">
        <v>0</v>
      </c>
      <c r="Z17" s="236">
        <v>0</v>
      </c>
      <c r="AA17" s="236">
        <v>3335.41</v>
      </c>
      <c r="AB17" s="236">
        <v>1181.36</v>
      </c>
      <c r="AC17" s="236"/>
      <c r="AD17" s="236"/>
      <c r="AE17" s="237"/>
      <c r="AF17" s="234">
        <f t="shared" si="17"/>
        <v>11531.240000000002</v>
      </c>
      <c r="AG17" s="241">
        <f t="shared" si="16"/>
        <v>11604.550600000002</v>
      </c>
      <c r="AH17" s="218">
        <f t="shared" si="2"/>
        <v>0</v>
      </c>
      <c r="AI17" s="218">
        <f t="shared" si="2"/>
        <v>0</v>
      </c>
      <c r="AJ17" s="219">
        <f>'[9]Т08'!$J$67+'[9]Т08'!$J$73+'[9]Т08'!$J$108+'[9]Т08'!$J$112+'[9]Т08'!$J$154+'[9]Т08'!$J$215</f>
        <v>2613.9139999999998</v>
      </c>
      <c r="AK17" s="200">
        <f t="shared" si="3"/>
        <v>927.95</v>
      </c>
      <c r="AL17" s="200">
        <f t="shared" si="4"/>
        <v>277</v>
      </c>
      <c r="AM17" s="200">
        <f t="shared" si="5"/>
        <v>1385</v>
      </c>
      <c r="AN17" s="200">
        <f t="shared" si="6"/>
        <v>290.84999999999997</v>
      </c>
      <c r="AO17" s="200">
        <f t="shared" si="7"/>
        <v>2797.7</v>
      </c>
      <c r="AP17" s="200">
        <f t="shared" si="8"/>
        <v>1426.55</v>
      </c>
      <c r="AQ17" s="200">
        <f t="shared" si="9"/>
        <v>1038.75</v>
      </c>
      <c r="AR17" s="200">
        <f t="shared" si="10"/>
        <v>1038.75</v>
      </c>
      <c r="AS17" s="200"/>
      <c r="AT17" s="220">
        <f t="shared" si="15"/>
        <v>175.32000000000002</v>
      </c>
      <c r="AU17" s="221"/>
      <c r="AV17" s="221"/>
      <c r="AW17" s="221">
        <v>4031</v>
      </c>
      <c r="AX17" s="221"/>
      <c r="AY17" s="145"/>
      <c r="AZ17" s="220"/>
      <c r="BA17" s="220"/>
      <c r="BB17" s="220"/>
      <c r="BC17" s="209">
        <f t="shared" si="11"/>
        <v>13388.869999999999</v>
      </c>
      <c r="BD17" s="222">
        <f>'[9]Т08'!$S$67+'[9]Т08'!$S$73+'[9]Т08'!$S$108+'[9]Т08'!$S$112+'[9]Т08'!$S$154+'[9]Т08'!$S$215</f>
        <v>1550.8629999999998</v>
      </c>
      <c r="BE17" s="204">
        <f t="shared" si="12"/>
        <v>14939.732999999998</v>
      </c>
      <c r="BF17" s="204">
        <f t="shared" si="13"/>
        <v>-721.2683999999954</v>
      </c>
      <c r="BG17" s="204">
        <f t="shared" si="14"/>
        <v>-365.59000000000015</v>
      </c>
      <c r="BH17" s="204"/>
      <c r="BI17" s="205"/>
      <c r="BJ17" s="60"/>
      <c r="BK17" s="169"/>
      <c r="BL17" s="169"/>
    </row>
    <row r="18" spans="1:64" ht="13.5" thickBot="1">
      <c r="A18" s="184" t="s">
        <v>51</v>
      </c>
      <c r="B18" s="185">
        <v>1385</v>
      </c>
      <c r="C18" s="137">
        <f t="shared" si="0"/>
        <v>11841.750000000002</v>
      </c>
      <c r="D18" s="214">
        <v>73.31060000000001</v>
      </c>
      <c r="E18" s="236"/>
      <c r="F18" s="236"/>
      <c r="G18" s="236">
        <v>7300.69</v>
      </c>
      <c r="H18" s="236"/>
      <c r="I18" s="236"/>
      <c r="J18" s="236"/>
      <c r="K18" s="236"/>
      <c r="L18" s="236"/>
      <c r="M18" s="236">
        <v>3545.24</v>
      </c>
      <c r="N18" s="236">
        <v>0</v>
      </c>
      <c r="O18" s="236">
        <v>1229.56</v>
      </c>
      <c r="P18" s="236"/>
      <c r="Q18" s="236"/>
      <c r="R18" s="236"/>
      <c r="S18" s="237"/>
      <c r="T18" s="244"/>
      <c r="U18" s="244">
        <f t="shared" si="1"/>
        <v>12075.49</v>
      </c>
      <c r="V18" s="245">
        <f t="shared" si="1"/>
        <v>0</v>
      </c>
      <c r="W18" s="236">
        <v>206.78</v>
      </c>
      <c r="X18" s="236">
        <v>6872.58</v>
      </c>
      <c r="Y18" s="236">
        <v>279.24</v>
      </c>
      <c r="Z18" s="236">
        <v>465.34</v>
      </c>
      <c r="AA18" s="236">
        <v>3804.87</v>
      </c>
      <c r="AB18" s="236">
        <v>1265.6</v>
      </c>
      <c r="AC18" s="236"/>
      <c r="AD18" s="236"/>
      <c r="AE18" s="237"/>
      <c r="AF18" s="234">
        <f t="shared" si="17"/>
        <v>12894.41</v>
      </c>
      <c r="AG18" s="241">
        <f t="shared" si="16"/>
        <v>12967.7206</v>
      </c>
      <c r="AH18" s="218">
        <f t="shared" si="2"/>
        <v>0</v>
      </c>
      <c r="AI18" s="218">
        <f t="shared" si="2"/>
        <v>0</v>
      </c>
      <c r="AJ18" s="219">
        <f>'[9]Т09'!$J$67+'[9]Т09'!$J$73+'[9]Т09'!$J$108+'[9]Т09'!$J$112+'[9]Т09'!$J$154+'[9]Т09'!$J$215</f>
        <v>2613.9139999999998</v>
      </c>
      <c r="AK18" s="200">
        <f t="shared" si="3"/>
        <v>927.95</v>
      </c>
      <c r="AL18" s="200">
        <f t="shared" si="4"/>
        <v>277</v>
      </c>
      <c r="AM18" s="200">
        <f t="shared" si="5"/>
        <v>1385</v>
      </c>
      <c r="AN18" s="200">
        <f t="shared" si="6"/>
        <v>290.84999999999997</v>
      </c>
      <c r="AO18" s="200">
        <f t="shared" si="7"/>
        <v>2797.7</v>
      </c>
      <c r="AP18" s="200">
        <f t="shared" si="8"/>
        <v>1426.55</v>
      </c>
      <c r="AQ18" s="200">
        <f t="shared" si="9"/>
        <v>1038.75</v>
      </c>
      <c r="AR18" s="200">
        <f t="shared" si="10"/>
        <v>1038.75</v>
      </c>
      <c r="AS18" s="200"/>
      <c r="AT18" s="220">
        <f t="shared" si="15"/>
        <v>175.32000000000002</v>
      </c>
      <c r="AU18" s="221">
        <v>2793</v>
      </c>
      <c r="AV18" s="221"/>
      <c r="AW18" s="221">
        <v>75</v>
      </c>
      <c r="AX18" s="221">
        <f>25+213.34</f>
        <v>238.34</v>
      </c>
      <c r="AY18" s="145"/>
      <c r="AZ18" s="220"/>
      <c r="BA18" s="220"/>
      <c r="BB18" s="220"/>
      <c r="BC18" s="209">
        <f t="shared" si="11"/>
        <v>12464.21</v>
      </c>
      <c r="BD18" s="222">
        <f>'[9]Т08'!$S$67+'[9]Т08'!$S$73+'[9]Т08'!$S$108+'[9]Т08'!$S$112+'[9]Т08'!$S$154+'[9]Т08'!$S$215</f>
        <v>1550.8629999999998</v>
      </c>
      <c r="BE18" s="204">
        <f t="shared" si="12"/>
        <v>14015.072999999999</v>
      </c>
      <c r="BF18" s="204">
        <f t="shared" si="13"/>
        <v>1566.5616000000027</v>
      </c>
      <c r="BG18" s="204">
        <f t="shared" si="14"/>
        <v>818.9200000000001</v>
      </c>
      <c r="BH18" s="204"/>
      <c r="BI18" s="205"/>
      <c r="BJ18" s="60"/>
      <c r="BK18" s="169"/>
      <c r="BL18" s="169"/>
    </row>
    <row r="19" spans="1:62" ht="13.5" thickBot="1">
      <c r="A19" s="184" t="s">
        <v>39</v>
      </c>
      <c r="B19" s="185">
        <v>1385</v>
      </c>
      <c r="C19" s="137">
        <f t="shared" si="0"/>
        <v>11841.750000000002</v>
      </c>
      <c r="D19" s="246">
        <v>73.31060000000001</v>
      </c>
      <c r="E19" s="227"/>
      <c r="F19" s="227"/>
      <c r="G19" s="227">
        <v>7300.69</v>
      </c>
      <c r="H19" s="227"/>
      <c r="I19" s="227"/>
      <c r="J19" s="227"/>
      <c r="K19" s="227"/>
      <c r="L19" s="227"/>
      <c r="M19" s="227">
        <v>3545.23</v>
      </c>
      <c r="N19" s="227">
        <v>0</v>
      </c>
      <c r="O19" s="227">
        <v>1229.56</v>
      </c>
      <c r="P19" s="227"/>
      <c r="Q19" s="227"/>
      <c r="R19" s="227"/>
      <c r="S19" s="233"/>
      <c r="T19" s="247"/>
      <c r="U19" s="248">
        <f t="shared" si="1"/>
        <v>12075.48</v>
      </c>
      <c r="V19" s="249">
        <f t="shared" si="1"/>
        <v>0</v>
      </c>
      <c r="W19" s="227">
        <v>0</v>
      </c>
      <c r="X19" s="227">
        <v>6810.41</v>
      </c>
      <c r="Y19" s="227">
        <v>0</v>
      </c>
      <c r="Z19" s="227">
        <v>0</v>
      </c>
      <c r="AA19" s="227">
        <v>3306.95</v>
      </c>
      <c r="AB19" s="227">
        <v>1146.81</v>
      </c>
      <c r="AC19" s="227"/>
      <c r="AD19" s="227"/>
      <c r="AE19" s="233"/>
      <c r="AF19" s="234">
        <f t="shared" si="17"/>
        <v>11264.17</v>
      </c>
      <c r="AG19" s="241">
        <f t="shared" si="16"/>
        <v>11337.4806</v>
      </c>
      <c r="AH19" s="218">
        <f t="shared" si="2"/>
        <v>0</v>
      </c>
      <c r="AI19" s="218">
        <f t="shared" si="2"/>
        <v>0</v>
      </c>
      <c r="AJ19" s="219">
        <f>'[9]Т10'!$J$67+'[9]Т10'!$J$73+'[9]Т10'!$J$108+'[9]Т10'!$J$112+'[9]Т10'!$J$154+'[9]Т10'!$J$215</f>
        <v>2613.9139999999998</v>
      </c>
      <c r="AK19" s="200">
        <f t="shared" si="3"/>
        <v>927.95</v>
      </c>
      <c r="AL19" s="200">
        <f t="shared" si="4"/>
        <v>277</v>
      </c>
      <c r="AM19" s="200">
        <f t="shared" si="5"/>
        <v>1385</v>
      </c>
      <c r="AN19" s="200">
        <f t="shared" si="6"/>
        <v>290.84999999999997</v>
      </c>
      <c r="AO19" s="200">
        <f t="shared" si="7"/>
        <v>2797.7</v>
      </c>
      <c r="AP19" s="200">
        <f t="shared" si="8"/>
        <v>1426.55</v>
      </c>
      <c r="AQ19" s="200">
        <f t="shared" si="9"/>
        <v>1038.75</v>
      </c>
      <c r="AR19" s="200">
        <f t="shared" si="10"/>
        <v>1038.75</v>
      </c>
      <c r="AS19" s="250">
        <f>B19*1.15</f>
        <v>1592.7499999999998</v>
      </c>
      <c r="AT19" s="220">
        <f t="shared" si="15"/>
        <v>175.32000000000002</v>
      </c>
      <c r="AU19" s="221"/>
      <c r="AV19" s="221"/>
      <c r="AW19" s="221"/>
      <c r="AX19" s="221">
        <f>10.45</f>
        <v>10.45</v>
      </c>
      <c r="AY19" s="145"/>
      <c r="AZ19" s="220"/>
      <c r="BA19" s="220"/>
      <c r="BB19" s="220"/>
      <c r="BC19" s="209">
        <f t="shared" si="11"/>
        <v>10961.07</v>
      </c>
      <c r="BD19" s="222">
        <f>'[9]Т10'!$S$67+'[9]Т10'!$S$73+'[9]Т10'!$S$108+'[9]Т10'!$S$112+'[9]Т10'!$S$154+'[9]Т10'!$S$215</f>
        <v>1550.8629999999998</v>
      </c>
      <c r="BE19" s="204">
        <f t="shared" si="12"/>
        <v>12511.932999999999</v>
      </c>
      <c r="BF19" s="204">
        <f t="shared" si="13"/>
        <v>1439.4616000000005</v>
      </c>
      <c r="BG19" s="204">
        <f t="shared" si="14"/>
        <v>-811.3099999999995</v>
      </c>
      <c r="BH19" s="204"/>
      <c r="BI19" s="205"/>
      <c r="BJ19" s="60"/>
    </row>
    <row r="20" spans="1:62" ht="13.5" thickBot="1">
      <c r="A20" s="184" t="s">
        <v>40</v>
      </c>
      <c r="B20" s="185">
        <v>1385</v>
      </c>
      <c r="C20" s="137">
        <f t="shared" si="0"/>
        <v>11841.750000000002</v>
      </c>
      <c r="D20" s="265">
        <v>73.31060000000001</v>
      </c>
      <c r="E20" s="227"/>
      <c r="F20" s="227"/>
      <c r="G20" s="227">
        <v>7300.69</v>
      </c>
      <c r="H20" s="227"/>
      <c r="I20" s="227"/>
      <c r="J20" s="227"/>
      <c r="K20" s="227"/>
      <c r="L20" s="227"/>
      <c r="M20" s="227">
        <v>3545.23</v>
      </c>
      <c r="N20" s="227">
        <v>0</v>
      </c>
      <c r="O20" s="227">
        <v>1229.56</v>
      </c>
      <c r="P20" s="227"/>
      <c r="Q20" s="227"/>
      <c r="R20" s="227"/>
      <c r="S20" s="233"/>
      <c r="T20" s="247"/>
      <c r="U20" s="248">
        <f t="shared" si="1"/>
        <v>12075.48</v>
      </c>
      <c r="V20" s="249">
        <f t="shared" si="1"/>
        <v>0</v>
      </c>
      <c r="W20" s="227">
        <v>0</v>
      </c>
      <c r="X20" s="227">
        <v>7683.47</v>
      </c>
      <c r="Y20" s="227">
        <v>0</v>
      </c>
      <c r="Z20" s="227">
        <v>0</v>
      </c>
      <c r="AA20" s="227">
        <v>3730.89</v>
      </c>
      <c r="AB20" s="227">
        <v>1293.84</v>
      </c>
      <c r="AC20" s="227"/>
      <c r="AD20" s="227"/>
      <c r="AE20" s="233"/>
      <c r="AF20" s="234">
        <f t="shared" si="17"/>
        <v>12708.2</v>
      </c>
      <c r="AG20" s="241">
        <f t="shared" si="16"/>
        <v>12781.510600000001</v>
      </c>
      <c r="AH20" s="218">
        <f t="shared" si="2"/>
        <v>0</v>
      </c>
      <c r="AI20" s="218">
        <f t="shared" si="2"/>
        <v>0</v>
      </c>
      <c r="AJ20" s="219">
        <f>'[9]Т11'!$J$67+'[9]Т11'!$J$73+'[9]Т11'!$J$108+'[9]Т11'!$J$112+'[9]Т11'!$J$154+'[9]Т11'!$J$215</f>
        <v>2613.9139999999998</v>
      </c>
      <c r="AK20" s="200">
        <f t="shared" si="3"/>
        <v>927.95</v>
      </c>
      <c r="AL20" s="200">
        <f t="shared" si="4"/>
        <v>277</v>
      </c>
      <c r="AM20" s="200">
        <f t="shared" si="5"/>
        <v>1385</v>
      </c>
      <c r="AN20" s="200">
        <f t="shared" si="6"/>
        <v>290.84999999999997</v>
      </c>
      <c r="AO20" s="200">
        <f t="shared" si="7"/>
        <v>2797.7</v>
      </c>
      <c r="AP20" s="200">
        <f t="shared" si="8"/>
        <v>1426.55</v>
      </c>
      <c r="AQ20" s="200">
        <f t="shared" si="9"/>
        <v>1038.75</v>
      </c>
      <c r="AR20" s="200">
        <f t="shared" si="10"/>
        <v>1038.75</v>
      </c>
      <c r="AS20" s="250">
        <f>B20*1.15</f>
        <v>1592.7499999999998</v>
      </c>
      <c r="AT20" s="220">
        <f t="shared" si="15"/>
        <v>175.32000000000002</v>
      </c>
      <c r="AU20" s="221"/>
      <c r="AV20" s="221"/>
      <c r="AW20" s="221"/>
      <c r="AX20" s="221">
        <f>17.56</f>
        <v>17.56</v>
      </c>
      <c r="AY20" s="145"/>
      <c r="AZ20" s="220"/>
      <c r="BA20" s="220"/>
      <c r="BB20" s="220"/>
      <c r="BC20" s="209">
        <f t="shared" si="11"/>
        <v>10968.179999999998</v>
      </c>
      <c r="BD20" s="222">
        <f>'[9]Т11'!$S$67+'[9]Т11'!$S$73+'[9]Т11'!$S$108+'[9]Т11'!$S$112+'[9]Т11'!$S$154+'[9]Т11'!$S$215</f>
        <v>1550.8629999999998</v>
      </c>
      <c r="BE20" s="204">
        <f t="shared" si="12"/>
        <v>12519.042999999998</v>
      </c>
      <c r="BF20" s="204">
        <f t="shared" si="13"/>
        <v>2876.3816000000043</v>
      </c>
      <c r="BG20" s="204">
        <f t="shared" si="14"/>
        <v>632.7200000000012</v>
      </c>
      <c r="BH20" s="204"/>
      <c r="BI20" s="205"/>
      <c r="BJ20" s="60"/>
    </row>
    <row r="21" spans="1:62" ht="13.5" thickBot="1">
      <c r="A21" s="184" t="s">
        <v>41</v>
      </c>
      <c r="B21" s="185">
        <v>1385</v>
      </c>
      <c r="C21" s="137">
        <f t="shared" si="0"/>
        <v>11841.750000000002</v>
      </c>
      <c r="D21" s="265">
        <v>73.31060000000001</v>
      </c>
      <c r="E21" s="251"/>
      <c r="F21" s="251"/>
      <c r="G21" s="251">
        <v>7317.96</v>
      </c>
      <c r="H21" s="251"/>
      <c r="I21" s="251"/>
      <c r="J21" s="251"/>
      <c r="K21" s="251"/>
      <c r="L21" s="251"/>
      <c r="M21" s="251">
        <v>3553.72</v>
      </c>
      <c r="N21" s="251">
        <v>0</v>
      </c>
      <c r="O21" s="251">
        <v>1232.59</v>
      </c>
      <c r="P21" s="251"/>
      <c r="Q21" s="251"/>
      <c r="R21" s="251"/>
      <c r="S21" s="252"/>
      <c r="T21" s="253"/>
      <c r="U21" s="248">
        <f t="shared" si="1"/>
        <v>12104.27</v>
      </c>
      <c r="V21" s="249">
        <f t="shared" si="1"/>
        <v>0</v>
      </c>
      <c r="W21" s="227">
        <v>0</v>
      </c>
      <c r="X21" s="227">
        <v>7357.39</v>
      </c>
      <c r="Y21" s="227">
        <v>0</v>
      </c>
      <c r="Z21" s="227">
        <v>0</v>
      </c>
      <c r="AA21" s="227">
        <v>3572.81</v>
      </c>
      <c r="AB21" s="227">
        <v>1239.18</v>
      </c>
      <c r="AC21" s="227"/>
      <c r="AD21" s="227"/>
      <c r="AE21" s="233"/>
      <c r="AF21" s="234">
        <f t="shared" si="17"/>
        <v>12169.380000000001</v>
      </c>
      <c r="AG21" s="241">
        <f t="shared" si="16"/>
        <v>12242.690600000002</v>
      </c>
      <c r="AH21" s="218">
        <f t="shared" si="2"/>
        <v>0</v>
      </c>
      <c r="AI21" s="218">
        <f t="shared" si="2"/>
        <v>0</v>
      </c>
      <c r="AJ21" s="219">
        <f>'[9]Т12'!$J$67+'[9]Т12'!$J$73+'[9]Т12'!$J$108+'[9]Т12'!$J$112+'[9]Т12'!$J$178+'[9]Т12'!$J$239</f>
        <v>2613.9139999999998</v>
      </c>
      <c r="AK21" s="200">
        <f t="shared" si="3"/>
        <v>927.95</v>
      </c>
      <c r="AL21" s="200">
        <f t="shared" si="4"/>
        <v>277</v>
      </c>
      <c r="AM21" s="200">
        <f t="shared" si="5"/>
        <v>1385</v>
      </c>
      <c r="AN21" s="200">
        <f t="shared" si="6"/>
        <v>290.84999999999997</v>
      </c>
      <c r="AO21" s="200">
        <f t="shared" si="7"/>
        <v>2797.7</v>
      </c>
      <c r="AP21" s="200">
        <f t="shared" si="8"/>
        <v>1426.55</v>
      </c>
      <c r="AQ21" s="200">
        <f t="shared" si="9"/>
        <v>1038.75</v>
      </c>
      <c r="AR21" s="200">
        <f t="shared" si="10"/>
        <v>1038.75</v>
      </c>
      <c r="AS21" s="250">
        <f>B21*1.15</f>
        <v>1592.7499999999998</v>
      </c>
      <c r="AT21" s="220">
        <f t="shared" si="15"/>
        <v>175.32000000000002</v>
      </c>
      <c r="AU21" s="221">
        <v>357</v>
      </c>
      <c r="AV21" s="221"/>
      <c r="AW21" s="221"/>
      <c r="AX21" s="221">
        <f>1440+336</f>
        <v>1776</v>
      </c>
      <c r="AY21" s="145"/>
      <c r="AZ21" s="220"/>
      <c r="BA21" s="220"/>
      <c r="BB21" s="220"/>
      <c r="BC21" s="209">
        <f t="shared" si="11"/>
        <v>13083.619999999999</v>
      </c>
      <c r="BD21" s="222">
        <f>'[9]Т12'!$S$67+'[9]Т12'!$S$73+'[9]Т12'!$S$108+'[9]Т12'!$S$112+'[9]Т12'!$S$178+'[9]Т12'!$S$239</f>
        <v>1550.8629999999998</v>
      </c>
      <c r="BE21" s="204">
        <f t="shared" si="12"/>
        <v>14634.482999999998</v>
      </c>
      <c r="BF21" s="204">
        <f t="shared" si="13"/>
        <v>222.12160000000404</v>
      </c>
      <c r="BG21" s="204">
        <f t="shared" si="14"/>
        <v>65.11000000000058</v>
      </c>
      <c r="BH21" s="204"/>
      <c r="BI21" s="205"/>
      <c r="BJ21" s="60"/>
    </row>
    <row r="22" spans="1:61" s="16" customFormat="1" ht="13.5" thickBot="1">
      <c r="A22" s="254" t="s">
        <v>3</v>
      </c>
      <c r="B22" s="255"/>
      <c r="C22" s="256">
        <f aca="true" t="shared" si="18" ref="C22:BF22">SUM(C10:C21)</f>
        <v>142101.00000000003</v>
      </c>
      <c r="D22" s="256">
        <f t="shared" si="18"/>
        <v>879.7272000000002</v>
      </c>
      <c r="E22" s="256">
        <f t="shared" si="18"/>
        <v>0</v>
      </c>
      <c r="F22" s="256">
        <f t="shared" si="18"/>
        <v>0</v>
      </c>
      <c r="G22" s="256">
        <f t="shared" si="18"/>
        <v>86761.45000000001</v>
      </c>
      <c r="H22" s="256">
        <f t="shared" si="18"/>
        <v>0</v>
      </c>
      <c r="I22" s="256">
        <f t="shared" si="18"/>
        <v>0</v>
      </c>
      <c r="J22" s="256">
        <f t="shared" si="18"/>
        <v>0</v>
      </c>
      <c r="K22" s="256">
        <f t="shared" si="18"/>
        <v>0</v>
      </c>
      <c r="L22" s="256">
        <f t="shared" si="18"/>
        <v>0</v>
      </c>
      <c r="M22" s="256">
        <f t="shared" si="18"/>
        <v>42131.76000000001</v>
      </c>
      <c r="N22" s="256">
        <f t="shared" si="18"/>
        <v>0</v>
      </c>
      <c r="O22" s="256">
        <f t="shared" si="18"/>
        <v>14612.14</v>
      </c>
      <c r="P22" s="256">
        <f t="shared" si="18"/>
        <v>0</v>
      </c>
      <c r="Q22" s="256">
        <f t="shared" si="18"/>
        <v>0</v>
      </c>
      <c r="R22" s="256">
        <f t="shared" si="18"/>
        <v>0</v>
      </c>
      <c r="S22" s="256">
        <f t="shared" si="18"/>
        <v>0</v>
      </c>
      <c r="T22" s="256">
        <f t="shared" si="18"/>
        <v>0</v>
      </c>
      <c r="U22" s="256">
        <f t="shared" si="18"/>
        <v>143505.35</v>
      </c>
      <c r="V22" s="256">
        <f t="shared" si="18"/>
        <v>0</v>
      </c>
      <c r="W22" s="256">
        <f t="shared" si="18"/>
        <v>1221.39</v>
      </c>
      <c r="X22" s="256">
        <f t="shared" si="18"/>
        <v>75656.16</v>
      </c>
      <c r="Y22" s="256">
        <f t="shared" si="18"/>
        <v>1653.9</v>
      </c>
      <c r="Z22" s="256">
        <f t="shared" si="18"/>
        <v>2753.3</v>
      </c>
      <c r="AA22" s="256">
        <f t="shared" si="18"/>
        <v>40106.13999999999</v>
      </c>
      <c r="AB22" s="256">
        <f t="shared" si="18"/>
        <v>13725.87</v>
      </c>
      <c r="AC22" s="256">
        <f t="shared" si="18"/>
        <v>0</v>
      </c>
      <c r="AD22" s="256">
        <f t="shared" si="18"/>
        <v>0</v>
      </c>
      <c r="AE22" s="256">
        <f t="shared" si="18"/>
        <v>0</v>
      </c>
      <c r="AF22" s="256">
        <f t="shared" si="18"/>
        <v>135116.76</v>
      </c>
      <c r="AG22" s="256">
        <f t="shared" si="18"/>
        <v>135996.4872</v>
      </c>
      <c r="AH22" s="256">
        <f t="shared" si="18"/>
        <v>0</v>
      </c>
      <c r="AI22" s="256">
        <f t="shared" si="18"/>
        <v>0</v>
      </c>
      <c r="AJ22" s="256">
        <f t="shared" si="18"/>
        <v>30910.968000000004</v>
      </c>
      <c r="AK22" s="256">
        <f t="shared" si="18"/>
        <v>11135.400000000001</v>
      </c>
      <c r="AL22" s="256">
        <f t="shared" si="18"/>
        <v>3324</v>
      </c>
      <c r="AM22" s="256">
        <f t="shared" si="18"/>
        <v>16620</v>
      </c>
      <c r="AN22" s="256">
        <f t="shared" si="18"/>
        <v>3490.1999999999994</v>
      </c>
      <c r="AO22" s="256">
        <f t="shared" si="18"/>
        <v>33572.4</v>
      </c>
      <c r="AP22" s="256">
        <f t="shared" si="18"/>
        <v>17118.599999999995</v>
      </c>
      <c r="AQ22" s="256">
        <f t="shared" si="18"/>
        <v>12465</v>
      </c>
      <c r="AR22" s="256">
        <f t="shared" si="18"/>
        <v>12465</v>
      </c>
      <c r="AS22" s="256">
        <f t="shared" si="18"/>
        <v>9556.499999999998</v>
      </c>
      <c r="AT22" s="256">
        <f t="shared" si="18"/>
        <v>1928.5199999999998</v>
      </c>
      <c r="AU22" s="256">
        <f t="shared" si="18"/>
        <v>5748</v>
      </c>
      <c r="AV22" s="256">
        <f t="shared" si="18"/>
        <v>0</v>
      </c>
      <c r="AW22" s="256">
        <f>SUM(AW10:AW21)</f>
        <v>16477</v>
      </c>
      <c r="AX22" s="256">
        <f t="shared" si="18"/>
        <v>2453.05</v>
      </c>
      <c r="AY22" s="256">
        <f t="shared" si="18"/>
        <v>0</v>
      </c>
      <c r="AZ22" s="256">
        <f t="shared" si="18"/>
        <v>0</v>
      </c>
      <c r="BA22" s="256">
        <f t="shared" si="18"/>
        <v>0</v>
      </c>
      <c r="BB22" s="256">
        <f t="shared" si="18"/>
        <v>0</v>
      </c>
      <c r="BC22" s="256">
        <f t="shared" si="18"/>
        <v>146353.66999999995</v>
      </c>
      <c r="BD22" s="256">
        <f t="shared" si="18"/>
        <v>18496.355999999996</v>
      </c>
      <c r="BE22" s="256">
        <f t="shared" si="18"/>
        <v>164850.02599999998</v>
      </c>
      <c r="BF22" s="256">
        <f t="shared" si="18"/>
        <v>2057.429200000028</v>
      </c>
      <c r="BG22" s="256">
        <f>SUM(BG10:BG21)</f>
        <v>-8388.59</v>
      </c>
      <c r="BH22" s="59"/>
      <c r="BI22" s="59"/>
    </row>
    <row r="23" spans="1:61" s="16" customFormat="1" ht="13.5" thickBo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9"/>
      <c r="BF23" s="258"/>
      <c r="BG23" s="260"/>
      <c r="BI23" s="59"/>
    </row>
    <row r="24" spans="1:59" s="16" customFormat="1" ht="13.5" thickBot="1">
      <c r="A24" s="18" t="s">
        <v>52</v>
      </c>
      <c r="B24" s="258"/>
      <c r="C24" s="261">
        <f aca="true" t="shared" si="19" ref="C24:AD24">C22+C8</f>
        <v>465498.55000000005</v>
      </c>
      <c r="D24" s="261">
        <f t="shared" si="19"/>
        <v>38411.14352630004</v>
      </c>
      <c r="E24" s="261">
        <f>E22+E8</f>
        <v>28496.069999999992</v>
      </c>
      <c r="F24" s="261">
        <f t="shared" si="19"/>
        <v>4436.09</v>
      </c>
      <c r="G24" s="261">
        <f t="shared" si="19"/>
        <v>86761.45000000001</v>
      </c>
      <c r="H24" s="261">
        <f t="shared" si="19"/>
        <v>0</v>
      </c>
      <c r="I24" s="261">
        <f t="shared" si="19"/>
        <v>38567.229999999996</v>
      </c>
      <c r="J24" s="261">
        <f t="shared" si="19"/>
        <v>6005.280000000001</v>
      </c>
      <c r="K24" s="261">
        <f t="shared" si="19"/>
        <v>64212.630000000005</v>
      </c>
      <c r="L24" s="261">
        <f t="shared" si="19"/>
        <v>9997.800000000001</v>
      </c>
      <c r="M24" s="261">
        <f t="shared" si="19"/>
        <v>134852.79000000004</v>
      </c>
      <c r="N24" s="261">
        <f t="shared" si="19"/>
        <v>14433.77</v>
      </c>
      <c r="O24" s="261">
        <f t="shared" si="19"/>
        <v>37409.49</v>
      </c>
      <c r="P24" s="261">
        <f t="shared" si="19"/>
        <v>3548.57</v>
      </c>
      <c r="Q24" s="261">
        <f t="shared" si="19"/>
        <v>0</v>
      </c>
      <c r="R24" s="261">
        <f t="shared" si="19"/>
        <v>0</v>
      </c>
      <c r="S24" s="261">
        <f t="shared" si="19"/>
        <v>0</v>
      </c>
      <c r="T24" s="261">
        <f t="shared" si="19"/>
        <v>0</v>
      </c>
      <c r="U24" s="261">
        <f t="shared" si="19"/>
        <v>390299.66000000003</v>
      </c>
      <c r="V24" s="261">
        <f t="shared" si="19"/>
        <v>38421.509999999995</v>
      </c>
      <c r="W24" s="261">
        <f t="shared" si="19"/>
        <v>27413.73</v>
      </c>
      <c r="X24" s="261">
        <f t="shared" si="19"/>
        <v>75656.16</v>
      </c>
      <c r="Y24" s="261">
        <f t="shared" si="19"/>
        <v>37098.79</v>
      </c>
      <c r="Z24" s="261">
        <f t="shared" si="19"/>
        <v>61770.880000000005</v>
      </c>
      <c r="AA24" s="261">
        <f t="shared" si="19"/>
        <v>125982.28999999998</v>
      </c>
      <c r="AB24" s="261">
        <f t="shared" si="19"/>
        <v>34680.07</v>
      </c>
      <c r="AC24" s="261">
        <f t="shared" si="19"/>
        <v>0</v>
      </c>
      <c r="AD24" s="261">
        <f t="shared" si="19"/>
        <v>0</v>
      </c>
      <c r="AE24" s="261">
        <f>AE22+AF8</f>
        <v>227485.15999999997</v>
      </c>
      <c r="AF24" s="261" t="e">
        <f>AF22+#REF!</f>
        <v>#REF!</v>
      </c>
      <c r="AG24" s="261">
        <f aca="true" t="shared" si="20" ref="AG24:BG24">AG22+AG8</f>
        <v>439434.5735263</v>
      </c>
      <c r="AH24" s="261">
        <f t="shared" si="20"/>
        <v>0</v>
      </c>
      <c r="AI24" s="261">
        <f t="shared" si="20"/>
        <v>0</v>
      </c>
      <c r="AJ24" s="261">
        <f t="shared" si="20"/>
        <v>72311.45964000002</v>
      </c>
      <c r="AK24" s="261">
        <f t="shared" si="20"/>
        <v>33235.392</v>
      </c>
      <c r="AL24" s="261">
        <f t="shared" si="20"/>
        <v>10729.2997904</v>
      </c>
      <c r="AM24" s="261">
        <f t="shared" si="20"/>
        <v>53306.866936490005</v>
      </c>
      <c r="AN24" s="261">
        <f t="shared" si="20"/>
        <v>3490.1999999999994</v>
      </c>
      <c r="AO24" s="261">
        <f t="shared" si="20"/>
        <v>70164.327792722</v>
      </c>
      <c r="AP24" s="261">
        <f t="shared" si="20"/>
        <v>98978.61318823081</v>
      </c>
      <c r="AQ24" s="261">
        <f t="shared" si="20"/>
        <v>12465</v>
      </c>
      <c r="AR24" s="261">
        <f t="shared" si="20"/>
        <v>12465</v>
      </c>
      <c r="AS24" s="261">
        <f t="shared" si="20"/>
        <v>9556.499999999998</v>
      </c>
      <c r="AT24" s="261">
        <f t="shared" si="20"/>
        <v>4032.3599999999997</v>
      </c>
      <c r="AU24" s="261">
        <f t="shared" si="20"/>
        <v>71990.6152</v>
      </c>
      <c r="AV24" s="261">
        <f t="shared" si="20"/>
        <v>0</v>
      </c>
      <c r="AW24" s="261">
        <f t="shared" si="20"/>
        <v>17898.07</v>
      </c>
      <c r="AX24" s="261">
        <f t="shared" si="20"/>
        <v>2453.05</v>
      </c>
      <c r="AY24" s="261">
        <f t="shared" si="20"/>
        <v>11975.042000000001</v>
      </c>
      <c r="AZ24" s="261">
        <f t="shared" si="20"/>
        <v>0</v>
      </c>
      <c r="BA24" s="261">
        <f t="shared" si="20"/>
        <v>0</v>
      </c>
      <c r="BB24" s="261">
        <f t="shared" si="20"/>
        <v>0</v>
      </c>
      <c r="BC24" s="261">
        <f t="shared" si="20"/>
        <v>412740.3369078428</v>
      </c>
      <c r="BD24" s="261">
        <f t="shared" si="20"/>
        <v>35449.5604749942</v>
      </c>
      <c r="BE24" s="262">
        <f t="shared" si="20"/>
        <v>448189.897382837</v>
      </c>
      <c r="BF24" s="261">
        <f t="shared" si="20"/>
        <v>63556.135783463076</v>
      </c>
      <c r="BG24" s="263">
        <f t="shared" si="20"/>
        <v>-27697.739999999998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2">
      <selection activeCell="C48" sqref="C48:D48"/>
    </sheetView>
  </sheetViews>
  <sheetFormatPr defaultColWidth="9.00390625" defaultRowHeight="12.75"/>
  <cols>
    <col min="1" max="1" width="9.125" style="425" customWidth="1"/>
    <col min="2" max="2" width="10.00390625" style="425" customWidth="1"/>
    <col min="3" max="3" width="10.375" style="425" customWidth="1"/>
    <col min="4" max="4" width="9.375" style="425" customWidth="1"/>
    <col min="5" max="5" width="10.375" style="425" customWidth="1"/>
    <col min="6" max="6" width="9.375" style="425" customWidth="1"/>
    <col min="7" max="7" width="10.875" style="425" customWidth="1"/>
    <col min="8" max="8" width="11.00390625" style="425" customWidth="1"/>
    <col min="9" max="9" width="9.625" style="425" customWidth="1"/>
    <col min="10" max="10" width="9.25390625" style="425" customWidth="1"/>
    <col min="11" max="11" width="9.00390625" style="425" customWidth="1"/>
    <col min="12" max="12" width="10.625" style="425" customWidth="1"/>
    <col min="13" max="13" width="10.25390625" style="425" customWidth="1"/>
    <col min="14" max="14" width="9.125" style="425" customWidth="1"/>
    <col min="15" max="15" width="10.75390625" style="425" customWidth="1"/>
    <col min="16" max="16" width="9.375" style="425" customWidth="1"/>
    <col min="17" max="17" width="9.75390625" style="425" customWidth="1"/>
    <col min="18" max="16384" width="9.125" style="425" customWidth="1"/>
  </cols>
  <sheetData>
    <row r="1" spans="2:9" ht="20.25" customHeight="1">
      <c r="B1" s="383" t="s">
        <v>53</v>
      </c>
      <c r="C1" s="383"/>
      <c r="D1" s="383"/>
      <c r="E1" s="383"/>
      <c r="F1" s="383"/>
      <c r="G1" s="383"/>
      <c r="H1" s="383"/>
      <c r="I1" s="168"/>
    </row>
    <row r="2" spans="2:9" ht="21" customHeight="1">
      <c r="B2" s="383" t="s">
        <v>54</v>
      </c>
      <c r="C2" s="383"/>
      <c r="D2" s="383"/>
      <c r="E2" s="383"/>
      <c r="F2" s="383"/>
      <c r="G2" s="383"/>
      <c r="H2" s="383"/>
      <c r="I2" s="168"/>
    </row>
    <row r="5" spans="1:16" ht="12.75">
      <c r="A5" s="426" t="s">
        <v>75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</row>
    <row r="6" spans="1:16" ht="12.75">
      <c r="A6" s="427" t="s">
        <v>117</v>
      </c>
      <c r="B6" s="427"/>
      <c r="C6" s="427"/>
      <c r="D6" s="427"/>
      <c r="E6" s="427"/>
      <c r="F6" s="427"/>
      <c r="G6" s="427"/>
      <c r="H6" s="428"/>
      <c r="I6" s="428"/>
      <c r="J6" s="428"/>
      <c r="K6" s="428"/>
      <c r="L6" s="428"/>
      <c r="M6" s="428"/>
      <c r="N6" s="428"/>
      <c r="O6" s="428"/>
      <c r="P6" s="428"/>
    </row>
    <row r="7" spans="1:6" ht="13.5" thickBot="1">
      <c r="A7" s="429" t="s">
        <v>55</v>
      </c>
      <c r="B7" s="429"/>
      <c r="C7" s="429"/>
      <c r="D7" s="429"/>
      <c r="E7" s="429">
        <v>8.55</v>
      </c>
      <c r="F7" s="429"/>
    </row>
    <row r="8" spans="1:17" ht="12.75" customHeight="1">
      <c r="A8" s="430" t="s">
        <v>56</v>
      </c>
      <c r="B8" s="431" t="s">
        <v>0</v>
      </c>
      <c r="C8" s="432" t="s">
        <v>57</v>
      </c>
      <c r="D8" s="433" t="s">
        <v>2</v>
      </c>
      <c r="E8" s="434" t="s">
        <v>58</v>
      </c>
      <c r="F8" s="435"/>
      <c r="G8" s="436" t="s">
        <v>59</v>
      </c>
      <c r="H8" s="437"/>
      <c r="I8" s="438" t="s">
        <v>118</v>
      </c>
      <c r="J8" s="439" t="s">
        <v>8</v>
      </c>
      <c r="K8" s="440"/>
      <c r="L8" s="440"/>
      <c r="M8" s="440"/>
      <c r="N8" s="440"/>
      <c r="O8" s="441"/>
      <c r="P8" s="442" t="s">
        <v>60</v>
      </c>
      <c r="Q8" s="442" t="s">
        <v>10</v>
      </c>
    </row>
    <row r="9" spans="1:17" ht="12.75">
      <c r="A9" s="443"/>
      <c r="B9" s="444"/>
      <c r="C9" s="445"/>
      <c r="D9" s="446"/>
      <c r="E9" s="447"/>
      <c r="F9" s="448"/>
      <c r="G9" s="449"/>
      <c r="H9" s="450"/>
      <c r="I9" s="451"/>
      <c r="J9" s="452"/>
      <c r="K9" s="453"/>
      <c r="L9" s="453"/>
      <c r="M9" s="453"/>
      <c r="N9" s="453"/>
      <c r="O9" s="454"/>
      <c r="P9" s="455"/>
      <c r="Q9" s="455"/>
    </row>
    <row r="10" spans="1:17" ht="26.25" customHeight="1">
      <c r="A10" s="443"/>
      <c r="B10" s="444"/>
      <c r="C10" s="445"/>
      <c r="D10" s="446"/>
      <c r="E10" s="456" t="s">
        <v>61</v>
      </c>
      <c r="F10" s="457"/>
      <c r="G10" s="458" t="s">
        <v>62</v>
      </c>
      <c r="H10" s="459" t="s">
        <v>5</v>
      </c>
      <c r="I10" s="451"/>
      <c r="J10" s="460" t="s">
        <v>63</v>
      </c>
      <c r="K10" s="461" t="s">
        <v>119</v>
      </c>
      <c r="L10" s="461" t="s">
        <v>64</v>
      </c>
      <c r="M10" s="461" t="s">
        <v>35</v>
      </c>
      <c r="N10" s="459" t="s">
        <v>120</v>
      </c>
      <c r="O10" s="459" t="s">
        <v>37</v>
      </c>
      <c r="P10" s="455"/>
      <c r="Q10" s="455"/>
    </row>
    <row r="11" spans="1:17" ht="66.75" customHeight="1" thickBot="1">
      <c r="A11" s="462"/>
      <c r="B11" s="463"/>
      <c r="C11" s="464"/>
      <c r="D11" s="465"/>
      <c r="E11" s="466" t="s">
        <v>66</v>
      </c>
      <c r="F11" s="467" t="s">
        <v>19</v>
      </c>
      <c r="G11" s="468" t="s">
        <v>67</v>
      </c>
      <c r="H11" s="469"/>
      <c r="I11" s="470"/>
      <c r="J11" s="471"/>
      <c r="K11" s="472"/>
      <c r="L11" s="472"/>
      <c r="M11" s="472"/>
      <c r="N11" s="469"/>
      <c r="O11" s="469"/>
      <c r="P11" s="473"/>
      <c r="Q11" s="473"/>
    </row>
    <row r="12" spans="1:17" ht="13.5" thickBot="1">
      <c r="A12" s="474">
        <v>1</v>
      </c>
      <c r="B12" s="475">
        <v>2</v>
      </c>
      <c r="C12" s="474">
        <v>3</v>
      </c>
      <c r="D12" s="475">
        <v>4</v>
      </c>
      <c r="E12" s="474">
        <v>5</v>
      </c>
      <c r="F12" s="475">
        <v>6</v>
      </c>
      <c r="G12" s="474">
        <v>7</v>
      </c>
      <c r="H12" s="475">
        <v>8</v>
      </c>
      <c r="I12" s="475">
        <v>9</v>
      </c>
      <c r="J12" s="474">
        <v>10</v>
      </c>
      <c r="K12" s="475">
        <v>11</v>
      </c>
      <c r="L12" s="475">
        <v>12</v>
      </c>
      <c r="M12" s="474">
        <v>13</v>
      </c>
      <c r="N12" s="475">
        <v>14</v>
      </c>
      <c r="O12" s="475">
        <v>14</v>
      </c>
      <c r="P12" s="475">
        <v>15</v>
      </c>
      <c r="Q12" s="474">
        <v>16</v>
      </c>
    </row>
    <row r="13" spans="1:19" ht="13.5" hidden="1" thickBot="1">
      <c r="A13" s="476" t="s">
        <v>42</v>
      </c>
      <c r="B13" s="477"/>
      <c r="C13" s="478"/>
      <c r="D13" s="479"/>
      <c r="E13" s="480"/>
      <c r="F13" s="481"/>
      <c r="G13" s="482"/>
      <c r="H13" s="481"/>
      <c r="I13" s="483"/>
      <c r="J13" s="482"/>
      <c r="K13" s="484"/>
      <c r="L13" s="484"/>
      <c r="M13" s="485"/>
      <c r="N13" s="486"/>
      <c r="O13" s="487"/>
      <c r="P13" s="488"/>
      <c r="Q13" s="488"/>
      <c r="R13" s="489"/>
      <c r="S13" s="489"/>
    </row>
    <row r="14" spans="1:19" ht="13.5" hidden="1" thickBot="1">
      <c r="A14" s="490" t="s">
        <v>43</v>
      </c>
      <c r="B14" s="491">
        <f>'[11]Лист1'!B8</f>
        <v>0</v>
      </c>
      <c r="C14" s="492">
        <f aca="true" t="shared" si="0" ref="C14:C25">B14*8.65</f>
        <v>0</v>
      </c>
      <c r="D14" s="493">
        <f>'[11]Лист1'!D8</f>
        <v>0</v>
      </c>
      <c r="E14" s="484">
        <f>'[11]Лист1'!S8</f>
        <v>0</v>
      </c>
      <c r="F14" s="486">
        <f>'[11]Лист1'!T8</f>
        <v>0</v>
      </c>
      <c r="G14" s="494">
        <f>'[11]Лист1'!AB8</f>
        <v>0</v>
      </c>
      <c r="H14" s="486">
        <f>'[11]Лист1'!AC8</f>
        <v>0</v>
      </c>
      <c r="I14" s="495"/>
      <c r="J14" s="494">
        <f>'[11]Лист1'!AG8</f>
        <v>0</v>
      </c>
      <c r="K14" s="484">
        <f>'[11]Лист1'!AI8+'[11]Лист1'!AJ8</f>
        <v>0</v>
      </c>
      <c r="L14" s="484">
        <f>'[11]Лист1'!AH8+'[11]Лист1'!AK8+'[11]Лист1'!AL8+'[11]Лист1'!AM8+'[11]Лист1'!AN8+'[11]Лист1'!AO8+'[11]Лист1'!AP8+'[11]Лист1'!AQ8+'[11]Лист1'!AR8</f>
        <v>0</v>
      </c>
      <c r="M14" s="485">
        <f>'[11]Лист1'!AS8+'[11]Лист1'!AT8+'[11]Лист1'!AU8+'[11]Лист1'!AZ8+'[11]Лист1'!BA8</f>
        <v>0</v>
      </c>
      <c r="N14" s="486">
        <f>'[11]Лист1'!BB8</f>
        <v>0</v>
      </c>
      <c r="O14" s="487"/>
      <c r="P14" s="488">
        <f>'[11]Лист1'!BD8</f>
        <v>0</v>
      </c>
      <c r="Q14" s="488">
        <f>'[11]Лист1'!BE8</f>
        <v>0</v>
      </c>
      <c r="R14" s="489"/>
      <c r="S14" s="489"/>
    </row>
    <row r="15" spans="1:19" ht="13.5" hidden="1" thickBot="1">
      <c r="A15" s="490" t="s">
        <v>44</v>
      </c>
      <c r="B15" s="491">
        <f>'[11]Лист1'!B9</f>
        <v>347</v>
      </c>
      <c r="C15" s="492">
        <f t="shared" si="0"/>
        <v>3001.55</v>
      </c>
      <c r="D15" s="493">
        <f>'[11]Лист1'!D9</f>
        <v>375.19375</v>
      </c>
      <c r="E15" s="484">
        <f>'[11]Лист1'!S9</f>
        <v>1402.63</v>
      </c>
      <c r="F15" s="486">
        <f>'[11]Лист1'!T9</f>
        <v>770.85</v>
      </c>
      <c r="G15" s="494">
        <f>'[11]Лист1'!AB9</f>
        <v>1205.52</v>
      </c>
      <c r="H15" s="486">
        <f>'[11]Лист1'!AC9</f>
        <v>2351.5637500000003</v>
      </c>
      <c r="I15" s="495"/>
      <c r="J15" s="494">
        <f>'[11]Лист1'!AG9</f>
        <v>187.38</v>
      </c>
      <c r="K15" s="484">
        <f>'[11]Лист1'!AI9+'[11]Лист1'!AJ9</f>
        <v>301.727947</v>
      </c>
      <c r="L15" s="484">
        <f>'[11]Лист1'!AH9+'[11]Лист1'!AK9+'[11]Лист1'!AL9+'[11]Лист1'!AM9+'[11]Лист1'!AN9+'[11]Лист1'!AO9+'[11]Лист1'!AP9+'[11]Лист1'!AQ9+'[11]Лист1'!AR9</f>
        <v>1036.33545944</v>
      </c>
      <c r="M15" s="485">
        <f>'[11]Лист1'!AS9+'[11]Лист1'!AT9+'[11]Лист1'!AU9+'[11]Лист1'!AZ9+'[11]Лист1'!BA9</f>
        <v>0</v>
      </c>
      <c r="N15" s="486">
        <f>'[11]Лист1'!BB9</f>
        <v>1525.4434064399998</v>
      </c>
      <c r="O15" s="487"/>
      <c r="P15" s="488">
        <f>'[11]Лист1'!BD9</f>
        <v>826.1203435600005</v>
      </c>
      <c r="Q15" s="488">
        <f>'[11]Лист1'!BE9</f>
        <v>-197.11000000000013</v>
      </c>
      <c r="R15" s="489"/>
      <c r="S15" s="489"/>
    </row>
    <row r="16" spans="1:19" ht="13.5" hidden="1" thickBot="1">
      <c r="A16" s="490" t="s">
        <v>45</v>
      </c>
      <c r="B16" s="491">
        <f>'[11]Лист1'!B10</f>
        <v>347</v>
      </c>
      <c r="C16" s="492">
        <f t="shared" si="0"/>
        <v>3001.55</v>
      </c>
      <c r="D16" s="493">
        <f>'[11]Лист1'!D10</f>
        <v>375.19375</v>
      </c>
      <c r="E16" s="484">
        <f>'[11]Лист1'!S10</f>
        <v>1402.63</v>
      </c>
      <c r="F16" s="486">
        <f>'[11]Лист1'!T10</f>
        <v>770.85</v>
      </c>
      <c r="G16" s="494">
        <f>'[11]Лист1'!AB10</f>
        <v>1141.3000000000002</v>
      </c>
      <c r="H16" s="486">
        <f>'[11]Лист1'!AC10</f>
        <v>2287.34375</v>
      </c>
      <c r="I16" s="495"/>
      <c r="J16" s="494">
        <f>'[11]Лист1'!AG10</f>
        <v>187.38</v>
      </c>
      <c r="K16" s="484">
        <f>'[11]Лист1'!AI10+'[11]Лист1'!AJ10</f>
        <v>301.403506</v>
      </c>
      <c r="L16" s="484">
        <f>'[11]Лист1'!AH10+'[11]Лист1'!AK10+'[11]Лист1'!AL10+'[11]Лист1'!AM10+'[11]Лист1'!AN10+'[11]Лист1'!AO10+'[11]Лист1'!AP10+'[11]Лист1'!AQ10+'[11]Лист1'!AR10</f>
        <v>1037.8314805399998</v>
      </c>
      <c r="M16" s="485">
        <f>'[11]Лист1'!AS10+'[11]Лист1'!AT10+'[11]Лист1'!AU10+'[11]Лист1'!AZ10+'[11]Лист1'!BA10</f>
        <v>1569.4</v>
      </c>
      <c r="N16" s="486">
        <f>'[11]Лист1'!BB10</f>
        <v>3096.0149865399994</v>
      </c>
      <c r="O16" s="487"/>
      <c r="P16" s="488">
        <f>'[11]Лист1'!BD10</f>
        <v>-808.6712365399994</v>
      </c>
      <c r="Q16" s="488">
        <f>'[11]Лист1'!BE10</f>
        <v>-261.3299999999999</v>
      </c>
      <c r="R16" s="489"/>
      <c r="S16" s="489"/>
    </row>
    <row r="17" spans="1:19" ht="13.5" hidden="1" thickBot="1">
      <c r="A17" s="490" t="s">
        <v>46</v>
      </c>
      <c r="B17" s="491">
        <f>'[11]Лист1'!B11</f>
        <v>347</v>
      </c>
      <c r="C17" s="492">
        <f t="shared" si="0"/>
        <v>3001.55</v>
      </c>
      <c r="D17" s="493">
        <f>'[11]Лист1'!D11</f>
        <v>375.19375</v>
      </c>
      <c r="E17" s="484">
        <f>'[11]Лист1'!S11</f>
        <v>1402.63</v>
      </c>
      <c r="F17" s="486">
        <f>'[11]Лист1'!T11</f>
        <v>770.85</v>
      </c>
      <c r="G17" s="494">
        <f>'[11]Лист1'!AB11</f>
        <v>1864.7600000000002</v>
      </c>
      <c r="H17" s="486">
        <f>'[11]Лист1'!AC11</f>
        <v>3010.80375</v>
      </c>
      <c r="I17" s="495"/>
      <c r="J17" s="494">
        <f>'[11]Лист1'!AG11</f>
        <v>187.38</v>
      </c>
      <c r="K17" s="484">
        <f>'[11]Лист1'!AI11+'[11]Лист1'!AJ11</f>
        <v>301.9373675</v>
      </c>
      <c r="L17" s="484">
        <f>'[11]Лист1'!AH11+'[11]Лист1'!AK11+'[11]Лист1'!AL11+'[11]Лист1'!AM11+'[11]Лист1'!AN11+'[11]Лист1'!AO11+'[11]Лист1'!AP11+'[11]Лист1'!AQ11+'[11]Лист1'!AR11</f>
        <v>1003.1883752000001</v>
      </c>
      <c r="M17" s="485">
        <f>'[11]Лист1'!AS11+'[11]Лист1'!AT11+'[11]Лист1'!AU11+'[11]Лист1'!AY11+'[11]Лист1'!AZ11</f>
        <v>0</v>
      </c>
      <c r="N17" s="486">
        <f>'[11]Лист1'!BB11</f>
        <v>1492.5057427</v>
      </c>
      <c r="O17" s="487"/>
      <c r="P17" s="488">
        <f>'[11]Лист1'!BD11</f>
        <v>1518.2980073</v>
      </c>
      <c r="Q17" s="488">
        <f>'[11]Лист1'!BE11</f>
        <v>462.1300000000001</v>
      </c>
      <c r="R17" s="489"/>
      <c r="S17" s="489"/>
    </row>
    <row r="18" spans="1:19" ht="13.5" hidden="1" thickBot="1">
      <c r="A18" s="490" t="s">
        <v>47</v>
      </c>
      <c r="B18" s="491">
        <f>'[11]Лист1'!B12</f>
        <v>347</v>
      </c>
      <c r="C18" s="492">
        <f t="shared" si="0"/>
        <v>3001.55</v>
      </c>
      <c r="D18" s="493">
        <f>'[11]Лист1'!D12</f>
        <v>375.19375</v>
      </c>
      <c r="E18" s="484">
        <f>'[11]Лист1'!S12</f>
        <v>1401.9099999999999</v>
      </c>
      <c r="F18" s="486">
        <f>'[11]Лист1'!T12</f>
        <v>770.85</v>
      </c>
      <c r="G18" s="494">
        <f>'[11]Лист1'!AB12</f>
        <v>1402.6</v>
      </c>
      <c r="H18" s="486">
        <f>'[11]Лист1'!AC12</f>
        <v>2548.64375</v>
      </c>
      <c r="I18" s="495"/>
      <c r="J18" s="494">
        <f>'[11]Лист1'!AG12</f>
        <v>187.38</v>
      </c>
      <c r="K18" s="484">
        <f>'[11]Лист1'!AI12+'[11]Лист1'!AJ12</f>
        <v>310.800613</v>
      </c>
      <c r="L18" s="484">
        <f>'[11]Лист1'!AH12+'[11]Лист1'!AK12+'[11]Лист1'!AL12+'[11]Лист1'!AM12+'[11]Лист1'!AN12+'[11]Лист1'!AO12+'[11]Лист1'!AP12+'[11]Лист1'!AQ12+'[11]Лист1'!AR12</f>
        <v>1017.49191592</v>
      </c>
      <c r="M18" s="485">
        <f>'[11]Лист1'!AS12+'[11]Лист1'!AT12+'[11]Лист1'!AU12+'[11]Лист1'!AZ12+'[11]Лист1'!BA12</f>
        <v>0</v>
      </c>
      <c r="N18" s="486">
        <f>'[11]Лист1'!BB12</f>
        <v>1833.8477289200002</v>
      </c>
      <c r="O18" s="487"/>
      <c r="P18" s="488">
        <f>'[11]Лист1'!BD12</f>
        <v>714.79602108</v>
      </c>
      <c r="Q18" s="488">
        <f>'[11]Лист1'!BE12</f>
        <v>0.6900000000000546</v>
      </c>
      <c r="R18" s="489"/>
      <c r="S18" s="489"/>
    </row>
    <row r="19" spans="1:19" ht="13.5" hidden="1" thickBot="1">
      <c r="A19" s="490" t="s">
        <v>48</v>
      </c>
      <c r="B19" s="491">
        <f>'[11]Лист1'!B13</f>
        <v>347</v>
      </c>
      <c r="C19" s="492">
        <f t="shared" si="0"/>
        <v>3001.55</v>
      </c>
      <c r="D19" s="493">
        <f>'[11]Лист1'!D13</f>
        <v>577.8599999999997</v>
      </c>
      <c r="E19" s="484">
        <f>'[11]Лист1'!S13</f>
        <v>1563.57</v>
      </c>
      <c r="F19" s="486">
        <f>'[11]Лист1'!T13</f>
        <v>860.12</v>
      </c>
      <c r="G19" s="494">
        <f>'[11]Лист1'!AB13</f>
        <v>1101.03</v>
      </c>
      <c r="H19" s="486">
        <f>'[11]Лист1'!AC13</f>
        <v>2539.0099999999993</v>
      </c>
      <c r="I19" s="495"/>
      <c r="J19" s="494">
        <f>'[11]Лист1'!AG13</f>
        <v>208.2</v>
      </c>
      <c r="K19" s="484">
        <f>'[11]Лист1'!AI13+'[11]Лист1'!AJ13</f>
        <v>348.041</v>
      </c>
      <c r="L19" s="484">
        <f>'[11]Лист1'!AH13+'[11]Лист1'!AK13+'[11]Лист1'!AL13+'[11]Лист1'!AM13+'[11]Лист1'!AN13+'[11]Лист1'!AO13+'[11]Лист1'!AP13+'[11]Лист1'!AQ13+'[11]Лист1'!AR13</f>
        <v>1192.0144</v>
      </c>
      <c r="M19" s="485">
        <f>'[11]Лист1'!AS13+'[11]Лист1'!AT13+'[11]Лист1'!AU13+'[11]Лист1'!AZ13+'[11]Лист1'!BA13</f>
        <v>0</v>
      </c>
      <c r="N19" s="486">
        <f>'[11]Лист1'!BB13</f>
        <v>1800.3925199999999</v>
      </c>
      <c r="O19" s="487"/>
      <c r="P19" s="488">
        <f>'[11]Лист1'!BD13</f>
        <v>738.6174799999994</v>
      </c>
      <c r="Q19" s="488">
        <f>'[11]Лист1'!BE13</f>
        <v>-462.53999999999996</v>
      </c>
      <c r="R19" s="489"/>
      <c r="S19" s="489"/>
    </row>
    <row r="20" spans="1:19" ht="13.5" hidden="1" thickBot="1">
      <c r="A20" s="490" t="s">
        <v>49</v>
      </c>
      <c r="B20" s="491">
        <f>'[11]Лист1'!B14</f>
        <v>347</v>
      </c>
      <c r="C20" s="492">
        <f t="shared" si="0"/>
        <v>3001.55</v>
      </c>
      <c r="D20" s="493">
        <f>'[11]Лист1'!D14</f>
        <v>577.73</v>
      </c>
      <c r="E20" s="484">
        <f>'[11]Лист1'!S14</f>
        <v>1563.7</v>
      </c>
      <c r="F20" s="486">
        <f>'[11]Лист1'!T14</f>
        <v>860.12</v>
      </c>
      <c r="G20" s="494">
        <f>'[11]Лист1'!AB14</f>
        <v>1864.8400000000001</v>
      </c>
      <c r="H20" s="486">
        <f>'[11]Лист1'!AC14</f>
        <v>3302.69</v>
      </c>
      <c r="I20" s="495"/>
      <c r="J20" s="494">
        <f>'[11]Лист1'!AG14</f>
        <v>208.2</v>
      </c>
      <c r="K20" s="484">
        <f>'[11]Лист1'!AI14+'[11]Лист1'!AJ14</f>
        <v>348.041</v>
      </c>
      <c r="L20" s="484">
        <f>'[11]Лист1'!AH14+'[11]Лист1'!AK14+'[11]Лист1'!AL14+'[11]Лист1'!AM14+'[11]Лист1'!AN14+'[11]Лист1'!AO14+'[11]Лист1'!AP14+'[11]Лист1'!AQ14+'[11]Лист1'!AR14</f>
        <v>1192.04563</v>
      </c>
      <c r="M20" s="485">
        <f>'[11]Лист1'!AS14+'[11]Лист1'!AT14+'[11]Лист1'!AU14+'[11]Лист1'!AZ14+'[11]Лист1'!BA14</f>
        <v>0</v>
      </c>
      <c r="N20" s="486">
        <f>'[11]Лист1'!BB14</f>
        <v>1794.47655</v>
      </c>
      <c r="O20" s="487"/>
      <c r="P20" s="488">
        <f>'[11]Лист1'!BD14</f>
        <v>1508.21345</v>
      </c>
      <c r="Q20" s="488">
        <f>'[11]Лист1'!BE14</f>
        <v>301.1400000000001</v>
      </c>
      <c r="R20" s="489"/>
      <c r="S20" s="489"/>
    </row>
    <row r="21" spans="1:19" ht="13.5" hidden="1" thickBot="1">
      <c r="A21" s="490" t="s">
        <v>50</v>
      </c>
      <c r="B21" s="491">
        <f>'[11]Лист1'!B15</f>
        <v>347</v>
      </c>
      <c r="C21" s="492">
        <f t="shared" si="0"/>
        <v>3001.55</v>
      </c>
      <c r="D21" s="493">
        <f>'[11]Лист1'!D15</f>
        <v>595.9700000000003</v>
      </c>
      <c r="E21" s="484">
        <f>'[11]Лист1'!S15</f>
        <v>1553.6399999999999</v>
      </c>
      <c r="F21" s="486">
        <f>'[11]Лист1'!T15</f>
        <v>851.9399999999999</v>
      </c>
      <c r="G21" s="494">
        <f>'[11]Лист1'!AB15</f>
        <v>1230.87</v>
      </c>
      <c r="H21" s="486">
        <f>'[11]Лист1'!AC15</f>
        <v>2678.78</v>
      </c>
      <c r="I21" s="495"/>
      <c r="J21" s="494">
        <f>'[11]Лист1'!AG15</f>
        <v>208.2</v>
      </c>
      <c r="K21" s="484">
        <f>'[11]Лист1'!AI15+'[11]Лист1'!AJ15</f>
        <v>343.0988178</v>
      </c>
      <c r="L21" s="484">
        <f>'[11]Лист1'!AH15+'[11]Лист1'!AK15+'[11]Лист1'!AL15+'[11]Лист1'!AM15+'[11]Лист1'!AN15+'[11]Лист1'!AO15+'[11]Лист1'!AP15+'[11]Лист1'!AQ15+'[11]Лист1'!AR15</f>
        <v>1180.18489934</v>
      </c>
      <c r="M21" s="485">
        <f>'[11]Лист1'!AS15+'[11]Лист1'!AT15+'[11]Лист1'!AU15+'[11]Лист1'!AZ15+'[11]Лист1'!BA15</f>
        <v>0</v>
      </c>
      <c r="N21" s="486">
        <f>'[11]Лист1'!BB15</f>
        <v>1780.64723714</v>
      </c>
      <c r="O21" s="487"/>
      <c r="P21" s="488">
        <f>'[11]Лист1'!BD15</f>
        <v>898.1327628600002</v>
      </c>
      <c r="Q21" s="488">
        <f>'[11]Лист1'!BE15</f>
        <v>-322.77</v>
      </c>
      <c r="R21" s="489"/>
      <c r="S21" s="489"/>
    </row>
    <row r="22" spans="1:19" ht="13.5" hidden="1" thickBot="1">
      <c r="A22" s="490" t="s">
        <v>51</v>
      </c>
      <c r="B22" s="491">
        <f>'[11]Лист1'!B16</f>
        <v>347</v>
      </c>
      <c r="C22" s="492">
        <f t="shared" si="0"/>
        <v>3001.55</v>
      </c>
      <c r="D22" s="493">
        <f>'[11]Лист1'!D16</f>
        <v>577.73</v>
      </c>
      <c r="E22" s="484">
        <f>'[11]Лист1'!S16</f>
        <v>1563.7</v>
      </c>
      <c r="F22" s="486">
        <f>'[11]Лист1'!T16</f>
        <v>860.12</v>
      </c>
      <c r="G22" s="494">
        <f>'[11]Лист1'!AB16</f>
        <v>1843.1499999999999</v>
      </c>
      <c r="H22" s="486">
        <f>'[11]Лист1'!AC16</f>
        <v>3281</v>
      </c>
      <c r="I22" s="495"/>
      <c r="J22" s="494">
        <f>'[11]Лист1'!AG16</f>
        <v>208.2</v>
      </c>
      <c r="K22" s="484">
        <f>'[11]Лист1'!AI16+'[11]Лист1'!AJ16</f>
        <v>342.9073952499999</v>
      </c>
      <c r="L22" s="484">
        <f>'[11]Лист1'!AH16+'[11]Лист1'!AK16+'[11]Лист1'!AL16+'[11]Лист1'!AM16+'[11]Лист1'!AN16+'[11]Лист1'!AO16+'[11]Лист1'!AP16+'[11]Лист1'!AQ16+'[11]Лист1'!AR16</f>
        <v>1179.93693314</v>
      </c>
      <c r="M22" s="485">
        <f>'[11]Лист1'!AS16+'[11]Лист1'!AT16+'[11]Лист1'!AU16+'[11]Лист1'!AZ16+'[11]Лист1'!BA16</f>
        <v>0</v>
      </c>
      <c r="N22" s="486">
        <f>'[11]Лист1'!BB16</f>
        <v>1789.1286483900003</v>
      </c>
      <c r="O22" s="487"/>
      <c r="P22" s="488">
        <f>'[11]Лист1'!BD16</f>
        <v>1491.8713516099997</v>
      </c>
      <c r="Q22" s="488">
        <f>'[11]Лист1'!BE16</f>
        <v>279.4499999999998</v>
      </c>
      <c r="R22" s="489"/>
      <c r="S22" s="489"/>
    </row>
    <row r="23" spans="1:19" ht="13.5" hidden="1" thickBot="1">
      <c r="A23" s="490" t="s">
        <v>39</v>
      </c>
      <c r="B23" s="491">
        <f>'[11]Лист1'!B17</f>
        <v>347</v>
      </c>
      <c r="C23" s="492">
        <f t="shared" si="0"/>
        <v>3001.55</v>
      </c>
      <c r="D23" s="493">
        <f>'[11]Лист1'!D17</f>
        <v>577.73</v>
      </c>
      <c r="E23" s="484">
        <f>'[11]Лист1'!S17</f>
        <v>1563.7</v>
      </c>
      <c r="F23" s="486">
        <f>'[11]Лист1'!T17</f>
        <v>860.12</v>
      </c>
      <c r="G23" s="494">
        <f>'[11]Лист1'!AB17</f>
        <v>1231.0300000000002</v>
      </c>
      <c r="H23" s="486">
        <f>'[11]Лист1'!AC17</f>
        <v>2668.88</v>
      </c>
      <c r="I23" s="495"/>
      <c r="J23" s="494">
        <f>'[11]Лист1'!AG17</f>
        <v>208.2</v>
      </c>
      <c r="K23" s="484">
        <f>'[11]Лист1'!AI17+'[11]Лист1'!AJ17</f>
        <v>342.84822827999994</v>
      </c>
      <c r="L23" s="484">
        <f>'[11]Лист1'!AH17+'[11]Лист1'!AK17+'[11]Лист1'!AL17+'[11]Лист1'!AM17+'[11]Лист1'!AN17+'[11]Лист1'!AO17+'[11]Лист1'!AP17+'[11]Лист1'!AQ17+'[11]Лист1'!AR17</f>
        <v>1179.8602711239998</v>
      </c>
      <c r="M23" s="485">
        <f>'[11]Лист1'!AS17+'[11]Лист1'!AT17+'[11]Лист1'!AU17+'[11]Лист1'!AZ17+'[11]Лист1'!BA17</f>
        <v>0</v>
      </c>
      <c r="N23" s="486">
        <f>'[11]Лист1'!BB17</f>
        <v>1800.0942594039993</v>
      </c>
      <c r="O23" s="487"/>
      <c r="P23" s="488">
        <f>'[11]Лист1'!BD17</f>
        <v>868.7857405960008</v>
      </c>
      <c r="Q23" s="488">
        <f>'[11]Лист1'!BE17</f>
        <v>-332.66999999999985</v>
      </c>
      <c r="R23" s="489"/>
      <c r="S23" s="489"/>
    </row>
    <row r="24" spans="1:19" ht="13.5" hidden="1" thickBot="1">
      <c r="A24" s="490" t="s">
        <v>40</v>
      </c>
      <c r="B24" s="491">
        <f>'[11]Лист1'!B18</f>
        <v>347</v>
      </c>
      <c r="C24" s="492">
        <f t="shared" si="0"/>
        <v>3001.55</v>
      </c>
      <c r="D24" s="493">
        <f>'[11]Лист1'!D18</f>
        <v>577.73</v>
      </c>
      <c r="E24" s="484">
        <f>'[11]Лист1'!S18</f>
        <v>1563.7</v>
      </c>
      <c r="F24" s="486">
        <f>'[11]Лист1'!T18</f>
        <v>860.12</v>
      </c>
      <c r="G24" s="494">
        <f>'[11]Лист1'!AB18</f>
        <v>1939.5499999999997</v>
      </c>
      <c r="H24" s="486">
        <f>'[11]Лист1'!AC18</f>
        <v>3377.3999999999996</v>
      </c>
      <c r="I24" s="495"/>
      <c r="J24" s="494">
        <f>'[11]Лист1'!AG18</f>
        <v>208.2</v>
      </c>
      <c r="K24" s="484">
        <f>'[11]Лист1'!AI18+'[11]Лист1'!AJ18</f>
        <v>346.81262</v>
      </c>
      <c r="L24" s="484">
        <f>'[11]Лист1'!AH18+'[11]Лист1'!AK18+'[11]Лист1'!AL18+'[11]Лист1'!AM18+'[11]Лист1'!AN18+'[11]Лист1'!AO18+'[11]Лист1'!AP18+'[11]Лист1'!AQ18+'[11]Лист1'!AR18</f>
        <v>1190.0018</v>
      </c>
      <c r="M24" s="485">
        <f>'[11]Лист1'!AS18+'[11]Лист1'!AT18+'[11]Лист1'!AU18+'[11]Лист1'!AZ18+'[11]Лист1'!BA18</f>
        <v>0</v>
      </c>
      <c r="N24" s="486">
        <f>'[11]Лист1'!BB18</f>
        <v>1829.2664200000002</v>
      </c>
      <c r="O24" s="487"/>
      <c r="P24" s="488">
        <f>'[11]Лист1'!BD18</f>
        <v>1548.1335799999995</v>
      </c>
      <c r="Q24" s="488">
        <f>'[11]Лист1'!BE18</f>
        <v>375.8499999999997</v>
      </c>
      <c r="R24" s="489"/>
      <c r="S24" s="489"/>
    </row>
    <row r="25" spans="1:19" ht="13.5" hidden="1" thickBot="1">
      <c r="A25" s="496" t="s">
        <v>41</v>
      </c>
      <c r="B25" s="491">
        <f>'[11]Лист1'!B19</f>
        <v>347</v>
      </c>
      <c r="C25" s="497">
        <f t="shared" si="0"/>
        <v>3001.55</v>
      </c>
      <c r="D25" s="493">
        <f>'[11]Лист1'!D19</f>
        <v>577.73</v>
      </c>
      <c r="E25" s="484">
        <f>'[11]Лист1'!S19</f>
        <v>1563.7</v>
      </c>
      <c r="F25" s="486">
        <f>'[11]Лист1'!T19</f>
        <v>860.12</v>
      </c>
      <c r="G25" s="494">
        <f>'[11]Лист1'!AB19</f>
        <v>1230.9</v>
      </c>
      <c r="H25" s="486">
        <f>'[11]Лист1'!AC19</f>
        <v>2668.75</v>
      </c>
      <c r="I25" s="495"/>
      <c r="J25" s="494">
        <f>'[11]Лист1'!AG19</f>
        <v>208.2</v>
      </c>
      <c r="K25" s="484">
        <f>'[11]Лист1'!AI19+'[11]Лист1'!AJ19</f>
        <v>348.041</v>
      </c>
      <c r="L25" s="484">
        <f>'[11]Лист1'!AH19+'[11]Лист1'!AK19+'[11]Лист1'!AL19+'[11]Лист1'!AM19+'[11]Лист1'!AN19+'[11]Лист1'!AO19+'[11]Лист1'!AP19+'[11]Лист1'!AQ19+'[11]Лист1'!AR19</f>
        <v>1191.3204</v>
      </c>
      <c r="M25" s="485">
        <f>'[11]Лист1'!AS19+'[11]Лист1'!AT19+'[11]Лист1'!AU19+'[11]Лист1'!AZ19+'[11]Лист1'!BA19</f>
        <v>0</v>
      </c>
      <c r="N25" s="486">
        <f>'[11]Лист1'!BB19</f>
        <v>1840.7342</v>
      </c>
      <c r="O25" s="487"/>
      <c r="P25" s="488">
        <f>'[11]Лист1'!BD19</f>
        <v>828.0157999999999</v>
      </c>
      <c r="Q25" s="488">
        <f>'[11]Лист1'!BE19</f>
        <v>-332.79999999999995</v>
      </c>
      <c r="R25" s="489"/>
      <c r="S25" s="489"/>
    </row>
    <row r="26" spans="1:19" s="507" customFormat="1" ht="13.5" hidden="1" thickBot="1">
      <c r="A26" s="498" t="s">
        <v>3</v>
      </c>
      <c r="B26" s="499"/>
      <c r="C26" s="500">
        <f aca="true" t="shared" si="1" ref="C26:Q26">SUM(C14:C25)</f>
        <v>33017.049999999996</v>
      </c>
      <c r="D26" s="501">
        <f t="shared" si="1"/>
        <v>5563.254999999999</v>
      </c>
      <c r="E26" s="500">
        <f t="shared" si="1"/>
        <v>16545.510000000002</v>
      </c>
      <c r="F26" s="502">
        <f t="shared" si="1"/>
        <v>9096.060000000001</v>
      </c>
      <c r="G26" s="501">
        <f t="shared" si="1"/>
        <v>16055.549999999997</v>
      </c>
      <c r="H26" s="502">
        <f t="shared" si="1"/>
        <v>30714.864999999998</v>
      </c>
      <c r="I26" s="503"/>
      <c r="J26" s="501">
        <f t="shared" si="1"/>
        <v>2206.92</v>
      </c>
      <c r="K26" s="500">
        <f t="shared" si="1"/>
        <v>3635.6594948300003</v>
      </c>
      <c r="L26" s="500">
        <f t="shared" si="1"/>
        <v>12400.211564704</v>
      </c>
      <c r="M26" s="500">
        <f t="shared" si="1"/>
        <v>1569.4</v>
      </c>
      <c r="N26" s="502">
        <f t="shared" si="1"/>
        <v>20582.551699533997</v>
      </c>
      <c r="O26" s="504"/>
      <c r="P26" s="505">
        <f t="shared" si="1"/>
        <v>10132.313300466</v>
      </c>
      <c r="Q26" s="505">
        <f t="shared" si="1"/>
        <v>-489.96000000000004</v>
      </c>
      <c r="R26" s="506"/>
      <c r="S26" s="506"/>
    </row>
    <row r="27" spans="1:19" ht="13.5" thickBot="1">
      <c r="A27" s="508" t="s">
        <v>121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10"/>
      <c r="R27" s="489"/>
      <c r="S27" s="489"/>
    </row>
    <row r="28" spans="1:19" s="507" customFormat="1" ht="13.5" thickBot="1">
      <c r="A28" s="511" t="s">
        <v>52</v>
      </c>
      <c r="B28" s="512"/>
      <c r="C28" s="513">
        <f>'2011 полн'!C8</f>
        <v>323397.55000000005</v>
      </c>
      <c r="D28" s="513">
        <f>'2011 полн'!D8</f>
        <v>37531.41632630004</v>
      </c>
      <c r="E28" s="513">
        <f>'2011 полн'!U8</f>
        <v>246794.31</v>
      </c>
      <c r="F28" s="513">
        <f>'2011 полн'!V8</f>
        <v>38421.509999999995</v>
      </c>
      <c r="G28" s="513">
        <f>'2011 полн'!AF8</f>
        <v>227485.15999999997</v>
      </c>
      <c r="H28" s="513">
        <f>'2011 полн'!AG8</f>
        <v>303438.08632630005</v>
      </c>
      <c r="I28" s="513">
        <f>'2011 полн'!AJ8</f>
        <v>41400.49164000001</v>
      </c>
      <c r="J28" s="513">
        <f>'2011 полн'!AK8</f>
        <v>22099.992</v>
      </c>
      <c r="K28" s="513">
        <f>'2011 полн'!AL8</f>
        <v>7405.2997904</v>
      </c>
      <c r="L28" s="513">
        <f>'2011 полн'!AM8+'2011 полн'!AO8+'2011 полн'!AP8+'2011 полн'!AS8+'2011 полн'!AT8+'2011 полн'!AX8+'2011 полн'!AY8</f>
        <v>169217.6899174428</v>
      </c>
      <c r="M28" s="513">
        <f>'2011 полн'!AU8+'2011 полн'!AW8</f>
        <v>67663.6852</v>
      </c>
      <c r="N28" s="513">
        <f>'2011 полн'!BD8</f>
        <v>16953.2044749942</v>
      </c>
      <c r="O28" s="513">
        <f>'2011 полн'!BE8</f>
        <v>283339.87138283707</v>
      </c>
      <c r="P28" s="513">
        <f>'2011 полн'!BF8</f>
        <v>61498.70658346305</v>
      </c>
      <c r="Q28" s="513">
        <f>'2011 полн'!BG8</f>
        <v>-19309.149999999998</v>
      </c>
      <c r="R28" s="514"/>
      <c r="S28" s="506"/>
    </row>
    <row r="29" spans="1:19" ht="12.75">
      <c r="A29" s="476" t="s">
        <v>122</v>
      </c>
      <c r="B29" s="477"/>
      <c r="C29" s="478"/>
      <c r="D29" s="479"/>
      <c r="E29" s="480"/>
      <c r="F29" s="481"/>
      <c r="G29" s="482"/>
      <c r="H29" s="481"/>
      <c r="I29" s="483"/>
      <c r="J29" s="482"/>
      <c r="K29" s="484"/>
      <c r="L29" s="484"/>
      <c r="M29" s="485"/>
      <c r="N29" s="486"/>
      <c r="O29" s="486"/>
      <c r="P29" s="488"/>
      <c r="Q29" s="488"/>
      <c r="R29" s="489"/>
      <c r="S29" s="489"/>
    </row>
    <row r="30" spans="1:19" ht="12.75">
      <c r="A30" s="490" t="s">
        <v>43</v>
      </c>
      <c r="B30" s="491">
        <f>'2011 полн'!B10</f>
        <v>1385</v>
      </c>
      <c r="C30" s="492">
        <f>'2011 полн'!C10</f>
        <v>11841.750000000002</v>
      </c>
      <c r="D30" s="493">
        <f>'2011 полн'!D10</f>
        <v>73.31060000000001</v>
      </c>
      <c r="E30" s="484">
        <f>'2011 полн'!U10</f>
        <v>12004.84</v>
      </c>
      <c r="F30" s="484">
        <f>'2011 полн'!V10</f>
        <v>0</v>
      </c>
      <c r="G30" s="494">
        <f>'2011 полн'!AF10</f>
        <v>8060.669999999999</v>
      </c>
      <c r="H30" s="486">
        <f>'2011 полн'!AG10</f>
        <v>8133.980599999999</v>
      </c>
      <c r="I30" s="495">
        <f>'2011 полн'!AJ10</f>
        <v>2499.9139999999998</v>
      </c>
      <c r="J30" s="494">
        <f>'2011 полн'!AK10</f>
        <v>927.95</v>
      </c>
      <c r="K30" s="494">
        <f>'2011 полн'!AL10</f>
        <v>277</v>
      </c>
      <c r="L30" s="484">
        <f>'2011 полн'!AM10+'2011 полн'!AN10+'2011 полн'!AO10+'2011 полн'!AP10+'2011 полн'!AQ10+'2011 полн'!AR10+'2011 полн'!AS10+'2011 полн'!AT10+'2011 полн'!AX10</f>
        <v>9745.669999999998</v>
      </c>
      <c r="M30" s="485">
        <f>'2011 полн'!AU10+'2011 полн'!AV10+'2011 полн'!AW10</f>
        <v>12000</v>
      </c>
      <c r="N30" s="486">
        <f>'2011 полн'!BD10</f>
        <v>1522.3629999999998</v>
      </c>
      <c r="O30" s="486">
        <f>'2011 полн'!BE10</f>
        <v>24472.983</v>
      </c>
      <c r="P30" s="488">
        <f>'2011 полн'!BF10</f>
        <v>-13839.0884</v>
      </c>
      <c r="Q30" s="488">
        <f>'2011 полн'!BG10</f>
        <v>-3944.170000000001</v>
      </c>
      <c r="R30" s="489"/>
      <c r="S30" s="489"/>
    </row>
    <row r="31" spans="1:19" ht="12.75">
      <c r="A31" s="490" t="s">
        <v>44</v>
      </c>
      <c r="B31" s="491">
        <f>'2011 полн'!B11</f>
        <v>1385</v>
      </c>
      <c r="C31" s="492">
        <f>'2011 полн'!C11</f>
        <v>11841.750000000002</v>
      </c>
      <c r="D31" s="493">
        <f>'2011 полн'!D11</f>
        <v>73.31060000000001</v>
      </c>
      <c r="E31" s="484">
        <f>'2011 полн'!U11</f>
        <v>11788.82</v>
      </c>
      <c r="F31" s="484">
        <f>'2011 полн'!V11</f>
        <v>0</v>
      </c>
      <c r="G31" s="494">
        <f>'2011 полн'!AF11</f>
        <v>9745.789999999999</v>
      </c>
      <c r="H31" s="486">
        <f>'2011 полн'!AG11</f>
        <v>9819.1006</v>
      </c>
      <c r="I31" s="495">
        <f>'2011 полн'!AJ11</f>
        <v>2499.9139999999998</v>
      </c>
      <c r="J31" s="494">
        <f>'2011 полн'!AK11</f>
        <v>927.95</v>
      </c>
      <c r="K31" s="494">
        <f>'2011 полн'!AL11</f>
        <v>277</v>
      </c>
      <c r="L31" s="484">
        <f>'2011 полн'!AM11+'2011 полн'!AN11+'2011 полн'!AO11+'2011 полн'!AP11+'2011 полн'!AQ11+'2011 полн'!AR11+'2011 полн'!AS11+'2011 полн'!AT11+'2011 полн'!AX11</f>
        <v>9619.189999999999</v>
      </c>
      <c r="M31" s="485">
        <f>'2011 полн'!AU11+'2011 полн'!AV11+'2011 полн'!AW11</f>
        <v>672</v>
      </c>
      <c r="N31" s="486">
        <f>'2011 полн'!BD11</f>
        <v>1522.3629999999998</v>
      </c>
      <c r="O31" s="486">
        <f>'2011 полн'!BE11</f>
        <v>13018.502999999999</v>
      </c>
      <c r="P31" s="488">
        <f>'2011 полн'!BF11</f>
        <v>-699.4884000000002</v>
      </c>
      <c r="Q31" s="488">
        <f>'2011 полн'!BG11</f>
        <v>-2043.0300000000007</v>
      </c>
      <c r="R31" s="489"/>
      <c r="S31" s="489"/>
    </row>
    <row r="32" spans="1:19" ht="12.75">
      <c r="A32" s="490" t="s">
        <v>45</v>
      </c>
      <c r="B32" s="491">
        <f>'2011 полн'!B12</f>
        <v>1385</v>
      </c>
      <c r="C32" s="492">
        <f>'2011 полн'!C12</f>
        <v>11841.750000000002</v>
      </c>
      <c r="D32" s="493">
        <f>'2011 полн'!D12</f>
        <v>73.31060000000001</v>
      </c>
      <c r="E32" s="484">
        <f>'2011 полн'!U12</f>
        <v>11896.830000000002</v>
      </c>
      <c r="F32" s="484">
        <f>'2011 полн'!V12</f>
        <v>0</v>
      </c>
      <c r="G32" s="494">
        <f>'2011 полн'!AF12</f>
        <v>11323.62</v>
      </c>
      <c r="H32" s="486">
        <f>'2011 полн'!AG12</f>
        <v>11396.930600000002</v>
      </c>
      <c r="I32" s="495">
        <f>'2011 полн'!AJ12</f>
        <v>2499.9139999999998</v>
      </c>
      <c r="J32" s="494">
        <f>'2011 полн'!AK12</f>
        <v>927.95</v>
      </c>
      <c r="K32" s="494">
        <f>'2011 полн'!AL12</f>
        <v>277</v>
      </c>
      <c r="L32" s="484">
        <f>'2011 полн'!AM12+'2011 полн'!AN12+'2011 полн'!AO12+'2011 полн'!AP12+'2011 полн'!AQ12+'2011 полн'!AR12+'2011 полн'!AS12+'2011 полн'!AT12+'2011 полн'!AX12</f>
        <v>9841.669999999998</v>
      </c>
      <c r="M32" s="485">
        <f>'2011 полн'!AU12+'2011 полн'!AV12+'2011 полн'!AW12</f>
        <v>1323</v>
      </c>
      <c r="N32" s="486">
        <f>'2011 полн'!BD12</f>
        <v>1522.3629999999998</v>
      </c>
      <c r="O32" s="486">
        <f>'2011 полн'!BE12</f>
        <v>13891.982999999998</v>
      </c>
      <c r="P32" s="488">
        <f>'2011 полн'!BF12</f>
        <v>4.861600000001999</v>
      </c>
      <c r="Q32" s="488">
        <f>'2011 полн'!BG12</f>
        <v>-573.210000000001</v>
      </c>
      <c r="R32" s="489"/>
      <c r="S32" s="489"/>
    </row>
    <row r="33" spans="1:19" ht="12.75">
      <c r="A33" s="490" t="s">
        <v>46</v>
      </c>
      <c r="B33" s="491">
        <f>'2011 полн'!B13</f>
        <v>1385</v>
      </c>
      <c r="C33" s="492">
        <f>'2011 полн'!C13</f>
        <v>11841.750000000002</v>
      </c>
      <c r="D33" s="493">
        <f>'2011 полн'!D13</f>
        <v>73.31060000000001</v>
      </c>
      <c r="E33" s="484">
        <f>'2011 полн'!U13</f>
        <v>11896.81</v>
      </c>
      <c r="F33" s="484">
        <f>'2011 полн'!V13</f>
        <v>0</v>
      </c>
      <c r="G33" s="494">
        <f>'2011 полн'!AF13</f>
        <v>11457.52</v>
      </c>
      <c r="H33" s="486">
        <f>'2011 полн'!AG13</f>
        <v>11530.830600000001</v>
      </c>
      <c r="I33" s="495">
        <f>'2011 полн'!AJ13</f>
        <v>2499.9139999999998</v>
      </c>
      <c r="J33" s="494">
        <f>'2011 полн'!AK13</f>
        <v>927.95</v>
      </c>
      <c r="K33" s="494">
        <f>'2011 полн'!AL13</f>
        <v>277</v>
      </c>
      <c r="L33" s="484">
        <f>'2011 полн'!AM13+'2011 полн'!AN13+'2011 полн'!AO13+'2011 полн'!AP13+'2011 полн'!AQ13+'2011 полн'!AR13+'2011 полн'!AS13+'2011 полн'!AT13+'2011 полн'!AX13</f>
        <v>8197.919999999998</v>
      </c>
      <c r="M33" s="485">
        <f>'2011 полн'!AU13+'2011 полн'!AV13+'2011 полн'!AW13</f>
        <v>0</v>
      </c>
      <c r="N33" s="486">
        <f>'2011 полн'!BD13</f>
        <v>1522.3629999999998</v>
      </c>
      <c r="O33" s="486">
        <f>'2011 полн'!BE13</f>
        <v>10925.232999999998</v>
      </c>
      <c r="P33" s="488">
        <f>'2011 полн'!BF13</f>
        <v>3105.5116000000035</v>
      </c>
      <c r="Q33" s="488">
        <f>'2011 полн'!BG13</f>
        <v>-439.28999999999905</v>
      </c>
      <c r="R33" s="489"/>
      <c r="S33" s="489"/>
    </row>
    <row r="34" spans="1:19" ht="12.75">
      <c r="A34" s="490" t="s">
        <v>47</v>
      </c>
      <c r="B34" s="491">
        <f>'2011 полн'!B14</f>
        <v>1385</v>
      </c>
      <c r="C34" s="492">
        <f>'2011 полн'!C14</f>
        <v>11841.750000000002</v>
      </c>
      <c r="D34" s="493">
        <f>'2011 полн'!D14</f>
        <v>73.31060000000001</v>
      </c>
      <c r="E34" s="484">
        <f>'2011 полн'!U14</f>
        <v>11896.830000000002</v>
      </c>
      <c r="F34" s="484">
        <f>'2011 полн'!V14</f>
        <v>0</v>
      </c>
      <c r="G34" s="494">
        <f>'2011 полн'!AF14</f>
        <v>11407.26</v>
      </c>
      <c r="H34" s="486">
        <f>'2011 полн'!AG14</f>
        <v>11480.570600000001</v>
      </c>
      <c r="I34" s="495">
        <f>'2011 полн'!AJ14</f>
        <v>2613.9139999999998</v>
      </c>
      <c r="J34" s="494">
        <f>'2011 полн'!AK14</f>
        <v>927.95</v>
      </c>
      <c r="K34" s="494">
        <f>'2011 полн'!AL14</f>
        <v>277</v>
      </c>
      <c r="L34" s="484">
        <f>'2011 полн'!AM14+'2011 полн'!AN14+'2011 полн'!AO14+'2011 полн'!AP14+'2011 полн'!AQ14+'2011 полн'!AR14+'2011 полн'!AS14+'2011 полн'!AT14+'2011 полн'!AX14</f>
        <v>8152.919999999999</v>
      </c>
      <c r="M34" s="485">
        <f>'2011 полн'!AU14+'2011 полн'!AV14+'2011 полн'!AW14</f>
        <v>371</v>
      </c>
      <c r="N34" s="486">
        <f>'2011 полн'!BD14</f>
        <v>1550.8629999999998</v>
      </c>
      <c r="O34" s="486">
        <f>'2011 полн'!BE14</f>
        <v>11279.732999999998</v>
      </c>
      <c r="P34" s="488">
        <f>'2011 полн'!BF14</f>
        <v>2814.7516000000014</v>
      </c>
      <c r="Q34" s="488">
        <f>'2011 полн'!BG14</f>
        <v>-489.5700000000015</v>
      </c>
      <c r="R34" s="489"/>
      <c r="S34" s="489"/>
    </row>
    <row r="35" spans="1:19" ht="12.75">
      <c r="A35" s="490" t="s">
        <v>48</v>
      </c>
      <c r="B35" s="491">
        <f>'2011 полн'!B15</f>
        <v>1385</v>
      </c>
      <c r="C35" s="492">
        <f>'2011 полн'!C15</f>
        <v>11841.750000000002</v>
      </c>
      <c r="D35" s="493">
        <f>'2011 полн'!D15</f>
        <v>73.31060000000001</v>
      </c>
      <c r="E35" s="484">
        <f>'2011 полн'!U15</f>
        <v>11896.830000000002</v>
      </c>
      <c r="F35" s="484">
        <f>'2011 полн'!V15</f>
        <v>0</v>
      </c>
      <c r="G35" s="494">
        <f>'2011 полн'!AF15</f>
        <v>12009.84</v>
      </c>
      <c r="H35" s="486">
        <f>'2011 полн'!AG15</f>
        <v>12083.1506</v>
      </c>
      <c r="I35" s="495">
        <f>'2011 полн'!AJ15</f>
        <v>2613.9139999999998</v>
      </c>
      <c r="J35" s="494">
        <f>'2011 полн'!AK15</f>
        <v>927.95</v>
      </c>
      <c r="K35" s="494">
        <f>'2011 полн'!AL15</f>
        <v>277</v>
      </c>
      <c r="L35" s="484">
        <f>'2011 полн'!AM15+'2011 полн'!AN15+'2011 полн'!AO15+'2011 полн'!AP15+'2011 полн'!AQ15+'2011 полн'!AR15+'2011 полн'!AS15+'2011 полн'!AT15+'2011 полн'!AX15</f>
        <v>8152.919999999999</v>
      </c>
      <c r="M35" s="485">
        <f>'2011 полн'!AU15+'2011 полн'!AV15+'2011 полн'!AW15</f>
        <v>0</v>
      </c>
      <c r="N35" s="486">
        <f>'2011 полн'!BD15</f>
        <v>1550.8629999999998</v>
      </c>
      <c r="O35" s="486">
        <f>'2011 полн'!BE15</f>
        <v>10908.732999999998</v>
      </c>
      <c r="P35" s="488">
        <f>'2011 полн'!BF15</f>
        <v>3788.331600000003</v>
      </c>
      <c r="Q35" s="488">
        <f>'2011 полн'!BG15</f>
        <v>113.0099999999984</v>
      </c>
      <c r="R35" s="489"/>
      <c r="S35" s="489"/>
    </row>
    <row r="36" spans="1:17" ht="12.75">
      <c r="A36" s="490" t="s">
        <v>49</v>
      </c>
      <c r="B36" s="491">
        <f>'2011 полн'!B16</f>
        <v>1385</v>
      </c>
      <c r="C36" s="492">
        <f>'2011 полн'!C16</f>
        <v>11841.750000000002</v>
      </c>
      <c r="D36" s="493">
        <f>'2011 полн'!D16</f>
        <v>73.31060000000001</v>
      </c>
      <c r="E36" s="484">
        <f>'2011 полн'!U16</f>
        <v>11896.84</v>
      </c>
      <c r="F36" s="484">
        <f>'2011 полн'!V16</f>
        <v>0</v>
      </c>
      <c r="G36" s="494">
        <f>'2011 полн'!AF16</f>
        <v>10544.660000000002</v>
      </c>
      <c r="H36" s="486">
        <f>'2011 полн'!AG16</f>
        <v>10617.970600000002</v>
      </c>
      <c r="I36" s="495">
        <f>'2011 полн'!AJ16</f>
        <v>2613.9139999999998</v>
      </c>
      <c r="J36" s="494">
        <f>'2011 полн'!AK16</f>
        <v>927.95</v>
      </c>
      <c r="K36" s="494">
        <f>'2011 полн'!AL16</f>
        <v>277</v>
      </c>
      <c r="L36" s="484">
        <f>'2011 полн'!AM16+'2011 полн'!AN16+'2011 полн'!AO16+'2011 полн'!AP16+'2011 полн'!AQ16+'2011 полн'!AR16+'2011 полн'!AS16+'2011 полн'!AT16+'2011 полн'!AX16</f>
        <v>8373.779999999999</v>
      </c>
      <c r="M36" s="485">
        <f>'2011 полн'!AU16+'2011 полн'!AV16+'2011 полн'!AW16</f>
        <v>603</v>
      </c>
      <c r="N36" s="486">
        <f>'2011 полн'!BD16</f>
        <v>1550.8629999999998</v>
      </c>
      <c r="O36" s="486">
        <f>'2011 полн'!BE16</f>
        <v>11732.592999999999</v>
      </c>
      <c r="P36" s="488">
        <f>'2011 полн'!BF16</f>
        <v>1499.2916000000023</v>
      </c>
      <c r="Q36" s="488">
        <f>'2011 полн'!BG16</f>
        <v>-1352.1799999999985</v>
      </c>
    </row>
    <row r="37" spans="1:17" ht="12.75">
      <c r="A37" s="490" t="s">
        <v>50</v>
      </c>
      <c r="B37" s="491">
        <f>'2011 полн'!B17</f>
        <v>1385</v>
      </c>
      <c r="C37" s="492">
        <f>'2011 полн'!C17</f>
        <v>11841.750000000002</v>
      </c>
      <c r="D37" s="493">
        <f>'2011 полн'!D17</f>
        <v>73.31060000000001</v>
      </c>
      <c r="E37" s="484">
        <f>'2011 полн'!U17</f>
        <v>11896.830000000002</v>
      </c>
      <c r="F37" s="484">
        <f>'2011 полн'!V17</f>
        <v>0</v>
      </c>
      <c r="G37" s="494">
        <f>'2011 полн'!AF17</f>
        <v>11531.240000000002</v>
      </c>
      <c r="H37" s="486">
        <f>'2011 полн'!AG17</f>
        <v>11604.550600000002</v>
      </c>
      <c r="I37" s="495">
        <f>'2011 полн'!AJ17</f>
        <v>2613.9139999999998</v>
      </c>
      <c r="J37" s="494">
        <f>'2011 полн'!AK17</f>
        <v>927.95</v>
      </c>
      <c r="K37" s="494">
        <f>'2011 полн'!AL17</f>
        <v>277</v>
      </c>
      <c r="L37" s="484">
        <f>'2011 полн'!AM17+'2011 полн'!AN17+'2011 полн'!AO17+'2011 полн'!AP17+'2011 полн'!AQ17+'2011 полн'!AR17+'2011 полн'!AS17+'2011 полн'!AT17+'2011 полн'!AX17</f>
        <v>8152.919999999999</v>
      </c>
      <c r="M37" s="485">
        <f>'2011 полн'!AU17+'2011 полн'!AV17+'2011 полн'!AW17</f>
        <v>4031</v>
      </c>
      <c r="N37" s="486">
        <f>'2011 полн'!BD17</f>
        <v>1550.8629999999998</v>
      </c>
      <c r="O37" s="486">
        <f>'2011 полн'!BE17</f>
        <v>14939.732999999998</v>
      </c>
      <c r="P37" s="488">
        <f>'2011 полн'!BF17</f>
        <v>-721.2683999999954</v>
      </c>
      <c r="Q37" s="488">
        <f>'2011 полн'!BG17</f>
        <v>-365.59000000000015</v>
      </c>
    </row>
    <row r="38" spans="1:17" ht="12.75">
      <c r="A38" s="490" t="s">
        <v>51</v>
      </c>
      <c r="B38" s="491">
        <f>'2011 полн'!B18</f>
        <v>1385</v>
      </c>
      <c r="C38" s="492">
        <f>'2011 полн'!C18</f>
        <v>11841.750000000002</v>
      </c>
      <c r="D38" s="493">
        <f>'2011 полн'!D18</f>
        <v>73.31060000000001</v>
      </c>
      <c r="E38" s="484">
        <f>'2011 полн'!U18</f>
        <v>12075.49</v>
      </c>
      <c r="F38" s="484">
        <f>'2011 полн'!V18</f>
        <v>0</v>
      </c>
      <c r="G38" s="494">
        <f>'2011 полн'!AF18</f>
        <v>12894.41</v>
      </c>
      <c r="H38" s="486">
        <f>'2011 полн'!AG18</f>
        <v>12967.7206</v>
      </c>
      <c r="I38" s="495">
        <f>'2011 полн'!AJ18</f>
        <v>2613.9139999999998</v>
      </c>
      <c r="J38" s="494">
        <f>'2011 полн'!AK18</f>
        <v>927.95</v>
      </c>
      <c r="K38" s="494">
        <f>'2011 полн'!AL18</f>
        <v>277</v>
      </c>
      <c r="L38" s="484">
        <f>'2011 полн'!AM18+'2011 полн'!AN18+'2011 полн'!AO18+'2011 полн'!AP18+'2011 полн'!AQ18+'2011 полн'!AR18+'2011 полн'!AS18+'2011 полн'!AT18+'2011 полн'!AX18</f>
        <v>8391.259999999998</v>
      </c>
      <c r="M38" s="485">
        <f>'2011 полн'!AU18+'2011 полн'!AV18+'2011 полн'!AW18</f>
        <v>2868</v>
      </c>
      <c r="N38" s="486">
        <f>'2011 полн'!BD18</f>
        <v>1550.8629999999998</v>
      </c>
      <c r="O38" s="486">
        <f>'2011 полн'!BE18</f>
        <v>14015.072999999999</v>
      </c>
      <c r="P38" s="488">
        <f>'2011 полн'!BF18</f>
        <v>1566.5616000000027</v>
      </c>
      <c r="Q38" s="488">
        <f>'2011 полн'!BG18</f>
        <v>818.9200000000001</v>
      </c>
    </row>
    <row r="39" spans="1:17" ht="12.75">
      <c r="A39" s="490" t="s">
        <v>39</v>
      </c>
      <c r="B39" s="491">
        <f>'2011 полн'!B19</f>
        <v>1385</v>
      </c>
      <c r="C39" s="492">
        <f>'2011 полн'!C19</f>
        <v>11841.750000000002</v>
      </c>
      <c r="D39" s="493">
        <f>'2011 полн'!D19</f>
        <v>73.31060000000001</v>
      </c>
      <c r="E39" s="484">
        <f>'2011 полн'!U19</f>
        <v>12075.48</v>
      </c>
      <c r="F39" s="484">
        <f>'2011 полн'!V19</f>
        <v>0</v>
      </c>
      <c r="G39" s="494">
        <f>'2011 полн'!AF19</f>
        <v>11264.17</v>
      </c>
      <c r="H39" s="486">
        <f>'2011 полн'!AG19</f>
        <v>11337.4806</v>
      </c>
      <c r="I39" s="495">
        <f>'2011 полн'!AJ19</f>
        <v>2613.9139999999998</v>
      </c>
      <c r="J39" s="494">
        <f>'2011 полн'!AK19</f>
        <v>927.95</v>
      </c>
      <c r="K39" s="494">
        <f>'2011 полн'!AL19</f>
        <v>277</v>
      </c>
      <c r="L39" s="484">
        <f>'2011 полн'!AM19+'2011 полн'!AN19+'2011 полн'!AO19+'2011 полн'!AP19+'2011 полн'!AQ19+'2011 полн'!AR19+'2011 полн'!AS19+'2011 полн'!AT19+'2011 полн'!AX19</f>
        <v>9756.119999999999</v>
      </c>
      <c r="M39" s="485">
        <f>'2011 полн'!AU19+'2011 полн'!AV19+'2011 полн'!AW19</f>
        <v>0</v>
      </c>
      <c r="N39" s="486">
        <f>'2011 полн'!BD19</f>
        <v>1550.8629999999998</v>
      </c>
      <c r="O39" s="486">
        <f>'2011 полн'!BE19</f>
        <v>12511.932999999999</v>
      </c>
      <c r="P39" s="488">
        <f>'2011 полн'!BF19</f>
        <v>1439.4616000000005</v>
      </c>
      <c r="Q39" s="488">
        <f>'2011 полн'!BG19</f>
        <v>-811.3099999999995</v>
      </c>
    </row>
    <row r="40" spans="1:17" ht="12.75">
      <c r="A40" s="490" t="s">
        <v>40</v>
      </c>
      <c r="B40" s="491">
        <f>'2011 полн'!B20</f>
        <v>1385</v>
      </c>
      <c r="C40" s="492">
        <f>'2011 полн'!C20</f>
        <v>11841.750000000002</v>
      </c>
      <c r="D40" s="493">
        <f>'2011 полн'!D20</f>
        <v>73.31060000000001</v>
      </c>
      <c r="E40" s="484">
        <f>'2011 полн'!U20</f>
        <v>12075.48</v>
      </c>
      <c r="F40" s="484">
        <f>'2011 полн'!V20</f>
        <v>0</v>
      </c>
      <c r="G40" s="494">
        <f>'2011 полн'!AF20</f>
        <v>12708.2</v>
      </c>
      <c r="H40" s="486">
        <f>'2011 полн'!AG20</f>
        <v>12781.510600000001</v>
      </c>
      <c r="I40" s="495">
        <f>'2011 полн'!AJ20</f>
        <v>2613.9139999999998</v>
      </c>
      <c r="J40" s="494">
        <f>'2011 полн'!AK20</f>
        <v>927.95</v>
      </c>
      <c r="K40" s="494">
        <f>'2011 полн'!AL20</f>
        <v>277</v>
      </c>
      <c r="L40" s="484">
        <f>'2011 полн'!AM20+'2011 полн'!AN20+'2011 полн'!AO20+'2011 полн'!AP20+'2011 полн'!AQ20+'2011 полн'!AR20+'2011 полн'!AS20+'2011 полн'!AT20+'2011 полн'!AX20</f>
        <v>9763.229999999998</v>
      </c>
      <c r="M40" s="485">
        <f>'2011 полн'!AU20+'2011 полн'!AV20+'2011 полн'!AW20</f>
        <v>0</v>
      </c>
      <c r="N40" s="486">
        <f>'2011 полн'!BD20</f>
        <v>1550.8629999999998</v>
      </c>
      <c r="O40" s="486">
        <f>'2011 полн'!BE20</f>
        <v>12519.042999999998</v>
      </c>
      <c r="P40" s="488">
        <f>'2011 полн'!BF20</f>
        <v>2876.3816000000043</v>
      </c>
      <c r="Q40" s="488">
        <f>'2011 полн'!BG20</f>
        <v>632.7200000000012</v>
      </c>
    </row>
    <row r="41" spans="1:17" ht="13.5" thickBot="1">
      <c r="A41" s="490" t="s">
        <v>41</v>
      </c>
      <c r="B41" s="491">
        <f>'2011 полн'!B21</f>
        <v>1385</v>
      </c>
      <c r="C41" s="492">
        <f>'2011 полн'!C21</f>
        <v>11841.750000000002</v>
      </c>
      <c r="D41" s="493">
        <f>'2011 полн'!D21</f>
        <v>73.31060000000001</v>
      </c>
      <c r="E41" s="484">
        <f>'2011 полн'!U21</f>
        <v>12104.27</v>
      </c>
      <c r="F41" s="484">
        <f>'2011 полн'!V21</f>
        <v>0</v>
      </c>
      <c r="G41" s="494">
        <f>'2011 полн'!AF21</f>
        <v>12169.380000000001</v>
      </c>
      <c r="H41" s="486">
        <f>'2011 полн'!AG21</f>
        <v>12242.690600000002</v>
      </c>
      <c r="I41" s="495">
        <f>'2011 полн'!AJ21</f>
        <v>2613.9139999999998</v>
      </c>
      <c r="J41" s="494">
        <f>'2011 полн'!AK21</f>
        <v>927.95</v>
      </c>
      <c r="K41" s="494">
        <f>'2011 полн'!AL21</f>
        <v>277</v>
      </c>
      <c r="L41" s="484">
        <f>'2011 полн'!AM21+'2011 полн'!AN21+'2011 полн'!AO21+'2011 полн'!AP21+'2011 полн'!AQ21+'2011 полн'!AR21+'2011 полн'!AS21+'2011 полн'!AT21+'2011 полн'!AX21</f>
        <v>11521.669999999998</v>
      </c>
      <c r="M41" s="485">
        <f>'2011 полн'!AU21+'2011 полн'!AV21+'2011 полн'!AW21</f>
        <v>357</v>
      </c>
      <c r="N41" s="486">
        <f>'2011 полн'!BD21</f>
        <v>1550.8629999999998</v>
      </c>
      <c r="O41" s="486">
        <f>'2011 полн'!BE21</f>
        <v>14634.482999999998</v>
      </c>
      <c r="P41" s="488">
        <f>'2011 полн'!BF21</f>
        <v>222.12160000000404</v>
      </c>
      <c r="Q41" s="488">
        <f>'2011 полн'!BG21</f>
        <v>65.11000000000058</v>
      </c>
    </row>
    <row r="42" spans="1:19" s="507" customFormat="1" ht="13.5" thickBot="1">
      <c r="A42" s="498" t="s">
        <v>3</v>
      </c>
      <c r="B42" s="499"/>
      <c r="C42" s="505">
        <f aca="true" t="shared" si="2" ref="C42:P42">SUM(C30:C41)</f>
        <v>142101.00000000003</v>
      </c>
      <c r="D42" s="505">
        <f t="shared" si="2"/>
        <v>879.7272000000002</v>
      </c>
      <c r="E42" s="505">
        <f t="shared" si="2"/>
        <v>143505.35</v>
      </c>
      <c r="F42" s="505">
        <f t="shared" si="2"/>
        <v>0</v>
      </c>
      <c r="G42" s="505">
        <f t="shared" si="2"/>
        <v>135116.76</v>
      </c>
      <c r="H42" s="505">
        <f t="shared" si="2"/>
        <v>135996.4872</v>
      </c>
      <c r="I42" s="505">
        <f t="shared" si="2"/>
        <v>30910.968000000004</v>
      </c>
      <c r="J42" s="505">
        <f t="shared" si="2"/>
        <v>11135.400000000001</v>
      </c>
      <c r="K42" s="505">
        <f t="shared" si="2"/>
        <v>3324</v>
      </c>
      <c r="L42" s="505">
        <f t="shared" si="2"/>
        <v>109669.26999999997</v>
      </c>
      <c r="M42" s="505">
        <f t="shared" si="2"/>
        <v>22225</v>
      </c>
      <c r="N42" s="505">
        <f t="shared" si="2"/>
        <v>18496.355999999996</v>
      </c>
      <c r="O42" s="505">
        <f t="shared" si="2"/>
        <v>164850.02599999998</v>
      </c>
      <c r="P42" s="505">
        <f t="shared" si="2"/>
        <v>2057.429200000028</v>
      </c>
      <c r="Q42" s="505">
        <f>SUM(Q30:Q41)</f>
        <v>-8388.59</v>
      </c>
      <c r="R42" s="506"/>
      <c r="S42" s="506"/>
    </row>
    <row r="43" spans="1:19" ht="13.5" thickBot="1">
      <c r="A43" s="508" t="s">
        <v>68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10"/>
      <c r="R43" s="489"/>
      <c r="S43" s="489"/>
    </row>
    <row r="44" spans="1:19" s="507" customFormat="1" ht="13.5" thickBot="1">
      <c r="A44" s="511" t="s">
        <v>52</v>
      </c>
      <c r="B44" s="512"/>
      <c r="C44" s="513">
        <f aca="true" t="shared" si="3" ref="C44:Q44">C42+C28</f>
        <v>465498.55000000005</v>
      </c>
      <c r="D44" s="513">
        <f t="shared" si="3"/>
        <v>38411.14352630004</v>
      </c>
      <c r="E44" s="513">
        <f t="shared" si="3"/>
        <v>390299.66000000003</v>
      </c>
      <c r="F44" s="513">
        <f t="shared" si="3"/>
        <v>38421.509999999995</v>
      </c>
      <c r="G44" s="513">
        <f t="shared" si="3"/>
        <v>362601.92</v>
      </c>
      <c r="H44" s="513">
        <f t="shared" si="3"/>
        <v>439434.5735263</v>
      </c>
      <c r="I44" s="513">
        <f t="shared" si="3"/>
        <v>72311.45964000002</v>
      </c>
      <c r="J44" s="513">
        <f t="shared" si="3"/>
        <v>33235.392</v>
      </c>
      <c r="K44" s="513">
        <f t="shared" si="3"/>
        <v>10729.2997904</v>
      </c>
      <c r="L44" s="513">
        <f t="shared" si="3"/>
        <v>278886.95991744276</v>
      </c>
      <c r="M44" s="513">
        <f t="shared" si="3"/>
        <v>89888.6852</v>
      </c>
      <c r="N44" s="513">
        <f t="shared" si="3"/>
        <v>35449.5604749942</v>
      </c>
      <c r="O44" s="513">
        <f t="shared" si="3"/>
        <v>448189.897382837</v>
      </c>
      <c r="P44" s="513">
        <f t="shared" si="3"/>
        <v>63556.135783463076</v>
      </c>
      <c r="Q44" s="513">
        <f t="shared" si="3"/>
        <v>-27697.739999999998</v>
      </c>
      <c r="R44" s="514"/>
      <c r="S44" s="506"/>
    </row>
    <row r="46" spans="1:19" ht="12.75">
      <c r="A46" s="507" t="s">
        <v>69</v>
      </c>
      <c r="D46" s="425" t="s">
        <v>123</v>
      </c>
      <c r="R46" s="489"/>
      <c r="S46" s="489"/>
    </row>
    <row r="47" spans="1:19" ht="12.75">
      <c r="A47" s="515" t="s">
        <v>70</v>
      </c>
      <c r="B47" s="515" t="s">
        <v>71</v>
      </c>
      <c r="C47" s="516" t="s">
        <v>72</v>
      </c>
      <c r="D47" s="517"/>
      <c r="R47" s="489"/>
      <c r="S47" s="489"/>
    </row>
    <row r="48" spans="1:19" ht="12.75">
      <c r="A48" s="423">
        <v>130560</v>
      </c>
      <c r="B48" s="424">
        <v>174210</v>
      </c>
      <c r="C48" s="519">
        <f>A48-B48</f>
        <v>-43650</v>
      </c>
      <c r="D48" s="520"/>
      <c r="R48" s="489"/>
      <c r="S48" s="489"/>
    </row>
    <row r="49" spans="1:19" ht="12.75">
      <c r="A49" s="518"/>
      <c r="R49" s="489"/>
      <c r="S49" s="489"/>
    </row>
    <row r="50" spans="1:19" ht="12.75">
      <c r="A50" s="425" t="s">
        <v>77</v>
      </c>
      <c r="G50" s="425" t="s">
        <v>78</v>
      </c>
      <c r="R50" s="489"/>
      <c r="S50" s="489"/>
    </row>
    <row r="51" ht="12.75">
      <c r="A51" s="489"/>
    </row>
    <row r="52" ht="12.75">
      <c r="A52" s="489"/>
    </row>
    <row r="53" ht="12.75">
      <c r="A53" s="425" t="s">
        <v>124</v>
      </c>
    </row>
    <row r="54" ht="12.75">
      <c r="A54" s="425" t="s">
        <v>79</v>
      </c>
    </row>
  </sheetData>
  <sheetProtection/>
  <mergeCells count="27">
    <mergeCell ref="C8:C11"/>
    <mergeCell ref="D8:D11"/>
    <mergeCell ref="E8:F9"/>
    <mergeCell ref="G8:H9"/>
    <mergeCell ref="B1:H1"/>
    <mergeCell ref="B2:H2"/>
    <mergeCell ref="A5:P5"/>
    <mergeCell ref="A6:G6"/>
    <mergeCell ref="A7:D7"/>
    <mergeCell ref="E7:F7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27:P27"/>
    <mergeCell ref="A43:P43"/>
    <mergeCell ref="C48:D48"/>
    <mergeCell ref="I8:I11"/>
    <mergeCell ref="J8:O9"/>
    <mergeCell ref="P8:P11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2012-05-04T02:36:52Z</cp:lastPrinted>
  <dcterms:created xsi:type="dcterms:W3CDTF">2010-04-02T05:03:24Z</dcterms:created>
  <dcterms:modified xsi:type="dcterms:W3CDTF">2012-05-04T02:48:15Z</dcterms:modified>
  <cp:category/>
  <cp:version/>
  <cp:contentType/>
  <cp:contentStatus/>
</cp:coreProperties>
</file>