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<sst xmlns="http://schemas.openxmlformats.org/spreadsheetml/2006/main" count="178" uniqueCount="96">
  <si>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</si>
  <si>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</si>
  <si>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</si>
  <si>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</si>
  <si>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</si>
  <si>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</si>
  <si>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</si>
  <si>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</si>
  <si>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</si>
  <si>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</si>
  <si>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</si>
  <si>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</si>
  <si>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</si>
  <si>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</si>
  <si>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</si>
  <si>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</si>
  <si>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</si>
  <si>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</si>
  <si>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</si>
  <si>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</si>
  <si>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</si>
  <si>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</si>
  <si>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</si>
  <si>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</si>
  <si>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</si>
  <si>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</si>
  <si>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</si>
  <si>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</si>
  <si>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</si>
  <si>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</si>
  <si>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</si>
  <si>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</si>
  <si>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</si>
  <si>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</si>
  <si>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</si>
  <si>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</si>
  <si>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</si>
  <si>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</si>
  <si>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</si>
  <si>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</si>
  <si>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</si>
  <si>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</si>
  <si>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</si>
  <si>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</si>
  <si>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</si>
  <si>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</si>
  <si>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</si>
  <si>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</si>
  <si>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</si>
  <si>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</si>
  <si>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</si>
  <si>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</si>
  <si>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</si>
  <si>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</si>
  <si>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</si>
  <si>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</si>
  <si>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</si>
  <si>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</si>
  <si>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</si>
  <si>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</si>
  <si>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</si>
  <si>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</si>
  <si>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</si>
  <si>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</si>
  <si>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</si>
  <si>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</si>
  <si>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</si>
  <si>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</si>
  <si>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</si>
  <si>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</si>
  <si>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</si>
  <si>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</si>
  <si>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</si>
  <si>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</si>
  <si>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</si>
  <si>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</si>
  <si>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</si>
  <si>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Выписка по лицевому счету по адресу г. Таштагол, ул. Ленина, д. 1</t>
  </si>
  <si>
    <t>Лицевой счет по адресу г. Таштагол, ул. Ленина, д. 1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</si>
  <si>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</si>
  <si>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</si>
  <si>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</si>
  <si>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</si>
  <si>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</si>
  <si>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</si>
  <si>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</si>
  <si>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</si>
  <si>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</si>
  <si>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</si>
  <si>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</si>
  <si>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</si>
  <si>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</si>
  <si>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 xml:space="preserve">Долг(-)/ переплата(+)  жителей 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</si>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</sst>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" fillId="0" borderId="0">
      <alignment horizontal="left" vertic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24" borderId="11" xfId="0" applyNumberFormat="1" applyFont="1" applyFill="1" applyBorder="1" applyAlignment="1">
      <alignment wrapText="1"/>
    </xf>
    <xf numFmtId="4" fontId="1" fillId="22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24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3" applyNumberFormat="1" applyFont="1" applyFill="1" applyBorder="1" applyAlignment="1">
      <alignment horizontal="right" vertical="center" wrapText="1"/>
      <protection/>
    </xf>
    <xf numFmtId="4" fontId="7" fillId="0" borderId="23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24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7" fillId="0" borderId="32" xfId="33" applyNumberFormat="1" applyFont="1" applyFill="1" applyBorder="1" applyAlignment="1">
      <alignment horizontal="right" vertical="center" wrapText="1"/>
      <protection/>
    </xf>
    <xf numFmtId="4" fontId="7" fillId="0" borderId="31" xfId="33" applyNumberFormat="1" applyFont="1" applyFill="1" applyBorder="1" applyAlignment="1">
      <alignment horizontal="right" vertical="center" wrapText="1"/>
      <protection/>
    </xf>
    <xf numFmtId="0" fontId="0" fillId="0" borderId="35" xfId="0" applyFont="1" applyFill="1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4" fontId="7" fillId="24" borderId="22" xfId="33" applyNumberFormat="1" applyFont="1" applyFill="1" applyBorder="1" applyAlignment="1">
      <alignment horizontal="right" vertical="center" wrapText="1"/>
      <protection/>
    </xf>
    <xf numFmtId="4" fontId="1" fillId="24" borderId="22" xfId="0" applyNumberFormat="1" applyFont="1" applyFill="1" applyBorder="1" applyAlignment="1">
      <alignment horizontal="right" wrapText="1"/>
    </xf>
    <xf numFmtId="4" fontId="1" fillId="24" borderId="23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24" borderId="32" xfId="0" applyFont="1" applyFill="1" applyBorder="1" applyAlignment="1">
      <alignment/>
    </xf>
    <xf numFmtId="0" fontId="1" fillId="24" borderId="2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" fontId="1" fillId="24" borderId="23" xfId="0" applyNumberFormat="1" applyFont="1" applyFill="1" applyBorder="1" applyAlignment="1">
      <alignment horizontal="right" wrapText="1"/>
    </xf>
    <xf numFmtId="4" fontId="1" fillId="24" borderId="22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24" borderId="13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22" borderId="11" xfId="0" applyNumberFormat="1" applyFont="1" applyFill="1" applyBorder="1" applyAlignment="1">
      <alignment horizontal="right"/>
    </xf>
    <xf numFmtId="4" fontId="1" fillId="22" borderId="11" xfId="0" applyNumberFormat="1" applyFont="1" applyFill="1" applyBorder="1" applyAlignment="1">
      <alignment horizontal="right" wrapText="1"/>
    </xf>
    <xf numFmtId="4" fontId="0" fillId="22" borderId="17" xfId="0" applyNumberFormat="1" applyFont="1" applyFill="1" applyBorder="1" applyAlignment="1">
      <alignment horizontal="right"/>
    </xf>
    <xf numFmtId="4" fontId="1" fillId="22" borderId="13" xfId="0" applyNumberFormat="1" applyFont="1" applyFill="1" applyBorder="1" applyAlignment="1">
      <alignment/>
    </xf>
    <xf numFmtId="4" fontId="0" fillId="22" borderId="13" xfId="0" applyNumberFormat="1" applyFont="1" applyFill="1" applyBorder="1" applyAlignment="1">
      <alignment horizontal="right"/>
    </xf>
    <xf numFmtId="4" fontId="1" fillId="24" borderId="36" xfId="0" applyNumberFormat="1" applyFont="1" applyFill="1" applyBorder="1" applyAlignment="1">
      <alignment horizontal="right"/>
    </xf>
    <xf numFmtId="4" fontId="1" fillId="24" borderId="19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4" fontId="0" fillId="0" borderId="40" xfId="0" applyNumberFormat="1" applyFont="1" applyFill="1" applyBorder="1" applyAlignment="1">
      <alignment horizontal="right"/>
    </xf>
    <xf numFmtId="4" fontId="7" fillId="0" borderId="37" xfId="33" applyNumberFormat="1" applyFont="1" applyFill="1" applyBorder="1" applyAlignment="1">
      <alignment horizontal="right" vertical="center" wrapText="1"/>
      <protection/>
    </xf>
    <xf numFmtId="4" fontId="0" fillId="0" borderId="39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 wrapText="1"/>
    </xf>
    <xf numFmtId="4" fontId="0" fillId="0" borderId="41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 horizontal="right"/>
    </xf>
    <xf numFmtId="4" fontId="7" fillId="0" borderId="25" xfId="33" applyNumberFormat="1" applyFont="1" applyFill="1" applyBorder="1" applyAlignment="1">
      <alignment horizontal="right" vertical="center" wrapText="1"/>
      <protection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 horizontal="center" textRotation="90"/>
    </xf>
    <xf numFmtId="4" fontId="0" fillId="0" borderId="42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24" borderId="40" xfId="0" applyNumberFormat="1" applyFont="1" applyFill="1" applyBorder="1" applyAlignment="1">
      <alignment horizontal="right"/>
    </xf>
    <xf numFmtId="4" fontId="1" fillId="24" borderId="41" xfId="0" applyNumberFormat="1" applyFont="1" applyFill="1" applyBorder="1" applyAlignment="1">
      <alignment horizontal="right"/>
    </xf>
    <xf numFmtId="4" fontId="7" fillId="24" borderId="23" xfId="33" applyNumberFormat="1" applyFont="1" applyFill="1" applyBorder="1" applyAlignment="1">
      <alignment horizontal="right" vertical="center" wrapText="1"/>
      <protection/>
    </xf>
    <xf numFmtId="4" fontId="1" fillId="24" borderId="39" xfId="0" applyNumberFormat="1" applyFont="1" applyFill="1" applyBorder="1" applyAlignment="1">
      <alignment horizontal="right"/>
    </xf>
    <xf numFmtId="0" fontId="1" fillId="24" borderId="37" xfId="0" applyFont="1" applyFill="1" applyBorder="1" applyAlignment="1">
      <alignment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4" fontId="2" fillId="0" borderId="26" xfId="33" applyNumberFormat="1" applyFont="1" applyFill="1" applyBorder="1" applyAlignment="1">
      <alignment horizontal="right" vertical="center" wrapText="1"/>
      <protection/>
    </xf>
    <xf numFmtId="4" fontId="2" fillId="0" borderId="15" xfId="33" applyNumberFormat="1" applyFont="1" applyFill="1" applyBorder="1" applyAlignment="1">
      <alignment horizontal="right" vertical="center" wrapText="1"/>
      <protection/>
    </xf>
    <xf numFmtId="4" fontId="2" fillId="0" borderId="43" xfId="33" applyNumberFormat="1" applyFont="1" applyFill="1" applyBorder="1" applyAlignment="1">
      <alignment horizontal="right" vertical="center" wrapText="1"/>
      <protection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24" borderId="4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2" fillId="22" borderId="13" xfId="33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right"/>
    </xf>
    <xf numFmtId="4" fontId="0" fillId="7" borderId="15" xfId="0" applyNumberFormat="1" applyFont="1" applyFill="1" applyBorder="1" applyAlignment="1">
      <alignment horizontal="right"/>
    </xf>
    <xf numFmtId="4" fontId="0" fillId="22" borderId="29" xfId="0" applyNumberFormat="1" applyFont="1" applyFill="1" applyBorder="1" applyAlignment="1">
      <alignment horizontal="right"/>
    </xf>
    <xf numFmtId="4" fontId="0" fillId="22" borderId="2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0" fillId="3" borderId="3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22" borderId="3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24" borderId="13" xfId="0" applyFont="1" applyFill="1" applyBorder="1" applyAlignment="1">
      <alignment horizontal="right" vertical="center" wrapText="1"/>
    </xf>
    <xf numFmtId="0" fontId="0" fillId="24" borderId="26" xfId="0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vertical="center" wrapText="1"/>
    </xf>
    <xf numFmtId="4" fontId="0" fillId="24" borderId="13" xfId="0" applyNumberFormat="1" applyFont="1" applyFill="1" applyBorder="1" applyAlignment="1">
      <alignment/>
    </xf>
    <xf numFmtId="0" fontId="0" fillId="22" borderId="13" xfId="0" applyFont="1" applyFill="1" applyBorder="1" applyAlignment="1">
      <alignment vertical="center" wrapText="1"/>
    </xf>
    <xf numFmtId="4" fontId="0" fillId="22" borderId="13" xfId="0" applyNumberFormat="1" applyFont="1" applyFill="1" applyBorder="1" applyAlignment="1">
      <alignment/>
    </xf>
    <xf numFmtId="4" fontId="0" fillId="24" borderId="13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4" fontId="0" fillId="3" borderId="15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 wrapText="1"/>
    </xf>
    <xf numFmtId="4" fontId="2" fillId="0" borderId="46" xfId="33" applyNumberFormat="1" applyFont="1" applyFill="1" applyBorder="1" applyAlignment="1">
      <alignment horizontal="right" vertical="center" wrapText="1"/>
      <protection/>
    </xf>
    <xf numFmtId="4" fontId="2" fillId="22" borderId="47" xfId="33" applyNumberFormat="1" applyFont="1" applyFill="1" applyBorder="1" applyAlignment="1">
      <alignment horizontal="right" vertical="center" wrapText="1"/>
      <protection/>
    </xf>
    <xf numFmtId="0" fontId="0" fillId="0" borderId="33" xfId="0" applyFont="1" applyFill="1" applyBorder="1" applyAlignment="1">
      <alignment horizontal="right"/>
    </xf>
    <xf numFmtId="4" fontId="0" fillId="7" borderId="43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22" borderId="42" xfId="0" applyNumberFormat="1" applyFont="1" applyFill="1" applyBorder="1" applyAlignment="1">
      <alignment horizontal="right"/>
    </xf>
    <xf numFmtId="4" fontId="0" fillId="22" borderId="33" xfId="0" applyNumberFormat="1" applyFont="1" applyFill="1" applyBorder="1" applyAlignment="1">
      <alignment horizontal="right"/>
    </xf>
    <xf numFmtId="4" fontId="0" fillId="24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4" fontId="0" fillId="3" borderId="42" xfId="0" applyNumberFormat="1" applyFont="1" applyFill="1" applyBorder="1" applyAlignment="1">
      <alignment horizontal="right"/>
    </xf>
    <xf numFmtId="4" fontId="0" fillId="3" borderId="43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wrapText="1"/>
    </xf>
    <xf numFmtId="4" fontId="0" fillId="0" borderId="15" xfId="0" applyNumberFormat="1" applyFont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/>
    </xf>
    <xf numFmtId="4" fontId="0" fillId="4" borderId="11" xfId="0" applyNumberFormat="1" applyFont="1" applyFill="1" applyBorder="1" applyAlignment="1">
      <alignment horizontal="right"/>
    </xf>
    <xf numFmtId="4" fontId="0" fillId="25" borderId="36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2" fontId="1" fillId="24" borderId="48" xfId="0" applyNumberFormat="1" applyFont="1" applyFill="1" applyBorder="1" applyAlignment="1">
      <alignment horizontal="center" vertical="center" wrapText="1"/>
    </xf>
    <xf numFmtId="4" fontId="0" fillId="25" borderId="11" xfId="0" applyNumberFormat="1" applyFont="1" applyFill="1" applyBorder="1" applyAlignment="1">
      <alignment horizontal="right"/>
    </xf>
    <xf numFmtId="4" fontId="0" fillId="24" borderId="1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 wrapText="1"/>
    </xf>
    <xf numFmtId="4" fontId="0" fillId="0" borderId="49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4" fontId="2" fillId="0" borderId="50" xfId="33" applyNumberFormat="1" applyFont="1" applyFill="1" applyBorder="1" applyAlignment="1">
      <alignment horizontal="right" vertical="center" wrapText="1"/>
      <protection/>
    </xf>
    <xf numFmtId="4" fontId="2" fillId="22" borderId="17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0" fillId="7" borderId="38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22" borderId="49" xfId="0" applyNumberFormat="1" applyFont="1" applyFill="1" applyBorder="1" applyAlignment="1">
      <alignment horizontal="right"/>
    </xf>
    <xf numFmtId="4" fontId="0" fillId="4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0" fillId="25" borderId="17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" borderId="49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0" fillId="3" borderId="10" xfId="0" applyNumberFormat="1" applyFont="1" applyFill="1" applyBorder="1" applyAlignment="1">
      <alignment horizontal="right"/>
    </xf>
    <xf numFmtId="4" fontId="2" fillId="22" borderId="11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0" fillId="3" borderId="51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 wrapText="1"/>
    </xf>
    <xf numFmtId="4" fontId="0" fillId="25" borderId="15" xfId="0" applyNumberFormat="1" applyFont="1" applyFill="1" applyBorder="1" applyAlignment="1">
      <alignment horizontal="right"/>
    </xf>
    <xf numFmtId="4" fontId="0" fillId="3" borderId="3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wrapText="1"/>
    </xf>
    <xf numFmtId="0" fontId="1" fillId="0" borderId="45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4" fontId="1" fillId="4" borderId="21" xfId="0" applyNumberFormat="1" applyFont="1" applyFill="1" applyBorder="1" applyAlignment="1">
      <alignment wrapText="1"/>
    </xf>
    <xf numFmtId="4" fontId="0" fillId="4" borderId="13" xfId="0" applyNumberFormat="1" applyFont="1" applyFill="1" applyBorder="1" applyAlignment="1">
      <alignment horizontal="right"/>
    </xf>
    <xf numFmtId="4" fontId="0" fillId="4" borderId="13" xfId="0" applyNumberFormat="1" applyFont="1" applyFill="1" applyBorder="1" applyAlignment="1">
      <alignment horizontal="right" vertical="center" wrapText="1"/>
    </xf>
    <xf numFmtId="4" fontId="1" fillId="4" borderId="11" xfId="0" applyNumberFormat="1" applyFont="1" applyFill="1" applyBorder="1" applyAlignment="1">
      <alignment wrapText="1"/>
    </xf>
    <xf numFmtId="4" fontId="1" fillId="4" borderId="11" xfId="0" applyNumberFormat="1" applyFont="1" applyFill="1" applyBorder="1" applyAlignment="1">
      <alignment horizontal="right" wrapText="1"/>
    </xf>
    <xf numFmtId="0" fontId="1" fillId="24" borderId="12" xfId="0" applyFont="1" applyFill="1" applyBorder="1" applyAlignment="1">
      <alignment horizontal="center" vertical="center" wrapText="1"/>
    </xf>
    <xf numFmtId="4" fontId="1" fillId="24" borderId="21" xfId="0" applyNumberFormat="1" applyFont="1" applyFill="1" applyBorder="1" applyAlignment="1">
      <alignment wrapText="1"/>
    </xf>
    <xf numFmtId="4" fontId="1" fillId="24" borderId="17" xfId="0" applyNumberFormat="1" applyFont="1" applyFill="1" applyBorder="1" applyAlignment="1">
      <alignment horizontal="right"/>
    </xf>
    <xf numFmtId="4" fontId="1" fillId="4" borderId="17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horizontal="right"/>
    </xf>
    <xf numFmtId="0" fontId="0" fillId="4" borderId="13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/>
    </xf>
    <xf numFmtId="0" fontId="1" fillId="0" borderId="34" xfId="0" applyFont="1" applyFill="1" applyBorder="1" applyAlignment="1">
      <alignment horizontal="center" textRotation="90" wrapText="1"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52" xfId="33" applyNumberFormat="1" applyFont="1" applyFill="1" applyBorder="1" applyAlignment="1">
      <alignment horizontal="right" vertical="center" wrapText="1"/>
      <protection/>
    </xf>
    <xf numFmtId="4" fontId="2" fillId="0" borderId="27" xfId="33" applyNumberFormat="1" applyFont="1" applyFill="1" applyBorder="1" applyAlignment="1">
      <alignment horizontal="right" vertical="center" wrapText="1"/>
      <protection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8" xfId="33" applyNumberFormat="1" applyFont="1" applyFill="1" applyBorder="1" applyAlignment="1">
      <alignment horizontal="center" vertical="center" wrapText="1"/>
      <protection/>
    </xf>
    <xf numFmtId="4" fontId="28" fillId="22" borderId="11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0" fillId="7" borderId="15" xfId="0" applyNumberFormat="1" applyFont="1" applyFill="1" applyBorder="1" applyAlignment="1">
      <alignment horizontal="center"/>
    </xf>
    <xf numFmtId="4" fontId="0" fillId="22" borderId="36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4" borderId="11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25" borderId="36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22" borderId="11" xfId="33" applyNumberFormat="1" applyFont="1" applyFill="1" applyBorder="1" applyAlignment="1">
      <alignment horizontal="center" vertical="center" wrapText="1"/>
      <protection/>
    </xf>
    <xf numFmtId="4" fontId="0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0" fillId="24" borderId="33" xfId="0" applyNumberFormat="1" applyFont="1" applyFill="1" applyBorder="1" applyAlignment="1">
      <alignment/>
    </xf>
    <xf numFmtId="4" fontId="2" fillId="17" borderId="11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" borderId="53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0" fillId="0" borderId="53" xfId="0" applyNumberFormat="1" applyFont="1" applyFill="1" applyBorder="1" applyAlignment="1">
      <alignment horizontal="center" vertical="center" wrapText="1"/>
    </xf>
    <xf numFmtId="2" fontId="10" fillId="0" borderId="44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4" borderId="33" xfId="0" applyNumberFormat="1" applyFont="1" applyFill="1" applyBorder="1" applyAlignment="1">
      <alignment horizontal="center" vertical="center" wrapText="1"/>
    </xf>
    <xf numFmtId="2" fontId="1" fillId="4" borderId="59" xfId="0" applyNumberFormat="1" applyFont="1" applyFill="1" applyBorder="1" applyAlignment="1">
      <alignment horizontal="center" vertical="center" wrapText="1"/>
    </xf>
    <xf numFmtId="2" fontId="1" fillId="4" borderId="53" xfId="0" applyNumberFormat="1" applyFont="1" applyFill="1" applyBorder="1" applyAlignment="1">
      <alignment horizontal="center" vertical="center" wrapText="1"/>
    </xf>
    <xf numFmtId="2" fontId="1" fillId="4" borderId="4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22" borderId="53" xfId="0" applyNumberFormat="1" applyFont="1" applyFill="1" applyBorder="1" applyAlignment="1">
      <alignment horizontal="center" vertical="center" wrapText="1"/>
    </xf>
    <xf numFmtId="2" fontId="1" fillId="22" borderId="48" xfId="0" applyNumberFormat="1" applyFont="1" applyFill="1" applyBorder="1" applyAlignment="1">
      <alignment horizontal="center" vertical="center" wrapText="1"/>
    </xf>
    <xf numFmtId="2" fontId="1" fillId="22" borderId="44" xfId="0" applyNumberFormat="1" applyFont="1" applyFill="1" applyBorder="1" applyAlignment="1">
      <alignment horizontal="center" vertical="center" wrapText="1"/>
    </xf>
    <xf numFmtId="2" fontId="1" fillId="22" borderId="56" xfId="0" applyNumberFormat="1" applyFont="1" applyFill="1" applyBorder="1" applyAlignment="1">
      <alignment horizontal="center" vertical="center" wrapText="1"/>
    </xf>
    <xf numFmtId="2" fontId="1" fillId="22" borderId="45" xfId="0" applyNumberFormat="1" applyFont="1" applyFill="1" applyBorder="1" applyAlignment="1">
      <alignment horizontal="center" vertical="center" wrapText="1"/>
    </xf>
    <xf numFmtId="2" fontId="1" fillId="22" borderId="58" xfId="0" applyNumberFormat="1" applyFont="1" applyFill="1" applyBorder="1" applyAlignment="1">
      <alignment horizontal="center" vertical="center" wrapText="1"/>
    </xf>
    <xf numFmtId="2" fontId="1" fillId="25" borderId="53" xfId="0" applyNumberFormat="1" applyFont="1" applyFill="1" applyBorder="1" applyAlignment="1">
      <alignment horizontal="center" vertical="center" wrapText="1"/>
    </xf>
    <xf numFmtId="2" fontId="1" fillId="25" borderId="48" xfId="0" applyNumberFormat="1" applyFont="1" applyFill="1" applyBorder="1" applyAlignment="1">
      <alignment horizontal="center" vertical="center" wrapText="1"/>
    </xf>
    <xf numFmtId="2" fontId="1" fillId="25" borderId="44" xfId="0" applyNumberFormat="1" applyFont="1" applyFill="1" applyBorder="1" applyAlignment="1">
      <alignment horizontal="center" vertical="center" wrapText="1"/>
    </xf>
    <xf numFmtId="2" fontId="9" fillId="22" borderId="53" xfId="0" applyNumberFormat="1" applyFont="1" applyFill="1" applyBorder="1" applyAlignment="1">
      <alignment horizontal="center" vertical="center" wrapText="1"/>
    </xf>
    <xf numFmtId="2" fontId="9" fillId="22" borderId="48" xfId="0" applyNumberFormat="1" applyFont="1" applyFill="1" applyBorder="1" applyAlignment="1">
      <alignment horizontal="center" vertical="center" wrapText="1"/>
    </xf>
    <xf numFmtId="2" fontId="9" fillId="22" borderId="4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22" borderId="53" xfId="0" applyNumberFormat="1" applyFont="1" applyFill="1" applyBorder="1" applyAlignment="1">
      <alignment horizontal="center" vertical="center" wrapText="1"/>
    </xf>
    <xf numFmtId="4" fontId="1" fillId="22" borderId="4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7" borderId="53" xfId="0" applyFont="1" applyFill="1" applyBorder="1" applyAlignment="1">
      <alignment horizontal="center" textRotation="90"/>
    </xf>
    <xf numFmtId="0" fontId="1" fillId="7" borderId="48" xfId="0" applyFont="1" applyFill="1" applyBorder="1" applyAlignment="1">
      <alignment horizontal="center" textRotation="90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textRotation="90"/>
    </xf>
    <xf numFmtId="0" fontId="1" fillId="0" borderId="48" xfId="0" applyFont="1" applyFill="1" applyBorder="1" applyAlignment="1">
      <alignment horizontal="center" textRotation="90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textRotation="90"/>
    </xf>
    <xf numFmtId="0" fontId="1" fillId="0" borderId="45" xfId="0" applyFont="1" applyFill="1" applyBorder="1" applyAlignment="1">
      <alignment horizontal="center" textRotation="90"/>
    </xf>
    <xf numFmtId="2" fontId="1" fillId="0" borderId="60" xfId="0" applyNumberFormat="1" applyFont="1" applyBorder="1" applyAlignment="1">
      <alignment horizontal="center" vertical="center" wrapText="1"/>
    </xf>
    <xf numFmtId="2" fontId="1" fillId="24" borderId="39" xfId="0" applyNumberFormat="1" applyFont="1" applyFill="1" applyBorder="1" applyAlignment="1">
      <alignment horizontal="center" vertical="center" wrapText="1"/>
    </xf>
    <xf numFmtId="2" fontId="1" fillId="24" borderId="6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3" fontId="0" fillId="0" borderId="36" xfId="60" applyFont="1" applyFill="1" applyBorder="1" applyAlignment="1">
      <alignment horizontal="center"/>
    </xf>
    <xf numFmtId="43" fontId="0" fillId="0" borderId="28" xfId="60" applyFont="1" applyFill="1" applyBorder="1" applyAlignment="1">
      <alignment horizontal="center"/>
    </xf>
    <xf numFmtId="2" fontId="1" fillId="24" borderId="36" xfId="0" applyNumberFormat="1" applyFont="1" applyFill="1" applyBorder="1" applyAlignment="1">
      <alignment horizontal="center" vertical="center" textRotation="90" wrapText="1"/>
    </xf>
    <xf numFmtId="2" fontId="1" fillId="24" borderId="42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 vertical="center" textRotation="90" wrapText="1"/>
    </xf>
    <xf numFmtId="2" fontId="1" fillId="24" borderId="43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8">
      <selection activeCell="BF42" sqref="C42:BF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9.375" style="2" customWidth="1"/>
    <col min="49" max="49" width="8.00390625" style="2" customWidth="1"/>
    <col min="50" max="50" width="9.75390625" style="2" customWidth="1"/>
    <col min="51" max="53" width="9.125" style="2" customWidth="1"/>
    <col min="54" max="54" width="10.00390625" style="2" customWidth="1"/>
    <col min="55" max="56" width="9.125" style="2" customWidth="1"/>
    <col min="57" max="57" width="10.00390625" style="2" customWidth="1"/>
    <col min="58" max="58" width="10.875" style="2" customWidth="1"/>
    <col min="59" max="16384" width="9.125" style="2" customWidth="1"/>
  </cols>
  <sheetData>
    <row r="1" spans="1:18" ht="12.75">
      <c r="A1" s="308" t="s">
        <v>78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86" t="s">
        <v>79</v>
      </c>
      <c r="B3" s="310" t="s">
        <v>0</v>
      </c>
      <c r="C3" s="312" t="s">
        <v>1</v>
      </c>
      <c r="D3" s="314" t="s">
        <v>2</v>
      </c>
      <c r="E3" s="286" t="s">
        <v>11</v>
      </c>
      <c r="F3" s="287"/>
      <c r="G3" s="286" t="s">
        <v>12</v>
      </c>
      <c r="H3" s="290"/>
      <c r="I3" s="286" t="s">
        <v>13</v>
      </c>
      <c r="J3" s="290"/>
      <c r="K3" s="286" t="s">
        <v>14</v>
      </c>
      <c r="L3" s="290"/>
      <c r="M3" s="293" t="s">
        <v>15</v>
      </c>
      <c r="N3" s="290"/>
      <c r="O3" s="286" t="s">
        <v>16</v>
      </c>
      <c r="P3" s="290"/>
      <c r="Q3" s="286" t="s">
        <v>17</v>
      </c>
      <c r="R3" s="290"/>
      <c r="S3" s="286" t="s">
        <v>3</v>
      </c>
      <c r="T3" s="293"/>
      <c r="U3" s="317" t="s">
        <v>4</v>
      </c>
      <c r="V3" s="318"/>
      <c r="W3" s="318"/>
      <c r="X3" s="318"/>
      <c r="Y3" s="318"/>
      <c r="Z3" s="318"/>
      <c r="AA3" s="318"/>
      <c r="AB3" s="318"/>
      <c r="AC3" s="296" t="s">
        <v>80</v>
      </c>
      <c r="AD3" s="299" t="s">
        <v>6</v>
      </c>
      <c r="AE3" s="299" t="s">
        <v>7</v>
      </c>
      <c r="AF3" s="305" t="s">
        <v>81</v>
      </c>
      <c r="AG3" s="276" t="s">
        <v>8</v>
      </c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8"/>
      <c r="BC3" s="271" t="s">
        <v>82</v>
      </c>
      <c r="BD3" s="272"/>
      <c r="BE3" s="265" t="s">
        <v>9</v>
      </c>
      <c r="BF3" s="265" t="s">
        <v>10</v>
      </c>
    </row>
    <row r="4" spans="1:58" ht="36" customHeight="1" thickBot="1">
      <c r="A4" s="309"/>
      <c r="B4" s="311"/>
      <c r="C4" s="313"/>
      <c r="D4" s="315"/>
      <c r="E4" s="288"/>
      <c r="F4" s="289"/>
      <c r="G4" s="291"/>
      <c r="H4" s="292"/>
      <c r="I4" s="291"/>
      <c r="J4" s="292"/>
      <c r="K4" s="291"/>
      <c r="L4" s="292"/>
      <c r="M4" s="294"/>
      <c r="N4" s="295"/>
      <c r="O4" s="291"/>
      <c r="P4" s="292"/>
      <c r="Q4" s="291"/>
      <c r="R4" s="292"/>
      <c r="S4" s="291"/>
      <c r="T4" s="316"/>
      <c r="U4" s="319"/>
      <c r="V4" s="320"/>
      <c r="W4" s="320"/>
      <c r="X4" s="320"/>
      <c r="Y4" s="320"/>
      <c r="Z4" s="320"/>
      <c r="AA4" s="320"/>
      <c r="AB4" s="320"/>
      <c r="AC4" s="297"/>
      <c r="AD4" s="300"/>
      <c r="AE4" s="300"/>
      <c r="AF4" s="306"/>
      <c r="AG4" s="279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1"/>
      <c r="BC4" s="302" t="s">
        <v>83</v>
      </c>
      <c r="BD4" s="268" t="s">
        <v>84</v>
      </c>
      <c r="BE4" s="266"/>
      <c r="BF4" s="266"/>
    </row>
    <row r="5" spans="1:58" ht="29.25" customHeight="1" thickBot="1">
      <c r="A5" s="309"/>
      <c r="B5" s="311"/>
      <c r="C5" s="313"/>
      <c r="D5" s="315"/>
      <c r="E5" s="331" t="s">
        <v>18</v>
      </c>
      <c r="F5" s="325" t="s">
        <v>19</v>
      </c>
      <c r="G5" s="325" t="s">
        <v>18</v>
      </c>
      <c r="H5" s="325" t="s">
        <v>19</v>
      </c>
      <c r="I5" s="325" t="s">
        <v>18</v>
      </c>
      <c r="J5" s="325" t="s">
        <v>19</v>
      </c>
      <c r="K5" s="325" t="s">
        <v>18</v>
      </c>
      <c r="L5" s="325" t="s">
        <v>19</v>
      </c>
      <c r="M5" s="325" t="s">
        <v>18</v>
      </c>
      <c r="N5" s="325" t="s">
        <v>19</v>
      </c>
      <c r="O5" s="325" t="s">
        <v>18</v>
      </c>
      <c r="P5" s="325" t="s">
        <v>19</v>
      </c>
      <c r="Q5" s="325" t="s">
        <v>18</v>
      </c>
      <c r="R5" s="325" t="s">
        <v>19</v>
      </c>
      <c r="S5" s="325" t="s">
        <v>18</v>
      </c>
      <c r="T5" s="321" t="s">
        <v>19</v>
      </c>
      <c r="U5" s="323" t="s">
        <v>20</v>
      </c>
      <c r="V5" s="323" t="s">
        <v>21</v>
      </c>
      <c r="W5" s="323" t="s">
        <v>22</v>
      </c>
      <c r="X5" s="323" t="s">
        <v>23</v>
      </c>
      <c r="Y5" s="323" t="s">
        <v>24</v>
      </c>
      <c r="Z5" s="323" t="s">
        <v>25</v>
      </c>
      <c r="AA5" s="323" t="s">
        <v>26</v>
      </c>
      <c r="AB5" s="333" t="s">
        <v>27</v>
      </c>
      <c r="AC5" s="297"/>
      <c r="AD5" s="300"/>
      <c r="AE5" s="300"/>
      <c r="AF5" s="306"/>
      <c r="AG5" s="327" t="s">
        <v>28</v>
      </c>
      <c r="AH5" s="329" t="s">
        <v>29</v>
      </c>
      <c r="AI5" s="329" t="s">
        <v>30</v>
      </c>
      <c r="AJ5" s="269" t="s">
        <v>31</v>
      </c>
      <c r="AK5" s="329" t="s">
        <v>32</v>
      </c>
      <c r="AL5" s="269" t="s">
        <v>31</v>
      </c>
      <c r="AM5" s="269" t="s">
        <v>33</v>
      </c>
      <c r="AN5" s="269" t="s">
        <v>31</v>
      </c>
      <c r="AO5" s="269" t="s">
        <v>34</v>
      </c>
      <c r="AP5" s="269" t="s">
        <v>31</v>
      </c>
      <c r="AQ5" s="282" t="s">
        <v>91</v>
      </c>
      <c r="AR5" s="284" t="s">
        <v>31</v>
      </c>
      <c r="AS5" s="334" t="s">
        <v>85</v>
      </c>
      <c r="AT5" s="334" t="s">
        <v>86</v>
      </c>
      <c r="AU5" s="182" t="s">
        <v>31</v>
      </c>
      <c r="AV5" s="271" t="s">
        <v>87</v>
      </c>
      <c r="AW5" s="273"/>
      <c r="AX5" s="272"/>
      <c r="AY5" s="274" t="s">
        <v>17</v>
      </c>
      <c r="AZ5" s="268" t="s">
        <v>36</v>
      </c>
      <c r="BA5" s="268" t="s">
        <v>31</v>
      </c>
      <c r="BB5" s="268" t="s">
        <v>37</v>
      </c>
      <c r="BC5" s="303"/>
      <c r="BD5" s="269"/>
      <c r="BE5" s="266"/>
      <c r="BF5" s="266"/>
    </row>
    <row r="6" spans="1:58" ht="54" customHeight="1" thickBot="1">
      <c r="A6" s="309"/>
      <c r="B6" s="311"/>
      <c r="C6" s="313"/>
      <c r="D6" s="315"/>
      <c r="E6" s="332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2"/>
      <c r="U6" s="324"/>
      <c r="V6" s="324"/>
      <c r="W6" s="324"/>
      <c r="X6" s="324"/>
      <c r="Y6" s="324"/>
      <c r="Z6" s="324"/>
      <c r="AA6" s="324"/>
      <c r="AB6" s="279"/>
      <c r="AC6" s="298"/>
      <c r="AD6" s="301"/>
      <c r="AE6" s="301"/>
      <c r="AF6" s="307"/>
      <c r="AG6" s="328"/>
      <c r="AH6" s="330"/>
      <c r="AI6" s="330"/>
      <c r="AJ6" s="270"/>
      <c r="AK6" s="330"/>
      <c r="AL6" s="270"/>
      <c r="AM6" s="270"/>
      <c r="AN6" s="270"/>
      <c r="AO6" s="270"/>
      <c r="AP6" s="270"/>
      <c r="AQ6" s="283"/>
      <c r="AR6" s="285"/>
      <c r="AS6" s="335"/>
      <c r="AT6" s="335"/>
      <c r="AU6" s="137"/>
      <c r="AV6" s="136" t="s">
        <v>88</v>
      </c>
      <c r="AW6" s="136" t="s">
        <v>89</v>
      </c>
      <c r="AX6" s="136" t="s">
        <v>90</v>
      </c>
      <c r="AY6" s="275"/>
      <c r="AZ6" s="270"/>
      <c r="BA6" s="270"/>
      <c r="BB6" s="270"/>
      <c r="BC6" s="304"/>
      <c r="BD6" s="270"/>
      <c r="BE6" s="267"/>
      <c r="BF6" s="267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230">
        <v>43</v>
      </c>
      <c r="AR7" s="231">
        <v>44</v>
      </c>
      <c r="AS7" s="223">
        <v>45</v>
      </c>
      <c r="AT7" s="10">
        <v>46</v>
      </c>
      <c r="AU7" s="223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60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229"/>
      <c r="AR8" s="229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60"/>
    </row>
    <row r="9" spans="1:58" s="148" customFormat="1" ht="12.75">
      <c r="A9" s="149" t="s">
        <v>39</v>
      </c>
      <c r="B9" s="138">
        <v>680.4</v>
      </c>
      <c r="C9" s="132">
        <f>B9*8.65</f>
        <v>5885.46</v>
      </c>
      <c r="D9" s="139">
        <f>C9*0.24088</f>
        <v>1417.6896048</v>
      </c>
      <c r="E9" s="16">
        <v>537.06</v>
      </c>
      <c r="F9" s="16">
        <v>33.04</v>
      </c>
      <c r="G9" s="16">
        <v>725.06</v>
      </c>
      <c r="H9" s="16">
        <v>44.6</v>
      </c>
      <c r="I9" s="16">
        <v>1745.44</v>
      </c>
      <c r="J9" s="16">
        <v>107.38</v>
      </c>
      <c r="K9" s="16">
        <v>1208.39</v>
      </c>
      <c r="L9" s="16">
        <v>74.34</v>
      </c>
      <c r="M9" s="140">
        <v>429.65</v>
      </c>
      <c r="N9" s="140">
        <v>26.43</v>
      </c>
      <c r="O9" s="16">
        <v>0</v>
      </c>
      <c r="P9" s="16">
        <v>0</v>
      </c>
      <c r="Q9" s="16">
        <v>0</v>
      </c>
      <c r="R9" s="16">
        <v>0</v>
      </c>
      <c r="S9" s="16">
        <f>E9+G9+I9+K9+M9+O9+Q9</f>
        <v>4645.599999999999</v>
      </c>
      <c r="T9" s="141">
        <f>P9+N9+L9+J9+H9+F9+R9</f>
        <v>285.79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81">
        <v>0</v>
      </c>
      <c r="AA9" s="81">
        <v>0</v>
      </c>
      <c r="AB9" s="81">
        <f>SUM(U9:AA9)</f>
        <v>0</v>
      </c>
      <c r="AC9" s="142">
        <f>D9+T9+AB9</f>
        <v>1703.4796048</v>
      </c>
      <c r="AD9" s="143">
        <f>P9+Z9</f>
        <v>0</v>
      </c>
      <c r="AE9" s="103">
        <f>R9+AA9</f>
        <v>0</v>
      </c>
      <c r="AF9" s="103"/>
      <c r="AG9" s="16">
        <f>0.6*B9</f>
        <v>408.23999999999995</v>
      </c>
      <c r="AH9" s="16">
        <f>B9*0.2*1.05826</f>
        <v>144.0080208</v>
      </c>
      <c r="AI9" s="16">
        <f>0.8518*B9</f>
        <v>579.56472</v>
      </c>
      <c r="AJ9" s="16">
        <f>AI9*0.18</f>
        <v>104.32164959999999</v>
      </c>
      <c r="AK9" s="16">
        <f>1.04*B9*0.9531</f>
        <v>674.4288095999999</v>
      </c>
      <c r="AL9" s="16">
        <f>AK9*0.18</f>
        <v>121.39718572799998</v>
      </c>
      <c r="AM9" s="16">
        <f>(1.91)*B9*0.9531</f>
        <v>1238.6144484</v>
      </c>
      <c r="AN9" s="16">
        <f>AM9*0.18</f>
        <v>222.95060071199998</v>
      </c>
      <c r="AO9" s="16"/>
      <c r="AP9" s="16">
        <f>AO9*0.18</f>
        <v>0</v>
      </c>
      <c r="AQ9" s="228"/>
      <c r="AR9" s="228"/>
      <c r="AS9" s="25"/>
      <c r="AT9" s="25"/>
      <c r="AU9" s="25">
        <f>(AS9+AT9)*0.18</f>
        <v>0</v>
      </c>
      <c r="AV9" s="144"/>
      <c r="AW9" s="145"/>
      <c r="AX9" s="16">
        <f>AV9*AW9*1.12*1.18</f>
        <v>0</v>
      </c>
      <c r="AY9" s="146"/>
      <c r="AZ9" s="81"/>
      <c r="BA9" s="81">
        <f>AZ9*0.18</f>
        <v>0</v>
      </c>
      <c r="BB9" s="81">
        <f>SUM(AG9:BA9)-AV9-AW9</f>
        <v>3493.52543484</v>
      </c>
      <c r="BC9" s="81"/>
      <c r="BD9" s="18">
        <f>BB9-(AF9-BC9)</f>
        <v>3493.52543484</v>
      </c>
      <c r="BE9" s="147">
        <f>AC9-BB9</f>
        <v>-1790.0458300399998</v>
      </c>
      <c r="BF9" s="161">
        <f>AB9-S9</f>
        <v>-4645.599999999999</v>
      </c>
    </row>
    <row r="10" spans="1:58" ht="12.75">
      <c r="A10" s="14" t="s">
        <v>40</v>
      </c>
      <c r="B10" s="138">
        <v>680.4</v>
      </c>
      <c r="C10" s="132">
        <f>B10*8.65</f>
        <v>5885.46</v>
      </c>
      <c r="D10" s="139">
        <f>C10*0.24088</f>
        <v>1417.6896048</v>
      </c>
      <c r="E10" s="16">
        <v>443.2</v>
      </c>
      <c r="F10" s="16">
        <v>33.04</v>
      </c>
      <c r="G10" s="16">
        <v>598.33</v>
      </c>
      <c r="H10" s="16">
        <v>44.6</v>
      </c>
      <c r="I10" s="16">
        <v>1440.39</v>
      </c>
      <c r="J10" s="16">
        <v>107.38</v>
      </c>
      <c r="K10" s="16">
        <v>997.18</v>
      </c>
      <c r="L10" s="16">
        <v>74.34</v>
      </c>
      <c r="M10" s="140">
        <v>354.54</v>
      </c>
      <c r="N10" s="140">
        <v>26.43</v>
      </c>
      <c r="O10" s="16">
        <v>0</v>
      </c>
      <c r="P10" s="16">
        <v>0</v>
      </c>
      <c r="Q10" s="16">
        <v>0</v>
      </c>
      <c r="R10" s="16">
        <v>0</v>
      </c>
      <c r="S10" s="16">
        <f>E10+G10+I10+K10+M10+O10+Q10</f>
        <v>3833.64</v>
      </c>
      <c r="T10" s="141">
        <f>P10+N10+L10+J10+H10+F10+R10</f>
        <v>285.79</v>
      </c>
      <c r="U10" s="16">
        <v>238.33</v>
      </c>
      <c r="V10" s="16">
        <v>321.77</v>
      </c>
      <c r="W10" s="16">
        <v>774.58</v>
      </c>
      <c r="X10" s="16">
        <v>536.25</v>
      </c>
      <c r="Y10" s="16">
        <v>190.65</v>
      </c>
      <c r="Z10" s="16">
        <v>0</v>
      </c>
      <c r="AA10" s="81">
        <v>0</v>
      </c>
      <c r="AB10" s="18">
        <f>SUM(U10:AA10)</f>
        <v>2061.58</v>
      </c>
      <c r="AC10" s="150">
        <f>D10+T10+AB10</f>
        <v>3765.0596047999998</v>
      </c>
      <c r="AD10" s="103">
        <f>P10+Z10</f>
        <v>0</v>
      </c>
      <c r="AE10" s="103">
        <f>R10+AA10</f>
        <v>0</v>
      </c>
      <c r="AF10" s="103"/>
      <c r="AG10" s="16">
        <f>0.6*B10</f>
        <v>408.23999999999995</v>
      </c>
      <c r="AH10" s="16">
        <f>B10*0.201</f>
        <v>136.7604</v>
      </c>
      <c r="AI10" s="16">
        <f>0.8518*B10</f>
        <v>579.56472</v>
      </c>
      <c r="AJ10" s="16">
        <f>AI10*0.18</f>
        <v>104.32164959999999</v>
      </c>
      <c r="AK10" s="16">
        <f>1.04*B10*0.9531</f>
        <v>674.4288095999999</v>
      </c>
      <c r="AL10" s="16">
        <f>AK10*0.18</f>
        <v>121.39718572799998</v>
      </c>
      <c r="AM10" s="16">
        <f>(1.91)*B10*0.9531</f>
        <v>1238.6144484</v>
      </c>
      <c r="AN10" s="16">
        <f>AM10*0.18</f>
        <v>222.95060071199998</v>
      </c>
      <c r="AO10" s="16"/>
      <c r="AP10" s="16">
        <f>AO10*0.18</f>
        <v>0</v>
      </c>
      <c r="AQ10" s="227"/>
      <c r="AR10" s="227"/>
      <c r="AS10" s="25">
        <v>940</v>
      </c>
      <c r="AT10" s="25"/>
      <c r="AU10" s="25">
        <f>(AS10+AT10)*0.18</f>
        <v>169.2</v>
      </c>
      <c r="AV10" s="144"/>
      <c r="AW10" s="145"/>
      <c r="AX10" s="16">
        <f>AV10*AW10*1.12*1.18</f>
        <v>0</v>
      </c>
      <c r="AY10" s="146"/>
      <c r="AZ10" s="81"/>
      <c r="BA10" s="81">
        <f>AZ10*0.18</f>
        <v>0</v>
      </c>
      <c r="BB10" s="81">
        <f>SUM(AG10:BA10)-AV10-AW10</f>
        <v>4595.477814039999</v>
      </c>
      <c r="BC10" s="81"/>
      <c r="BD10" s="18">
        <f>BB10-(AF10-BC10)</f>
        <v>4595.477814039999</v>
      </c>
      <c r="BE10" s="147">
        <f>AC10-BB10</f>
        <v>-830.4182092399997</v>
      </c>
      <c r="BF10" s="161">
        <f>AB10-S10</f>
        <v>-1772.06</v>
      </c>
    </row>
    <row r="11" spans="1:58" ht="13.5" thickBot="1">
      <c r="A11" s="44" t="s">
        <v>41</v>
      </c>
      <c r="B11" s="162">
        <v>680.4</v>
      </c>
      <c r="C11" s="163">
        <f>B11*8.65</f>
        <v>5885.46</v>
      </c>
      <c r="D11" s="164">
        <f>C11*0.24035</f>
        <v>1414.570311</v>
      </c>
      <c r="E11" s="66">
        <v>535.78</v>
      </c>
      <c r="F11" s="66">
        <v>33.04</v>
      </c>
      <c r="G11" s="66">
        <v>723.33</v>
      </c>
      <c r="H11" s="66">
        <v>44.6</v>
      </c>
      <c r="I11" s="66">
        <v>1741.29</v>
      </c>
      <c r="J11" s="66">
        <v>107.38</v>
      </c>
      <c r="K11" s="66">
        <v>1205.52</v>
      </c>
      <c r="L11" s="66">
        <v>74.34</v>
      </c>
      <c r="M11" s="165">
        <v>428.62</v>
      </c>
      <c r="N11" s="165">
        <v>26.43</v>
      </c>
      <c r="O11" s="66">
        <v>0</v>
      </c>
      <c r="P11" s="121">
        <v>0</v>
      </c>
      <c r="Q11" s="121">
        <v>0</v>
      </c>
      <c r="R11" s="121">
        <v>0</v>
      </c>
      <c r="S11" s="66">
        <f>E11+G11+I11+K11+M11+O11+Q11</f>
        <v>4634.54</v>
      </c>
      <c r="T11" s="166">
        <f>P11+N11+L11+J11+H11+F11+R11</f>
        <v>285.79</v>
      </c>
      <c r="U11" s="66">
        <v>630.18</v>
      </c>
      <c r="V11" s="66">
        <v>850.77</v>
      </c>
      <c r="W11" s="66">
        <v>2048.05</v>
      </c>
      <c r="X11" s="66">
        <v>1417.89</v>
      </c>
      <c r="Y11" s="66">
        <v>504.15</v>
      </c>
      <c r="Z11" s="66">
        <v>0</v>
      </c>
      <c r="AA11" s="121">
        <v>0</v>
      </c>
      <c r="AB11" s="167">
        <f>SUM(U11:AA11)</f>
        <v>5451.04</v>
      </c>
      <c r="AC11" s="168">
        <f>D11+T11+AB11</f>
        <v>7151.400310999999</v>
      </c>
      <c r="AD11" s="169">
        <f>P11+Z11</f>
        <v>0</v>
      </c>
      <c r="AE11" s="169">
        <f>R11+AA11</f>
        <v>0</v>
      </c>
      <c r="AF11" s="169"/>
      <c r="AG11" s="66">
        <f>0.6*B11</f>
        <v>408.23999999999995</v>
      </c>
      <c r="AH11" s="66">
        <f>B11*0.2*1.02524</f>
        <v>139.5146592</v>
      </c>
      <c r="AI11" s="66">
        <f>0.84932*B11</f>
        <v>577.8773279999999</v>
      </c>
      <c r="AJ11" s="66">
        <f>AI11*0.18</f>
        <v>104.01791903999998</v>
      </c>
      <c r="AK11" s="66">
        <f>1.04*B11*0.95033</f>
        <v>672.46871328</v>
      </c>
      <c r="AL11" s="66">
        <f>AK11*0.18</f>
        <v>121.0443683904</v>
      </c>
      <c r="AM11" s="66">
        <f>(1.91)*B11*0.95033</f>
        <v>1235.01465612</v>
      </c>
      <c r="AN11" s="66">
        <f>AM11*0.18</f>
        <v>222.30263810159997</v>
      </c>
      <c r="AO11" s="66"/>
      <c r="AP11" s="66">
        <f>AO11*0.18</f>
        <v>0</v>
      </c>
      <c r="AQ11" s="232"/>
      <c r="AR11" s="217"/>
      <c r="AS11" s="170">
        <v>9191</v>
      </c>
      <c r="AT11" s="170"/>
      <c r="AU11" s="170">
        <f>(AS11+AT11)*0.18</f>
        <v>1654.3799999999999</v>
      </c>
      <c r="AV11" s="171"/>
      <c r="AW11" s="172"/>
      <c r="AX11" s="66">
        <f>AV11*AW11*1.12*1.18</f>
        <v>0</v>
      </c>
      <c r="AY11" s="173"/>
      <c r="AZ11" s="121"/>
      <c r="BA11" s="121">
        <f>AZ11*0.18</f>
        <v>0</v>
      </c>
      <c r="BB11" s="121">
        <f>SUM(AG11:BA11)-AV11-AW11</f>
        <v>14325.860282131998</v>
      </c>
      <c r="BC11" s="121"/>
      <c r="BD11" s="167">
        <f>BB11-(AF11-BC11)</f>
        <v>14325.860282131998</v>
      </c>
      <c r="BE11" s="174">
        <f>AC11-BB11</f>
        <v>-7174.459971131999</v>
      </c>
      <c r="BF11" s="175">
        <f>AB11-S11</f>
        <v>816.5</v>
      </c>
    </row>
    <row r="12" spans="1:58" s="24" customFormat="1" ht="15" customHeight="1" thickBot="1">
      <c r="A12" s="45" t="s">
        <v>3</v>
      </c>
      <c r="B12" s="72"/>
      <c r="C12" s="72">
        <f>SUM(C9:C11)</f>
        <v>17656.38</v>
      </c>
      <c r="D12" s="72">
        <f aca="true" t="shared" si="0" ref="D12:AP12">SUM(D9:D11)</f>
        <v>4249.9495206</v>
      </c>
      <c r="E12" s="72">
        <f t="shared" si="0"/>
        <v>1516.04</v>
      </c>
      <c r="F12" s="72">
        <f t="shared" si="0"/>
        <v>99.12</v>
      </c>
      <c r="G12" s="72">
        <f t="shared" si="0"/>
        <v>2046.7199999999998</v>
      </c>
      <c r="H12" s="72">
        <f t="shared" si="0"/>
        <v>133.8</v>
      </c>
      <c r="I12" s="72">
        <f t="shared" si="0"/>
        <v>4927.12</v>
      </c>
      <c r="J12" s="72">
        <f t="shared" si="0"/>
        <v>322.14</v>
      </c>
      <c r="K12" s="72">
        <f t="shared" si="0"/>
        <v>3411.09</v>
      </c>
      <c r="L12" s="72">
        <f t="shared" si="0"/>
        <v>223.02</v>
      </c>
      <c r="M12" s="72">
        <f t="shared" si="0"/>
        <v>1212.81</v>
      </c>
      <c r="N12" s="72">
        <f t="shared" si="0"/>
        <v>79.28999999999999</v>
      </c>
      <c r="O12" s="72">
        <f t="shared" si="0"/>
        <v>0</v>
      </c>
      <c r="P12" s="72">
        <f t="shared" si="0"/>
        <v>0</v>
      </c>
      <c r="Q12" s="72">
        <f t="shared" si="0"/>
        <v>0</v>
      </c>
      <c r="R12" s="72">
        <f t="shared" si="0"/>
        <v>0</v>
      </c>
      <c r="S12" s="72">
        <f t="shared" si="0"/>
        <v>13113.779999999999</v>
      </c>
      <c r="T12" s="72">
        <f t="shared" si="0"/>
        <v>857.3700000000001</v>
      </c>
      <c r="U12" s="72">
        <f t="shared" si="0"/>
        <v>868.51</v>
      </c>
      <c r="V12" s="72">
        <f t="shared" si="0"/>
        <v>1172.54</v>
      </c>
      <c r="W12" s="72">
        <f t="shared" si="0"/>
        <v>2822.63</v>
      </c>
      <c r="X12" s="72">
        <f t="shared" si="0"/>
        <v>1954.14</v>
      </c>
      <c r="Y12" s="72">
        <f t="shared" si="0"/>
        <v>694.8</v>
      </c>
      <c r="Z12" s="72">
        <f t="shared" si="0"/>
        <v>0</v>
      </c>
      <c r="AA12" s="72">
        <f t="shared" si="0"/>
        <v>0</v>
      </c>
      <c r="AB12" s="72">
        <f t="shared" si="0"/>
        <v>7512.62</v>
      </c>
      <c r="AC12" s="72">
        <f t="shared" si="0"/>
        <v>12619.939520599999</v>
      </c>
      <c r="AD12" s="72">
        <f t="shared" si="0"/>
        <v>0</v>
      </c>
      <c r="AE12" s="72">
        <f t="shared" si="0"/>
        <v>0</v>
      </c>
      <c r="AF12" s="72">
        <f t="shared" si="0"/>
        <v>0</v>
      </c>
      <c r="AG12" s="72">
        <f t="shared" si="0"/>
        <v>1224.7199999999998</v>
      </c>
      <c r="AH12" s="72">
        <f t="shared" si="0"/>
        <v>420.28308000000004</v>
      </c>
      <c r="AI12" s="72">
        <f t="shared" si="0"/>
        <v>1737.0067679999997</v>
      </c>
      <c r="AJ12" s="72">
        <f t="shared" si="0"/>
        <v>312.6612182399999</v>
      </c>
      <c r="AK12" s="72">
        <f t="shared" si="0"/>
        <v>2021.3263324799998</v>
      </c>
      <c r="AL12" s="72">
        <f t="shared" si="0"/>
        <v>363.83873984639996</v>
      </c>
      <c r="AM12" s="72">
        <f t="shared" si="0"/>
        <v>3712.2435529199997</v>
      </c>
      <c r="AN12" s="72">
        <f t="shared" si="0"/>
        <v>668.2038395256</v>
      </c>
      <c r="AO12" s="72">
        <f t="shared" si="0"/>
        <v>0</v>
      </c>
      <c r="AP12" s="72">
        <f t="shared" si="0"/>
        <v>0</v>
      </c>
      <c r="AQ12" s="218">
        <f aca="true" t="shared" si="1" ref="AQ12:BF12">SUM(AQ9:AQ11)</f>
        <v>0</v>
      </c>
      <c r="AR12" s="218">
        <f t="shared" si="1"/>
        <v>0</v>
      </c>
      <c r="AS12" s="224">
        <f t="shared" si="1"/>
        <v>10131</v>
      </c>
      <c r="AT12" s="224">
        <f t="shared" si="1"/>
        <v>0</v>
      </c>
      <c r="AU12" s="224">
        <f t="shared" si="1"/>
        <v>1823.58</v>
      </c>
      <c r="AV12" s="72">
        <f t="shared" si="1"/>
        <v>0</v>
      </c>
      <c r="AW12" s="72">
        <f t="shared" si="1"/>
        <v>0</v>
      </c>
      <c r="AX12" s="72">
        <f t="shared" si="1"/>
        <v>0</v>
      </c>
      <c r="AY12" s="72">
        <f t="shared" si="1"/>
        <v>0</v>
      </c>
      <c r="AZ12" s="72">
        <f t="shared" si="1"/>
        <v>0</v>
      </c>
      <c r="BA12" s="72">
        <f t="shared" si="1"/>
        <v>0</v>
      </c>
      <c r="BB12" s="72">
        <f t="shared" si="1"/>
        <v>22414.863531011997</v>
      </c>
      <c r="BC12" s="72">
        <f t="shared" si="1"/>
        <v>0</v>
      </c>
      <c r="BD12" s="72">
        <f t="shared" si="1"/>
        <v>22414.863531011997</v>
      </c>
      <c r="BE12" s="72">
        <f t="shared" si="1"/>
        <v>-9794.924010411998</v>
      </c>
      <c r="BF12" s="176">
        <f t="shared" si="1"/>
        <v>-5601.16</v>
      </c>
    </row>
    <row r="13" spans="1:58" ht="15" customHeight="1">
      <c r="A13" s="8" t="s">
        <v>42</v>
      </c>
      <c r="B13" s="151"/>
      <c r="C13" s="152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55"/>
      <c r="Q13" s="156"/>
      <c r="R13" s="156"/>
      <c r="S13" s="156"/>
      <c r="T13" s="156"/>
      <c r="U13" s="157"/>
      <c r="V13" s="157"/>
      <c r="W13" s="157"/>
      <c r="X13" s="157"/>
      <c r="Y13" s="157"/>
      <c r="Z13" s="157"/>
      <c r="AA13" s="158"/>
      <c r="AB13" s="158"/>
      <c r="AC13" s="106"/>
      <c r="AD13" s="107"/>
      <c r="AE13" s="107"/>
      <c r="AF13" s="54"/>
      <c r="AG13" s="54"/>
      <c r="AH13" s="54"/>
      <c r="AI13" s="54"/>
      <c r="AJ13" s="54"/>
      <c r="AK13" s="54"/>
      <c r="AL13" s="54"/>
      <c r="AM13" s="54"/>
      <c r="AN13" s="70"/>
      <c r="AO13" s="70"/>
      <c r="AP13" s="70"/>
      <c r="AQ13" s="219"/>
      <c r="AR13" s="220"/>
      <c r="AS13" s="100"/>
      <c r="AT13" s="100"/>
      <c r="AU13" s="159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160"/>
    </row>
    <row r="14" spans="1:58" ht="12.75">
      <c r="A14" s="14" t="s">
        <v>43</v>
      </c>
      <c r="B14" s="177">
        <v>680.4</v>
      </c>
      <c r="C14" s="132">
        <f aca="true" t="shared" si="2" ref="C14:C25">B14*8.65</f>
        <v>5885.46</v>
      </c>
      <c r="D14" s="139">
        <f>C14*0.125</f>
        <v>735.6825</v>
      </c>
      <c r="E14" s="16">
        <v>531.72</v>
      </c>
      <c r="F14" s="16">
        <v>33.04</v>
      </c>
      <c r="G14" s="16">
        <v>717.85</v>
      </c>
      <c r="H14" s="16">
        <v>44.6</v>
      </c>
      <c r="I14" s="16">
        <v>1728.05</v>
      </c>
      <c r="J14" s="16">
        <v>107.38</v>
      </c>
      <c r="K14" s="16">
        <v>1196.36</v>
      </c>
      <c r="L14" s="16">
        <v>74.34</v>
      </c>
      <c r="M14" s="140">
        <v>425.36</v>
      </c>
      <c r="N14" s="140">
        <v>26.43</v>
      </c>
      <c r="O14" s="16">
        <v>0</v>
      </c>
      <c r="P14" s="81">
        <v>0</v>
      </c>
      <c r="Q14" s="81">
        <v>0</v>
      </c>
      <c r="R14" s="81">
        <v>0</v>
      </c>
      <c r="S14" s="16">
        <f aca="true" t="shared" si="3" ref="S14:S25">E14+G14+I14+K14+M14+O14+Q14</f>
        <v>4599.339999999999</v>
      </c>
      <c r="T14" s="141">
        <f aca="true" t="shared" si="4" ref="T14:T25">P14+N14+L14+J14+H14+F14+R14</f>
        <v>285.79</v>
      </c>
      <c r="U14" s="16">
        <v>504.18</v>
      </c>
      <c r="V14" s="16">
        <v>680.65</v>
      </c>
      <c r="W14" s="16">
        <v>1638.57</v>
      </c>
      <c r="X14" s="16">
        <v>1134.39</v>
      </c>
      <c r="Y14" s="16">
        <v>403.34</v>
      </c>
      <c r="Z14" s="16">
        <v>0</v>
      </c>
      <c r="AA14" s="81">
        <v>0</v>
      </c>
      <c r="AB14" s="178">
        <f aca="true" t="shared" si="5" ref="AB14:AB22">SUM(U14:AA14)</f>
        <v>4361.13</v>
      </c>
      <c r="AC14" s="150">
        <f aca="true" t="shared" si="6" ref="AC14:AC22">D14+T14+AB14</f>
        <v>5382.6025</v>
      </c>
      <c r="AD14" s="103">
        <f aca="true" t="shared" si="7" ref="AD14:AD25">P14+Z14</f>
        <v>0</v>
      </c>
      <c r="AE14" s="103">
        <f aca="true" t="shared" si="8" ref="AE14:AE25">R14+AA14</f>
        <v>0</v>
      </c>
      <c r="AF14" s="103"/>
      <c r="AG14" s="16">
        <f>0.6*B14*0.9</f>
        <v>367.41599999999994</v>
      </c>
      <c r="AH14" s="16">
        <f>B14*0.2*0.891</f>
        <v>121.24728000000002</v>
      </c>
      <c r="AI14" s="16">
        <f>0.85*B14*0.867-0.02</f>
        <v>501.40077999999994</v>
      </c>
      <c r="AJ14" s="16">
        <f aca="true" t="shared" si="9" ref="AJ14:AJ25">AI14*0.18</f>
        <v>90.25214039999999</v>
      </c>
      <c r="AK14" s="16">
        <f>0.83*B14*0.8685</f>
        <v>490.469742</v>
      </c>
      <c r="AL14" s="16">
        <f aca="true" t="shared" si="10" ref="AL14:AL25">AK14*0.18</f>
        <v>88.28455355999999</v>
      </c>
      <c r="AM14" s="16">
        <f>1.91*B14*0.8686</f>
        <v>1128.8012904</v>
      </c>
      <c r="AN14" s="16">
        <f aca="true" t="shared" si="11" ref="AN14:AN25">AM14*0.18</f>
        <v>203.18423227199997</v>
      </c>
      <c r="AO14" s="16"/>
      <c r="AP14" s="16">
        <f aca="true" t="shared" si="12" ref="AP14:AP25">AO14*0.18</f>
        <v>0</v>
      </c>
      <c r="AQ14" s="179"/>
      <c r="AR14" s="179">
        <f aca="true" t="shared" si="13" ref="AR14:AR25">AQ14*0.18</f>
        <v>0</v>
      </c>
      <c r="AS14" s="25"/>
      <c r="AT14" s="25"/>
      <c r="AU14" s="25">
        <f aca="true" t="shared" si="14" ref="AU14:AU25">(AS14+AT14)*0.18</f>
        <v>0</v>
      </c>
      <c r="AV14" s="144">
        <v>508</v>
      </c>
      <c r="AW14" s="145">
        <v>0.3</v>
      </c>
      <c r="AX14" s="16">
        <f aca="true" t="shared" si="15" ref="AX14:AX25">AV14*AW14*1.12*1.18</f>
        <v>201.41184</v>
      </c>
      <c r="AY14" s="146"/>
      <c r="AZ14" s="81"/>
      <c r="BA14" s="81">
        <f>AZ14*0.18</f>
        <v>0</v>
      </c>
      <c r="BB14" s="81">
        <f aca="true" t="shared" si="16" ref="BB14:BB22">SUM(AG14:BA14)-AV14-AW14</f>
        <v>3192.4678586319997</v>
      </c>
      <c r="BC14" s="180"/>
      <c r="BD14" s="181">
        <f>BB14-(AF14-BC14)</f>
        <v>3192.4678586319997</v>
      </c>
      <c r="BE14" s="147">
        <f>(AC14-BB14)+(AF14-BC14)</f>
        <v>2190.1346413680003</v>
      </c>
      <c r="BF14" s="161">
        <f>AB14-S14</f>
        <v>-238.20999999999913</v>
      </c>
    </row>
    <row r="15" spans="1:58" ht="12.75">
      <c r="A15" s="14" t="s">
        <v>44</v>
      </c>
      <c r="B15" s="177">
        <v>681.8</v>
      </c>
      <c r="C15" s="132">
        <f t="shared" si="2"/>
        <v>5897.57</v>
      </c>
      <c r="D15" s="139">
        <f>C15*0.125</f>
        <v>737.19625</v>
      </c>
      <c r="E15" s="16">
        <v>536.26</v>
      </c>
      <c r="F15" s="16">
        <v>33.04</v>
      </c>
      <c r="G15" s="16">
        <v>723.97</v>
      </c>
      <c r="H15" s="16">
        <v>44.6</v>
      </c>
      <c r="I15" s="16">
        <v>1742.84</v>
      </c>
      <c r="J15" s="16">
        <v>107.38</v>
      </c>
      <c r="K15" s="16">
        <v>1206.59</v>
      </c>
      <c r="L15" s="16">
        <v>74.34</v>
      </c>
      <c r="M15" s="140">
        <v>429.01</v>
      </c>
      <c r="N15" s="140">
        <v>26.43</v>
      </c>
      <c r="O15" s="16">
        <v>0</v>
      </c>
      <c r="P15" s="81">
        <v>0</v>
      </c>
      <c r="Q15" s="81">
        <v>0</v>
      </c>
      <c r="R15" s="81">
        <v>0</v>
      </c>
      <c r="S15" s="16">
        <f t="shared" si="3"/>
        <v>4638.67</v>
      </c>
      <c r="T15" s="141">
        <f t="shared" si="4"/>
        <v>285.79</v>
      </c>
      <c r="U15" s="16">
        <v>301.65</v>
      </c>
      <c r="V15" s="16">
        <v>407.25</v>
      </c>
      <c r="W15" s="16">
        <v>980.36</v>
      </c>
      <c r="X15" s="16">
        <v>678.7</v>
      </c>
      <c r="Y15" s="16">
        <v>241.31</v>
      </c>
      <c r="Z15" s="16">
        <v>0</v>
      </c>
      <c r="AA15" s="81">
        <v>0</v>
      </c>
      <c r="AB15" s="18">
        <f t="shared" si="5"/>
        <v>2609.27</v>
      </c>
      <c r="AC15" s="150">
        <f t="shared" si="6"/>
        <v>3632.25625</v>
      </c>
      <c r="AD15" s="103">
        <f t="shared" si="7"/>
        <v>0</v>
      </c>
      <c r="AE15" s="103">
        <f t="shared" si="8"/>
        <v>0</v>
      </c>
      <c r="AF15" s="103"/>
      <c r="AG15" s="16">
        <f>0.6*B15*0.9</f>
        <v>368.17199999999997</v>
      </c>
      <c r="AH15" s="16">
        <f>B15*0.2*0.9153</f>
        <v>124.81030799999999</v>
      </c>
      <c r="AI15" s="16">
        <f>0.85*B15*0.867</f>
        <v>502.45250999999996</v>
      </c>
      <c r="AJ15" s="16">
        <f t="shared" si="9"/>
        <v>90.4414518</v>
      </c>
      <c r="AK15" s="16">
        <f>0.83*B15*0.8684</f>
        <v>491.4223495999999</v>
      </c>
      <c r="AL15" s="16">
        <f t="shared" si="10"/>
        <v>88.45602292799998</v>
      </c>
      <c r="AM15" s="16">
        <f>(1.91)*B15*0.8684</f>
        <v>1130.8634791999998</v>
      </c>
      <c r="AN15" s="16">
        <f t="shared" si="11"/>
        <v>203.55542625599995</v>
      </c>
      <c r="AO15" s="16"/>
      <c r="AP15" s="16">
        <f t="shared" si="12"/>
        <v>0</v>
      </c>
      <c r="AQ15" s="179"/>
      <c r="AR15" s="179">
        <f t="shared" si="13"/>
        <v>0</v>
      </c>
      <c r="AS15" s="25"/>
      <c r="AT15" s="25"/>
      <c r="AU15" s="25">
        <f t="shared" si="14"/>
        <v>0</v>
      </c>
      <c r="AV15" s="144">
        <v>407</v>
      </c>
      <c r="AW15" s="145">
        <v>0.3</v>
      </c>
      <c r="AX15" s="16">
        <f t="shared" si="15"/>
        <v>161.36736</v>
      </c>
      <c r="AY15" s="146"/>
      <c r="AZ15" s="81"/>
      <c r="BA15" s="81">
        <f>AZ15*0.18</f>
        <v>0</v>
      </c>
      <c r="BB15" s="81">
        <f t="shared" si="16"/>
        <v>3161.540907784</v>
      </c>
      <c r="BC15" s="183"/>
      <c r="BD15" s="181">
        <f>BB15-(AF15-BC15)</f>
        <v>3161.540907784</v>
      </c>
      <c r="BE15" s="147">
        <f>(AC15-BB15)+(AF15-BC15)</f>
        <v>470.71534221599995</v>
      </c>
      <c r="BF15" s="161">
        <f>AB15-S15</f>
        <v>-2029.4</v>
      </c>
    </row>
    <row r="16" spans="1:58" ht="13.5" thickBot="1">
      <c r="A16" s="190" t="s">
        <v>45</v>
      </c>
      <c r="B16" s="191">
        <v>681.8</v>
      </c>
      <c r="C16" s="192">
        <f t="shared" si="2"/>
        <v>5897.57</v>
      </c>
      <c r="D16" s="193">
        <f>C16*0.125</f>
        <v>737.19625</v>
      </c>
      <c r="E16" s="101">
        <v>533.86</v>
      </c>
      <c r="F16" s="101">
        <v>33.04</v>
      </c>
      <c r="G16" s="101">
        <v>720.72</v>
      </c>
      <c r="H16" s="101">
        <v>44.6</v>
      </c>
      <c r="I16" s="101">
        <v>1735.03</v>
      </c>
      <c r="J16" s="101">
        <v>107.38</v>
      </c>
      <c r="K16" s="101">
        <v>1201.16</v>
      </c>
      <c r="L16" s="101">
        <v>74.34</v>
      </c>
      <c r="M16" s="194">
        <v>427.09</v>
      </c>
      <c r="N16" s="194">
        <v>26.43</v>
      </c>
      <c r="O16" s="101">
        <v>0</v>
      </c>
      <c r="P16" s="186">
        <v>0</v>
      </c>
      <c r="Q16" s="186">
        <v>0</v>
      </c>
      <c r="R16" s="186">
        <v>0</v>
      </c>
      <c r="S16" s="101">
        <f t="shared" si="3"/>
        <v>4617.86</v>
      </c>
      <c r="T16" s="195">
        <f t="shared" si="4"/>
        <v>285.79</v>
      </c>
      <c r="U16" s="187">
        <v>498.44</v>
      </c>
      <c r="V16" s="187">
        <v>672.9</v>
      </c>
      <c r="W16" s="187">
        <v>1619.89</v>
      </c>
      <c r="X16" s="187">
        <v>1121.49</v>
      </c>
      <c r="Y16" s="187">
        <v>398.74</v>
      </c>
      <c r="Z16" s="187">
        <v>0</v>
      </c>
      <c r="AA16" s="196">
        <v>0</v>
      </c>
      <c r="AB16" s="197">
        <f t="shared" si="5"/>
        <v>4311.46</v>
      </c>
      <c r="AC16" s="198">
        <f t="shared" si="6"/>
        <v>5334.44625</v>
      </c>
      <c r="AD16" s="105">
        <f t="shared" si="7"/>
        <v>0</v>
      </c>
      <c r="AE16" s="105">
        <f t="shared" si="8"/>
        <v>0</v>
      </c>
      <c r="AF16" s="105"/>
      <c r="AG16" s="101">
        <f>0.6*B16*0.9</f>
        <v>368.17199999999997</v>
      </c>
      <c r="AH16" s="187">
        <f>B16*0.2*0.9082</f>
        <v>123.84215199999998</v>
      </c>
      <c r="AI16" s="101">
        <f>0.85*B16*0.8675</f>
        <v>502.742275</v>
      </c>
      <c r="AJ16" s="101">
        <f t="shared" si="9"/>
        <v>90.49360949999999</v>
      </c>
      <c r="AK16" s="187">
        <f>0.83*B16*0.838</f>
        <v>474.2191719999999</v>
      </c>
      <c r="AL16" s="101">
        <f t="shared" si="10"/>
        <v>85.35945095999998</v>
      </c>
      <c r="AM16" s="101">
        <f>1.91*B16*0.8381</f>
        <v>1091.4056677999997</v>
      </c>
      <c r="AN16" s="101">
        <f t="shared" si="11"/>
        <v>196.45302020399996</v>
      </c>
      <c r="AO16" s="101">
        <v>1847.86</v>
      </c>
      <c r="AP16" s="101">
        <f t="shared" si="12"/>
        <v>332.61479999999995</v>
      </c>
      <c r="AQ16" s="199"/>
      <c r="AR16" s="199">
        <f t="shared" si="13"/>
        <v>0</v>
      </c>
      <c r="AS16" s="184"/>
      <c r="AT16" s="184"/>
      <c r="AU16" s="184">
        <f t="shared" si="14"/>
        <v>0</v>
      </c>
      <c r="AV16" s="200">
        <v>383</v>
      </c>
      <c r="AW16" s="201">
        <v>0.3</v>
      </c>
      <c r="AX16" s="101">
        <f t="shared" si="15"/>
        <v>151.85184</v>
      </c>
      <c r="AY16" s="202"/>
      <c r="AZ16" s="186"/>
      <c r="BA16" s="186">
        <f>AZ16*0.18</f>
        <v>0</v>
      </c>
      <c r="BB16" s="81">
        <f t="shared" si="16"/>
        <v>5265.013987464</v>
      </c>
      <c r="BC16" s="203"/>
      <c r="BD16" s="204">
        <f>BB16-(AF16-BC16)</f>
        <v>5265.013987464</v>
      </c>
      <c r="BE16" s="205">
        <f>(AC16-BB16)+(AF16-BC16)</f>
        <v>69.43226253600005</v>
      </c>
      <c r="BF16" s="214">
        <f>AB16-S16</f>
        <v>-306.39999999999964</v>
      </c>
    </row>
    <row r="17" spans="1:58" ht="12.75">
      <c r="A17" s="189" t="s">
        <v>46</v>
      </c>
      <c r="B17" s="206">
        <v>681.8</v>
      </c>
      <c r="C17" s="132">
        <f t="shared" si="2"/>
        <v>5897.57</v>
      </c>
      <c r="D17" s="139">
        <f>C17*0.125</f>
        <v>737.19625</v>
      </c>
      <c r="E17" s="82">
        <v>533.7</v>
      </c>
      <c r="F17" s="82">
        <v>33.04</v>
      </c>
      <c r="G17" s="82">
        <v>720.52</v>
      </c>
      <c r="H17" s="82">
        <v>44.6</v>
      </c>
      <c r="I17" s="82">
        <v>1734.54</v>
      </c>
      <c r="J17" s="82">
        <v>107.38</v>
      </c>
      <c r="K17" s="82">
        <v>1200.85</v>
      </c>
      <c r="L17" s="82">
        <v>74.34</v>
      </c>
      <c r="M17" s="207">
        <v>426.97</v>
      </c>
      <c r="N17" s="207">
        <v>26.43</v>
      </c>
      <c r="O17" s="82">
        <v>0</v>
      </c>
      <c r="P17" s="83">
        <v>0</v>
      </c>
      <c r="Q17" s="83">
        <v>0</v>
      </c>
      <c r="R17" s="83">
        <v>0</v>
      </c>
      <c r="S17" s="16">
        <f t="shared" si="3"/>
        <v>4616.580000000001</v>
      </c>
      <c r="T17" s="141">
        <f t="shared" si="4"/>
        <v>285.79</v>
      </c>
      <c r="U17" s="16">
        <v>453.23</v>
      </c>
      <c r="V17" s="16">
        <v>611.91</v>
      </c>
      <c r="W17" s="16">
        <v>1473.05</v>
      </c>
      <c r="X17" s="16">
        <v>1019.8</v>
      </c>
      <c r="Y17" s="16">
        <v>362.59</v>
      </c>
      <c r="Z17" s="16">
        <v>0</v>
      </c>
      <c r="AA17" s="16">
        <v>0</v>
      </c>
      <c r="AB17" s="178">
        <f t="shared" si="5"/>
        <v>3920.58</v>
      </c>
      <c r="AC17" s="150">
        <f t="shared" si="6"/>
        <v>4943.56625</v>
      </c>
      <c r="AD17" s="103">
        <f t="shared" si="7"/>
        <v>0</v>
      </c>
      <c r="AE17" s="103">
        <f t="shared" si="8"/>
        <v>0</v>
      </c>
      <c r="AF17" s="103"/>
      <c r="AG17" s="16">
        <f>0.6*B17*0.9</f>
        <v>368.17199999999997</v>
      </c>
      <c r="AH17" s="82">
        <f>B17*0.2*0.9234</f>
        <v>125.91482399999998</v>
      </c>
      <c r="AI17" s="16">
        <f>0.85*B17*0.8934</f>
        <v>517.7521019999999</v>
      </c>
      <c r="AJ17" s="16">
        <f t="shared" si="9"/>
        <v>93.19537835999998</v>
      </c>
      <c r="AK17" s="16">
        <f>0.83*B17*0.8498</f>
        <v>480.8967211999999</v>
      </c>
      <c r="AL17" s="16">
        <f t="shared" si="10"/>
        <v>86.56140981599998</v>
      </c>
      <c r="AM17" s="16">
        <f>(1.91)*B17*0.8498</f>
        <v>1106.6418523999998</v>
      </c>
      <c r="AN17" s="16">
        <f t="shared" si="11"/>
        <v>199.19553343199996</v>
      </c>
      <c r="AO17" s="16"/>
      <c r="AP17" s="16">
        <f t="shared" si="12"/>
        <v>0</v>
      </c>
      <c r="AQ17" s="179"/>
      <c r="AR17" s="179">
        <f t="shared" si="13"/>
        <v>0</v>
      </c>
      <c r="AS17" s="25">
        <v>307</v>
      </c>
      <c r="AT17" s="25"/>
      <c r="AU17" s="25">
        <f t="shared" si="14"/>
        <v>55.26</v>
      </c>
      <c r="AV17" s="144">
        <v>307</v>
      </c>
      <c r="AW17" s="145">
        <v>0.3</v>
      </c>
      <c r="AX17" s="16">
        <f t="shared" si="15"/>
        <v>121.71936</v>
      </c>
      <c r="AY17" s="146"/>
      <c r="AZ17" s="81"/>
      <c r="BA17" s="81">
        <f aca="true" t="shared" si="17" ref="BA17:BA25">AZ17*0.18</f>
        <v>0</v>
      </c>
      <c r="BB17" s="81">
        <f t="shared" si="16"/>
        <v>3462.309181208</v>
      </c>
      <c r="BC17" s="183"/>
      <c r="BD17" s="81">
        <f>BB17-(AF17-BC17)</f>
        <v>3462.309181208</v>
      </c>
      <c r="BE17" s="208">
        <f>(AC17-BB17)+(AF17-BC17)</f>
        <v>1481.2570687919997</v>
      </c>
      <c r="BF17" s="161">
        <f>AB17-S17</f>
        <v>-696.0000000000009</v>
      </c>
    </row>
    <row r="18" spans="1:58" ht="12.75">
      <c r="A18" s="14" t="s">
        <v>47</v>
      </c>
      <c r="B18" s="188">
        <v>682.8</v>
      </c>
      <c r="C18" s="132">
        <f t="shared" si="2"/>
        <v>5906.22</v>
      </c>
      <c r="D18" s="209">
        <f aca="true" t="shared" si="18" ref="D18:D25">C18-E18-F18-G18-H18-I18-J18-K18-L18-M18-N18</f>
        <v>685.4799999999991</v>
      </c>
      <c r="E18" s="82">
        <v>565.39</v>
      </c>
      <c r="F18" s="82">
        <v>37.17</v>
      </c>
      <c r="G18" s="82">
        <v>765.92</v>
      </c>
      <c r="H18" s="82">
        <v>50.39</v>
      </c>
      <c r="I18" s="82">
        <v>1840.18</v>
      </c>
      <c r="J18" s="82">
        <v>121.01</v>
      </c>
      <c r="K18" s="82">
        <v>1274.79</v>
      </c>
      <c r="L18" s="82">
        <v>83.84</v>
      </c>
      <c r="M18" s="207">
        <v>452.31</v>
      </c>
      <c r="N18" s="207">
        <v>29.74</v>
      </c>
      <c r="O18" s="82">
        <v>0</v>
      </c>
      <c r="P18" s="83">
        <v>0</v>
      </c>
      <c r="Q18" s="83">
        <v>0</v>
      </c>
      <c r="R18" s="83">
        <v>0</v>
      </c>
      <c r="S18" s="16">
        <f t="shared" si="3"/>
        <v>4898.59</v>
      </c>
      <c r="T18" s="141">
        <f t="shared" si="4"/>
        <v>322.15000000000003</v>
      </c>
      <c r="U18" s="82">
        <v>622.17</v>
      </c>
      <c r="V18" s="82">
        <v>839.95</v>
      </c>
      <c r="W18" s="82">
        <v>2022.1</v>
      </c>
      <c r="X18" s="82">
        <v>1399.92</v>
      </c>
      <c r="Y18" s="82">
        <v>497.74</v>
      </c>
      <c r="Z18" s="82">
        <v>0</v>
      </c>
      <c r="AA18" s="83">
        <v>0</v>
      </c>
      <c r="AB18" s="178">
        <f t="shared" si="5"/>
        <v>5381.879999999999</v>
      </c>
      <c r="AC18" s="150">
        <f t="shared" si="6"/>
        <v>6389.509999999998</v>
      </c>
      <c r="AD18" s="103">
        <f t="shared" si="7"/>
        <v>0</v>
      </c>
      <c r="AE18" s="103">
        <f t="shared" si="8"/>
        <v>0</v>
      </c>
      <c r="AF18" s="103"/>
      <c r="AG18" s="16">
        <f aca="true" t="shared" si="19" ref="AG18:AG25">0.6*B18</f>
        <v>409.67999999999995</v>
      </c>
      <c r="AH18" s="16">
        <f>B18*0.2*1.01</f>
        <v>137.9256</v>
      </c>
      <c r="AI18" s="16">
        <f>0.85*B18</f>
        <v>580.38</v>
      </c>
      <c r="AJ18" s="16">
        <f t="shared" si="9"/>
        <v>104.46839999999999</v>
      </c>
      <c r="AK18" s="16">
        <f>0.83*B18</f>
        <v>566.7239999999999</v>
      </c>
      <c r="AL18" s="16">
        <f t="shared" si="10"/>
        <v>102.01031999999998</v>
      </c>
      <c r="AM18" s="16">
        <f>(1.91)*B18</f>
        <v>1304.148</v>
      </c>
      <c r="AN18" s="16">
        <f t="shared" si="11"/>
        <v>234.74663999999999</v>
      </c>
      <c r="AO18" s="16"/>
      <c r="AP18" s="16">
        <f t="shared" si="12"/>
        <v>0</v>
      </c>
      <c r="AQ18" s="179"/>
      <c r="AR18" s="179">
        <f t="shared" si="13"/>
        <v>0</v>
      </c>
      <c r="AS18" s="25">
        <v>2055.74</v>
      </c>
      <c r="AT18" s="25"/>
      <c r="AU18" s="25">
        <f t="shared" si="14"/>
        <v>370.03319999999997</v>
      </c>
      <c r="AV18" s="144">
        <v>263</v>
      </c>
      <c r="AW18" s="145">
        <v>0.3</v>
      </c>
      <c r="AX18" s="16">
        <f t="shared" si="15"/>
        <v>104.27423999999999</v>
      </c>
      <c r="AY18" s="146"/>
      <c r="AZ18" s="81"/>
      <c r="BA18" s="81">
        <f t="shared" si="17"/>
        <v>0</v>
      </c>
      <c r="BB18" s="81">
        <f t="shared" si="16"/>
        <v>5970.130399999999</v>
      </c>
      <c r="BC18" s="183"/>
      <c r="BD18" s="18">
        <f aca="true" t="shared" si="20" ref="BD18:BD25">BB18-(AF18-BC18)</f>
        <v>5970.130399999999</v>
      </c>
      <c r="BE18" s="147">
        <f aca="true" t="shared" si="21" ref="BE18:BE25">(AC18-BB18)+(AF18-BC18)</f>
        <v>419.3795999999993</v>
      </c>
      <c r="BF18" s="161">
        <f aca="true" t="shared" si="22" ref="BF18:BF24">AB18-S18</f>
        <v>483.28999999999905</v>
      </c>
    </row>
    <row r="19" spans="1:58" ht="13.5" thickBot="1">
      <c r="A19" s="14" t="s">
        <v>48</v>
      </c>
      <c r="B19" s="191">
        <v>682.8</v>
      </c>
      <c r="C19" s="192">
        <f t="shared" si="2"/>
        <v>5906.22</v>
      </c>
      <c r="D19" s="193">
        <f t="shared" si="18"/>
        <v>484.20000000000016</v>
      </c>
      <c r="E19" s="187">
        <v>569.76</v>
      </c>
      <c r="F19" s="187">
        <v>56.07</v>
      </c>
      <c r="G19" s="187">
        <v>771.72</v>
      </c>
      <c r="H19" s="187">
        <v>76.01</v>
      </c>
      <c r="I19" s="187">
        <v>1854.28</v>
      </c>
      <c r="J19" s="187">
        <v>182.54</v>
      </c>
      <c r="K19" s="187">
        <v>1284.51</v>
      </c>
      <c r="L19" s="187">
        <v>126.47</v>
      </c>
      <c r="M19" s="210">
        <v>455.8</v>
      </c>
      <c r="N19" s="210">
        <v>44.86</v>
      </c>
      <c r="O19" s="187">
        <v>0</v>
      </c>
      <c r="P19" s="196">
        <v>0</v>
      </c>
      <c r="Q19" s="196">
        <v>0</v>
      </c>
      <c r="R19" s="196">
        <v>0</v>
      </c>
      <c r="S19" s="101">
        <f t="shared" si="3"/>
        <v>4936.070000000001</v>
      </c>
      <c r="T19" s="195">
        <f t="shared" si="4"/>
        <v>485.95</v>
      </c>
      <c r="U19" s="187">
        <v>538.92</v>
      </c>
      <c r="V19" s="187">
        <v>729.38</v>
      </c>
      <c r="W19" s="187">
        <v>1753.31</v>
      </c>
      <c r="X19" s="187">
        <v>1214.4</v>
      </c>
      <c r="Y19" s="187">
        <v>431.13</v>
      </c>
      <c r="Z19" s="187">
        <v>0</v>
      </c>
      <c r="AA19" s="196">
        <v>0</v>
      </c>
      <c r="AB19" s="197">
        <f t="shared" si="5"/>
        <v>4667.14</v>
      </c>
      <c r="AC19" s="198">
        <f t="shared" si="6"/>
        <v>5637.290000000001</v>
      </c>
      <c r="AD19" s="105">
        <f t="shared" si="7"/>
        <v>0</v>
      </c>
      <c r="AE19" s="105">
        <f t="shared" si="8"/>
        <v>0</v>
      </c>
      <c r="AF19" s="105"/>
      <c r="AG19" s="101">
        <f t="shared" si="19"/>
        <v>409.67999999999995</v>
      </c>
      <c r="AH19" s="101">
        <f>B19*0.2*1.01045</f>
        <v>137.987052</v>
      </c>
      <c r="AI19" s="101">
        <f>0.85*B19</f>
        <v>580.38</v>
      </c>
      <c r="AJ19" s="101">
        <f t="shared" si="9"/>
        <v>104.46839999999999</v>
      </c>
      <c r="AK19" s="101">
        <f>0.83*B19</f>
        <v>566.7239999999999</v>
      </c>
      <c r="AL19" s="101">
        <f t="shared" si="10"/>
        <v>102.01031999999998</v>
      </c>
      <c r="AM19" s="101">
        <f>(1.91)*B19</f>
        <v>1304.148</v>
      </c>
      <c r="AN19" s="101">
        <f t="shared" si="11"/>
        <v>234.74663999999999</v>
      </c>
      <c r="AO19" s="101"/>
      <c r="AP19" s="101">
        <f t="shared" si="12"/>
        <v>0</v>
      </c>
      <c r="AQ19" s="199"/>
      <c r="AR19" s="199">
        <f t="shared" si="13"/>
        <v>0</v>
      </c>
      <c r="AS19" s="184"/>
      <c r="AT19" s="184"/>
      <c r="AU19" s="184">
        <f t="shared" si="14"/>
        <v>0</v>
      </c>
      <c r="AV19" s="200">
        <v>233</v>
      </c>
      <c r="AW19" s="201">
        <v>0.3</v>
      </c>
      <c r="AX19" s="101">
        <f t="shared" si="15"/>
        <v>92.37983999999999</v>
      </c>
      <c r="AY19" s="202"/>
      <c r="AZ19" s="186"/>
      <c r="BA19" s="186">
        <f t="shared" si="17"/>
        <v>0</v>
      </c>
      <c r="BB19" s="186">
        <f t="shared" si="16"/>
        <v>3532.5242519999993</v>
      </c>
      <c r="BC19" s="203"/>
      <c r="BD19" s="102">
        <f t="shared" si="20"/>
        <v>3532.5242519999993</v>
      </c>
      <c r="BE19" s="211">
        <f t="shared" si="21"/>
        <v>2104.7657480000016</v>
      </c>
      <c r="BF19" s="214">
        <f t="shared" si="22"/>
        <v>-268.9300000000003</v>
      </c>
    </row>
    <row r="20" spans="1:58" ht="12.75">
      <c r="A20" s="14" t="s">
        <v>49</v>
      </c>
      <c r="B20" s="177">
        <v>682.8</v>
      </c>
      <c r="C20" s="132">
        <f t="shared" si="2"/>
        <v>5906.22</v>
      </c>
      <c r="D20" s="209">
        <f t="shared" si="18"/>
        <v>484.19999999999993</v>
      </c>
      <c r="E20" s="82">
        <v>569.76</v>
      </c>
      <c r="F20" s="82">
        <v>56.07</v>
      </c>
      <c r="G20" s="82">
        <v>771.72</v>
      </c>
      <c r="H20" s="82">
        <v>76.01</v>
      </c>
      <c r="I20" s="82">
        <v>1854.27</v>
      </c>
      <c r="J20" s="82">
        <v>182.54</v>
      </c>
      <c r="K20" s="82">
        <v>1284.52</v>
      </c>
      <c r="L20" s="82">
        <v>126.47</v>
      </c>
      <c r="M20" s="207">
        <v>455.8</v>
      </c>
      <c r="N20" s="207">
        <v>44.86</v>
      </c>
      <c r="O20" s="82">
        <v>0</v>
      </c>
      <c r="P20" s="83">
        <v>0</v>
      </c>
      <c r="Q20" s="82">
        <v>0</v>
      </c>
      <c r="R20" s="83">
        <v>0</v>
      </c>
      <c r="S20" s="16">
        <f t="shared" si="3"/>
        <v>4936.070000000001</v>
      </c>
      <c r="T20" s="141">
        <f t="shared" si="4"/>
        <v>485.95</v>
      </c>
      <c r="U20" s="82">
        <v>429.51</v>
      </c>
      <c r="V20" s="82">
        <v>581.91</v>
      </c>
      <c r="W20" s="82">
        <v>1397.96</v>
      </c>
      <c r="X20" s="82">
        <v>968.46</v>
      </c>
      <c r="Y20" s="82">
        <v>343.59</v>
      </c>
      <c r="Z20" s="82">
        <v>0</v>
      </c>
      <c r="AA20" s="83">
        <v>0</v>
      </c>
      <c r="AB20" s="178">
        <f t="shared" si="5"/>
        <v>3721.4300000000003</v>
      </c>
      <c r="AC20" s="150">
        <f t="shared" si="6"/>
        <v>4691.58</v>
      </c>
      <c r="AD20" s="103">
        <f t="shared" si="7"/>
        <v>0</v>
      </c>
      <c r="AE20" s="103">
        <f t="shared" si="8"/>
        <v>0</v>
      </c>
      <c r="AF20" s="103"/>
      <c r="AG20" s="16">
        <f t="shared" si="19"/>
        <v>409.67999999999995</v>
      </c>
      <c r="AH20" s="16">
        <f>B20*0.2*0.99426</f>
        <v>135.7761456</v>
      </c>
      <c r="AI20" s="16">
        <f>0.85*B20*0.9857</f>
        <v>572.080566</v>
      </c>
      <c r="AJ20" s="16">
        <f t="shared" si="9"/>
        <v>102.97450187999999</v>
      </c>
      <c r="AK20" s="16">
        <f>0.83*B20*0.9905</f>
        <v>561.340122</v>
      </c>
      <c r="AL20" s="16">
        <f t="shared" si="10"/>
        <v>101.04122195999999</v>
      </c>
      <c r="AM20" s="16">
        <f>(1.91)*B20*0.9905</f>
        <v>1291.758594</v>
      </c>
      <c r="AN20" s="16">
        <f t="shared" si="11"/>
        <v>232.51654691999997</v>
      </c>
      <c r="AO20" s="16"/>
      <c r="AP20" s="16">
        <f t="shared" si="12"/>
        <v>0</v>
      </c>
      <c r="AQ20" s="179"/>
      <c r="AR20" s="179">
        <f t="shared" si="13"/>
        <v>0</v>
      </c>
      <c r="AS20" s="25">
        <v>4638</v>
      </c>
      <c r="AT20" s="25"/>
      <c r="AU20" s="25">
        <f t="shared" si="14"/>
        <v>834.8399999999999</v>
      </c>
      <c r="AV20" s="144">
        <v>248</v>
      </c>
      <c r="AW20" s="145">
        <v>0.3</v>
      </c>
      <c r="AX20" s="16">
        <f t="shared" si="15"/>
        <v>98.32704</v>
      </c>
      <c r="AY20" s="146"/>
      <c r="AZ20" s="81"/>
      <c r="BA20" s="81">
        <f t="shared" si="17"/>
        <v>0</v>
      </c>
      <c r="BB20" s="81">
        <f t="shared" si="16"/>
        <v>8978.33473836</v>
      </c>
      <c r="BC20" s="183"/>
      <c r="BD20" s="18">
        <f t="shared" si="20"/>
        <v>8978.33473836</v>
      </c>
      <c r="BE20" s="147">
        <f t="shared" si="21"/>
        <v>-4286.7547383599995</v>
      </c>
      <c r="BF20" s="161">
        <f t="shared" si="22"/>
        <v>-1214.6400000000003</v>
      </c>
    </row>
    <row r="21" spans="1:58" ht="12.75">
      <c r="A21" s="14" t="s">
        <v>50</v>
      </c>
      <c r="B21" s="177">
        <v>682.8</v>
      </c>
      <c r="C21" s="132">
        <f t="shared" si="2"/>
        <v>5906.22</v>
      </c>
      <c r="D21" s="209">
        <f t="shared" si="18"/>
        <v>484.19999999999993</v>
      </c>
      <c r="E21" s="82">
        <v>569.76</v>
      </c>
      <c r="F21" s="82">
        <v>56.07</v>
      </c>
      <c r="G21" s="82">
        <v>771.72</v>
      </c>
      <c r="H21" s="82">
        <v>76.01</v>
      </c>
      <c r="I21" s="82">
        <v>1854.27</v>
      </c>
      <c r="J21" s="82">
        <v>182.54</v>
      </c>
      <c r="K21" s="82">
        <v>1284.52</v>
      </c>
      <c r="L21" s="82">
        <v>126.47</v>
      </c>
      <c r="M21" s="207">
        <v>455.8</v>
      </c>
      <c r="N21" s="207">
        <v>44.86</v>
      </c>
      <c r="O21" s="82">
        <v>0</v>
      </c>
      <c r="P21" s="83">
        <v>0</v>
      </c>
      <c r="Q21" s="82">
        <v>0</v>
      </c>
      <c r="R21" s="82">
        <v>0</v>
      </c>
      <c r="S21" s="16">
        <f t="shared" si="3"/>
        <v>4936.070000000001</v>
      </c>
      <c r="T21" s="141">
        <f t="shared" si="4"/>
        <v>485.95</v>
      </c>
      <c r="U21" s="82">
        <v>515.1</v>
      </c>
      <c r="V21" s="82">
        <v>697.8</v>
      </c>
      <c r="W21" s="82">
        <v>1676.57</v>
      </c>
      <c r="X21" s="82">
        <v>1161.42</v>
      </c>
      <c r="Y21" s="82">
        <v>412.09</v>
      </c>
      <c r="Z21" s="82">
        <v>0</v>
      </c>
      <c r="AA21" s="83">
        <v>0</v>
      </c>
      <c r="AB21" s="178">
        <f t="shared" si="5"/>
        <v>4462.9800000000005</v>
      </c>
      <c r="AC21" s="150">
        <f t="shared" si="6"/>
        <v>5433.13</v>
      </c>
      <c r="AD21" s="103">
        <f t="shared" si="7"/>
        <v>0</v>
      </c>
      <c r="AE21" s="103">
        <f t="shared" si="8"/>
        <v>0</v>
      </c>
      <c r="AF21" s="103"/>
      <c r="AG21" s="16">
        <f t="shared" si="19"/>
        <v>409.67999999999995</v>
      </c>
      <c r="AH21" s="16">
        <f>B21*0.2*0.99875</f>
        <v>136.38930000000002</v>
      </c>
      <c r="AI21" s="16">
        <f>0.85*B21*0.98526</f>
        <v>571.8251988000001</v>
      </c>
      <c r="AJ21" s="16">
        <f t="shared" si="9"/>
        <v>102.928535784</v>
      </c>
      <c r="AK21" s="16">
        <f>0.83*B21*0.99</f>
        <v>561.0567599999999</v>
      </c>
      <c r="AL21" s="16">
        <f t="shared" si="10"/>
        <v>100.99021679999998</v>
      </c>
      <c r="AM21" s="16">
        <f>(1.91)*B21*0.99</f>
        <v>1291.1065199999998</v>
      </c>
      <c r="AN21" s="16">
        <f t="shared" si="11"/>
        <v>232.39917359999995</v>
      </c>
      <c r="AO21" s="16"/>
      <c r="AP21" s="16">
        <f t="shared" si="12"/>
        <v>0</v>
      </c>
      <c r="AQ21" s="179"/>
      <c r="AR21" s="179">
        <f t="shared" si="13"/>
        <v>0</v>
      </c>
      <c r="AS21" s="25">
        <v>12761</v>
      </c>
      <c r="AT21" s="25"/>
      <c r="AU21" s="25">
        <f t="shared" si="14"/>
        <v>2296.98</v>
      </c>
      <c r="AV21" s="144">
        <v>293</v>
      </c>
      <c r="AW21" s="145">
        <v>0.3</v>
      </c>
      <c r="AX21" s="16">
        <f t="shared" si="15"/>
        <v>116.16863999999998</v>
      </c>
      <c r="AY21" s="146"/>
      <c r="AZ21" s="81"/>
      <c r="BA21" s="81">
        <f t="shared" si="17"/>
        <v>0</v>
      </c>
      <c r="BB21" s="81">
        <f t="shared" si="16"/>
        <v>18580.524344983998</v>
      </c>
      <c r="BC21" s="183"/>
      <c r="BD21" s="18">
        <f t="shared" si="20"/>
        <v>18580.524344983998</v>
      </c>
      <c r="BE21" s="147">
        <f t="shared" si="21"/>
        <v>-13147.394344983997</v>
      </c>
      <c r="BF21" s="161">
        <f t="shared" si="22"/>
        <v>-473.09000000000015</v>
      </c>
    </row>
    <row r="22" spans="1:58" ht="13.5" thickBot="1">
      <c r="A22" s="14" t="s">
        <v>51</v>
      </c>
      <c r="B22" s="185">
        <v>682.8</v>
      </c>
      <c r="C22" s="192">
        <f t="shared" si="2"/>
        <v>5906.22</v>
      </c>
      <c r="D22" s="193">
        <f t="shared" si="18"/>
        <v>484.18999999999994</v>
      </c>
      <c r="E22" s="101">
        <v>569.76</v>
      </c>
      <c r="F22" s="101">
        <v>56.07</v>
      </c>
      <c r="G22" s="101">
        <v>771.73</v>
      </c>
      <c r="H22" s="101">
        <v>76.01</v>
      </c>
      <c r="I22" s="101">
        <v>1854.28</v>
      </c>
      <c r="J22" s="101">
        <v>182.54</v>
      </c>
      <c r="K22" s="101">
        <v>1284.51</v>
      </c>
      <c r="L22" s="101">
        <v>126.47</v>
      </c>
      <c r="M22" s="194">
        <v>455.8</v>
      </c>
      <c r="N22" s="194">
        <v>44.86</v>
      </c>
      <c r="O22" s="101">
        <v>0</v>
      </c>
      <c r="P22" s="186">
        <v>0</v>
      </c>
      <c r="Q22" s="101">
        <v>0</v>
      </c>
      <c r="R22" s="186">
        <v>0</v>
      </c>
      <c r="S22" s="101">
        <f t="shared" si="3"/>
        <v>4936.08</v>
      </c>
      <c r="T22" s="195">
        <f t="shared" si="4"/>
        <v>485.95</v>
      </c>
      <c r="U22" s="101">
        <v>537.03</v>
      </c>
      <c r="V22" s="101">
        <v>727.02</v>
      </c>
      <c r="W22" s="101">
        <v>1747.34</v>
      </c>
      <c r="X22" s="101">
        <v>1210.33</v>
      </c>
      <c r="Y22" s="101">
        <v>429.59</v>
      </c>
      <c r="Z22" s="101">
        <v>0</v>
      </c>
      <c r="AA22" s="186">
        <v>0</v>
      </c>
      <c r="AB22" s="197">
        <f t="shared" si="5"/>
        <v>4651.3099999999995</v>
      </c>
      <c r="AC22" s="198">
        <f t="shared" si="6"/>
        <v>5621.449999999999</v>
      </c>
      <c r="AD22" s="105">
        <f t="shared" si="7"/>
        <v>0</v>
      </c>
      <c r="AE22" s="105">
        <f t="shared" si="8"/>
        <v>0</v>
      </c>
      <c r="AF22" s="105"/>
      <c r="AG22" s="101">
        <f t="shared" si="19"/>
        <v>409.67999999999995</v>
      </c>
      <c r="AH22" s="101">
        <f>B22*0.2*0.9997</f>
        <v>136.519032</v>
      </c>
      <c r="AI22" s="101">
        <f>0.85*B22*0.98509</f>
        <v>571.7265342000001</v>
      </c>
      <c r="AJ22" s="101">
        <f t="shared" si="9"/>
        <v>102.91077615600001</v>
      </c>
      <c r="AK22" s="101">
        <f>0.83*B22*0.98981</f>
        <v>560.9490824399999</v>
      </c>
      <c r="AL22" s="101">
        <f t="shared" si="10"/>
        <v>100.97083483919997</v>
      </c>
      <c r="AM22" s="101">
        <f>(1.91)*B22*0.9898</f>
        <v>1290.8456904</v>
      </c>
      <c r="AN22" s="101">
        <f t="shared" si="11"/>
        <v>232.35222427199997</v>
      </c>
      <c r="AO22" s="101"/>
      <c r="AP22" s="101">
        <f t="shared" si="12"/>
        <v>0</v>
      </c>
      <c r="AQ22" s="199"/>
      <c r="AR22" s="199">
        <f t="shared" si="13"/>
        <v>0</v>
      </c>
      <c r="AS22" s="184"/>
      <c r="AT22" s="184"/>
      <c r="AU22" s="184">
        <f t="shared" si="14"/>
        <v>0</v>
      </c>
      <c r="AV22" s="200">
        <v>349</v>
      </c>
      <c r="AW22" s="201">
        <v>0.3</v>
      </c>
      <c r="AX22" s="101">
        <f t="shared" si="15"/>
        <v>138.37152</v>
      </c>
      <c r="AY22" s="202"/>
      <c r="AZ22" s="186"/>
      <c r="BA22" s="186">
        <f t="shared" si="17"/>
        <v>0</v>
      </c>
      <c r="BB22" s="186">
        <f t="shared" si="16"/>
        <v>3544.3256943072</v>
      </c>
      <c r="BC22" s="203"/>
      <c r="BD22" s="102">
        <f t="shared" si="20"/>
        <v>3544.3256943072</v>
      </c>
      <c r="BE22" s="205">
        <f t="shared" si="21"/>
        <v>2077.1243056927988</v>
      </c>
      <c r="BF22" s="214">
        <f t="shared" si="22"/>
        <v>-284.77000000000044</v>
      </c>
    </row>
    <row r="23" spans="1:58" ht="12.75">
      <c r="A23" s="80" t="s">
        <v>39</v>
      </c>
      <c r="B23" s="212">
        <v>682.8</v>
      </c>
      <c r="C23" s="131">
        <f t="shared" si="2"/>
        <v>5906.22</v>
      </c>
      <c r="D23" s="209">
        <f t="shared" si="18"/>
        <v>484.19999999999993</v>
      </c>
      <c r="E23" s="41">
        <v>569.76</v>
      </c>
      <c r="F23" s="16">
        <v>56.07</v>
      </c>
      <c r="G23" s="16">
        <v>771.72</v>
      </c>
      <c r="H23" s="16">
        <v>76.01</v>
      </c>
      <c r="I23" s="16">
        <v>1854.27</v>
      </c>
      <c r="J23" s="16">
        <v>182.54</v>
      </c>
      <c r="K23" s="16">
        <v>1284.52</v>
      </c>
      <c r="L23" s="16">
        <v>126.47</v>
      </c>
      <c r="M23" s="16">
        <v>455.8</v>
      </c>
      <c r="N23" s="16">
        <v>44.86</v>
      </c>
      <c r="O23" s="16">
        <v>0</v>
      </c>
      <c r="P23" s="81">
        <v>0</v>
      </c>
      <c r="Q23" s="16">
        <v>0</v>
      </c>
      <c r="R23" s="16">
        <v>0</v>
      </c>
      <c r="S23" s="16">
        <f t="shared" si="3"/>
        <v>4936.070000000001</v>
      </c>
      <c r="T23" s="141">
        <f t="shared" si="4"/>
        <v>485.95</v>
      </c>
      <c r="U23" s="42">
        <f>235.58+297.73</f>
        <v>533.3100000000001</v>
      </c>
      <c r="V23" s="16">
        <f>319.07+403.51</f>
        <v>722.5799999999999</v>
      </c>
      <c r="W23" s="16">
        <f>766.7+969.2</f>
        <v>1735.9</v>
      </c>
      <c r="X23" s="16">
        <f>531.1+671.46</f>
        <v>1202.56</v>
      </c>
      <c r="Y23" s="16">
        <f>188.46+238.17</f>
        <v>426.63</v>
      </c>
      <c r="Z23" s="81">
        <v>0</v>
      </c>
      <c r="AA23" s="81">
        <v>0</v>
      </c>
      <c r="AB23" s="81">
        <f>SUM(U23:AA23)</f>
        <v>4620.9800000000005</v>
      </c>
      <c r="AC23" s="150">
        <f>AB23+T23+D23</f>
        <v>5591.13</v>
      </c>
      <c r="AD23" s="16">
        <f t="shared" si="7"/>
        <v>0</v>
      </c>
      <c r="AE23" s="16">
        <f t="shared" si="8"/>
        <v>0</v>
      </c>
      <c r="AF23" s="16"/>
      <c r="AG23" s="16">
        <f t="shared" si="19"/>
        <v>409.67999999999995</v>
      </c>
      <c r="AH23" s="16">
        <f>B23*0.2</f>
        <v>136.56</v>
      </c>
      <c r="AI23" s="16">
        <f>0.847*B23</f>
        <v>578.3316</v>
      </c>
      <c r="AJ23" s="16">
        <f t="shared" si="9"/>
        <v>104.09968799999999</v>
      </c>
      <c r="AK23" s="16">
        <f>0.83*B23</f>
        <v>566.7239999999999</v>
      </c>
      <c r="AL23" s="16">
        <f t="shared" si="10"/>
        <v>102.01031999999998</v>
      </c>
      <c r="AM23" s="16">
        <f>(2.25/1.18)*B23</f>
        <v>1301.9491525423728</v>
      </c>
      <c r="AN23" s="16">
        <f t="shared" si="11"/>
        <v>234.35084745762708</v>
      </c>
      <c r="AO23" s="16"/>
      <c r="AP23" s="16">
        <f t="shared" si="12"/>
        <v>0</v>
      </c>
      <c r="AQ23" s="179"/>
      <c r="AR23" s="179">
        <f t="shared" si="13"/>
        <v>0</v>
      </c>
      <c r="AS23" s="25">
        <v>0</v>
      </c>
      <c r="AT23" s="25"/>
      <c r="AU23" s="25">
        <f t="shared" si="14"/>
        <v>0</v>
      </c>
      <c r="AV23" s="144">
        <v>425</v>
      </c>
      <c r="AW23" s="145">
        <v>0.3</v>
      </c>
      <c r="AX23" s="16">
        <f t="shared" si="15"/>
        <v>168.504</v>
      </c>
      <c r="AY23" s="146"/>
      <c r="AZ23" s="81"/>
      <c r="BA23" s="81">
        <f t="shared" si="17"/>
        <v>0</v>
      </c>
      <c r="BB23" s="81">
        <f>SUM(AG23:AU23)+AX23+AY23+AZ23+BA23</f>
        <v>3602.2096079999997</v>
      </c>
      <c r="BC23" s="213"/>
      <c r="BD23" s="114">
        <f t="shared" si="20"/>
        <v>3602.2096079999997</v>
      </c>
      <c r="BE23" s="147">
        <f>(AC23-BB23)+(AF23-BC23)</f>
        <v>1988.9203920000004</v>
      </c>
      <c r="BF23" s="161">
        <f t="shared" si="22"/>
        <v>-315.09000000000015</v>
      </c>
    </row>
    <row r="24" spans="1:58" ht="12.75">
      <c r="A24" s="14" t="s">
        <v>40</v>
      </c>
      <c r="B24" s="177">
        <v>682.8</v>
      </c>
      <c r="C24" s="131">
        <f t="shared" si="2"/>
        <v>5906.22</v>
      </c>
      <c r="D24" s="209">
        <f t="shared" si="18"/>
        <v>484.19999999999993</v>
      </c>
      <c r="E24" s="16">
        <v>569.76</v>
      </c>
      <c r="F24" s="16">
        <v>56.07</v>
      </c>
      <c r="G24" s="16">
        <v>771.72</v>
      </c>
      <c r="H24" s="16">
        <v>76.01</v>
      </c>
      <c r="I24" s="16">
        <v>1854.27</v>
      </c>
      <c r="J24" s="16">
        <v>182.54</v>
      </c>
      <c r="K24" s="16">
        <v>1284.52</v>
      </c>
      <c r="L24" s="16">
        <v>126.47</v>
      </c>
      <c r="M24" s="140">
        <v>455.8</v>
      </c>
      <c r="N24" s="140">
        <v>44.86</v>
      </c>
      <c r="O24" s="16">
        <v>0</v>
      </c>
      <c r="P24" s="81">
        <v>0</v>
      </c>
      <c r="Q24" s="81">
        <v>0</v>
      </c>
      <c r="R24" s="81">
        <v>0</v>
      </c>
      <c r="S24" s="16">
        <f t="shared" si="3"/>
        <v>4936.070000000001</v>
      </c>
      <c r="T24" s="141">
        <f t="shared" si="4"/>
        <v>485.95</v>
      </c>
      <c r="U24" s="16">
        <v>728.82</v>
      </c>
      <c r="V24" s="16">
        <v>986.23</v>
      </c>
      <c r="W24" s="16">
        <v>2370.96</v>
      </c>
      <c r="X24" s="16">
        <v>1642.17</v>
      </c>
      <c r="Y24" s="16">
        <v>583.05</v>
      </c>
      <c r="Z24" s="16">
        <v>0</v>
      </c>
      <c r="AA24" s="81">
        <v>0</v>
      </c>
      <c r="AB24" s="81">
        <f>SUM(U24:AA24)</f>
        <v>6311.2300000000005</v>
      </c>
      <c r="AC24" s="150">
        <f>D24+T24+AB24</f>
        <v>7281.38</v>
      </c>
      <c r="AD24" s="103">
        <f t="shared" si="7"/>
        <v>0</v>
      </c>
      <c r="AE24" s="103">
        <f t="shared" si="8"/>
        <v>0</v>
      </c>
      <c r="AF24" s="103"/>
      <c r="AG24" s="16">
        <f t="shared" si="19"/>
        <v>409.67999999999995</v>
      </c>
      <c r="AH24" s="16">
        <f>B24*0.2</f>
        <v>136.56</v>
      </c>
      <c r="AI24" s="16">
        <f>0.85*B24</f>
        <v>580.38</v>
      </c>
      <c r="AJ24" s="16">
        <f t="shared" si="9"/>
        <v>104.46839999999999</v>
      </c>
      <c r="AK24" s="16">
        <f>0.83*B24</f>
        <v>566.7239999999999</v>
      </c>
      <c r="AL24" s="16">
        <f t="shared" si="10"/>
        <v>102.01031999999998</v>
      </c>
      <c r="AM24" s="16">
        <f>(1.91)*B24</f>
        <v>1304.148</v>
      </c>
      <c r="AN24" s="16">
        <f t="shared" si="11"/>
        <v>234.74663999999999</v>
      </c>
      <c r="AO24" s="16"/>
      <c r="AP24" s="16">
        <f t="shared" si="12"/>
        <v>0</v>
      </c>
      <c r="AQ24" s="179"/>
      <c r="AR24" s="179">
        <f t="shared" si="13"/>
        <v>0</v>
      </c>
      <c r="AS24" s="25">
        <v>0</v>
      </c>
      <c r="AT24" s="25"/>
      <c r="AU24" s="25">
        <f t="shared" si="14"/>
        <v>0</v>
      </c>
      <c r="AV24" s="144">
        <v>470</v>
      </c>
      <c r="AW24" s="145">
        <v>0.3</v>
      </c>
      <c r="AX24" s="16">
        <f t="shared" si="15"/>
        <v>186.34560000000002</v>
      </c>
      <c r="AY24" s="146"/>
      <c r="AZ24" s="81"/>
      <c r="BA24" s="81">
        <f t="shared" si="17"/>
        <v>0</v>
      </c>
      <c r="BB24" s="81">
        <f>SUM(AG24:AU24)+AX24+AY24+AZ24+BA24</f>
        <v>3625.0629599999993</v>
      </c>
      <c r="BC24" s="180"/>
      <c r="BD24" s="55">
        <f t="shared" si="20"/>
        <v>3625.0629599999993</v>
      </c>
      <c r="BE24" s="147">
        <f t="shared" si="21"/>
        <v>3656.317040000001</v>
      </c>
      <c r="BF24" s="161">
        <f t="shared" si="22"/>
        <v>1375.1599999999999</v>
      </c>
    </row>
    <row r="25" spans="1:58" s="148" customFormat="1" ht="12.75">
      <c r="A25" s="149" t="s">
        <v>41</v>
      </c>
      <c r="B25" s="138">
        <v>682.8</v>
      </c>
      <c r="C25" s="131">
        <f t="shared" si="2"/>
        <v>5906.22</v>
      </c>
      <c r="D25" s="209">
        <f t="shared" si="18"/>
        <v>479.270000000001</v>
      </c>
      <c r="E25" s="16">
        <v>582.53</v>
      </c>
      <c r="F25" s="16">
        <v>43.88</v>
      </c>
      <c r="G25" s="16">
        <v>788.99</v>
      </c>
      <c r="H25" s="16">
        <v>59.48</v>
      </c>
      <c r="I25" s="16">
        <v>1895.83</v>
      </c>
      <c r="J25" s="16">
        <v>142.84</v>
      </c>
      <c r="K25" s="16">
        <v>1313.3</v>
      </c>
      <c r="L25" s="16">
        <v>98.97</v>
      </c>
      <c r="M25" s="140">
        <v>466.02</v>
      </c>
      <c r="N25" s="140">
        <v>35.11</v>
      </c>
      <c r="O25" s="16">
        <v>0</v>
      </c>
      <c r="P25" s="81">
        <v>0</v>
      </c>
      <c r="Q25" s="81"/>
      <c r="R25" s="81"/>
      <c r="S25" s="16">
        <f t="shared" si="3"/>
        <v>5046.67</v>
      </c>
      <c r="T25" s="141">
        <f t="shared" si="4"/>
        <v>380.28</v>
      </c>
      <c r="U25" s="16">
        <v>761.08</v>
      </c>
      <c r="V25" s="16">
        <v>1031.35</v>
      </c>
      <c r="W25" s="16">
        <v>2477.4</v>
      </c>
      <c r="X25" s="16">
        <v>1716.29</v>
      </c>
      <c r="Y25" s="16">
        <v>608.84</v>
      </c>
      <c r="Z25" s="16">
        <v>0</v>
      </c>
      <c r="AA25" s="81">
        <v>0</v>
      </c>
      <c r="AB25" s="81">
        <f>SUM(U25:AA25)</f>
        <v>6594.96</v>
      </c>
      <c r="AC25" s="150">
        <f>D25+T25+AB25</f>
        <v>7454.510000000001</v>
      </c>
      <c r="AD25" s="103">
        <f t="shared" si="7"/>
        <v>0</v>
      </c>
      <c r="AE25" s="103">
        <f t="shared" si="8"/>
        <v>0</v>
      </c>
      <c r="AF25" s="103"/>
      <c r="AG25" s="16">
        <f t="shared" si="19"/>
        <v>409.67999999999995</v>
      </c>
      <c r="AH25" s="16">
        <f>B25*0.2</f>
        <v>136.56</v>
      </c>
      <c r="AI25" s="16">
        <f>0.85*B25</f>
        <v>580.38</v>
      </c>
      <c r="AJ25" s="16">
        <f t="shared" si="9"/>
        <v>104.46839999999999</v>
      </c>
      <c r="AK25" s="16">
        <f>0.83*B25</f>
        <v>566.7239999999999</v>
      </c>
      <c r="AL25" s="16">
        <f t="shared" si="10"/>
        <v>102.01031999999998</v>
      </c>
      <c r="AM25" s="16">
        <f>(1.91)*B25</f>
        <v>1304.148</v>
      </c>
      <c r="AN25" s="16">
        <f t="shared" si="11"/>
        <v>234.74663999999999</v>
      </c>
      <c r="AO25" s="16"/>
      <c r="AP25" s="16">
        <f t="shared" si="12"/>
        <v>0</v>
      </c>
      <c r="AQ25" s="179"/>
      <c r="AR25" s="179">
        <f t="shared" si="13"/>
        <v>0</v>
      </c>
      <c r="AS25" s="25">
        <v>0</v>
      </c>
      <c r="AT25" s="25"/>
      <c r="AU25" s="25">
        <f t="shared" si="14"/>
        <v>0</v>
      </c>
      <c r="AV25" s="144">
        <v>514</v>
      </c>
      <c r="AW25" s="145">
        <v>0.3</v>
      </c>
      <c r="AX25" s="16">
        <f t="shared" si="15"/>
        <v>203.79072</v>
      </c>
      <c r="AY25" s="146"/>
      <c r="AZ25" s="81"/>
      <c r="BA25" s="81">
        <f t="shared" si="17"/>
        <v>0</v>
      </c>
      <c r="BB25" s="81">
        <f>SUM(AG25:BA25)-AV25-AW25</f>
        <v>3642.5080799999996</v>
      </c>
      <c r="BC25" s="180"/>
      <c r="BD25" s="81">
        <f t="shared" si="20"/>
        <v>3642.5080799999996</v>
      </c>
      <c r="BE25" s="147">
        <f t="shared" si="21"/>
        <v>3812.0019200000015</v>
      </c>
      <c r="BF25" s="161">
        <f>AB25-S25</f>
        <v>1548.29</v>
      </c>
    </row>
    <row r="26" spans="1:58" s="24" customFormat="1" ht="12.75">
      <c r="A26" s="19" t="s">
        <v>3</v>
      </c>
      <c r="B26" s="20"/>
      <c r="C26" s="20">
        <f>SUM(C14:C25)</f>
        <v>70827.93000000001</v>
      </c>
      <c r="D26" s="20">
        <f aca="true" t="shared" si="23" ref="D26:BF26">SUM(D14:D25)</f>
        <v>7017.211249999999</v>
      </c>
      <c r="E26" s="20">
        <f t="shared" si="23"/>
        <v>6702.02</v>
      </c>
      <c r="F26" s="20">
        <f t="shared" si="23"/>
        <v>549.63</v>
      </c>
      <c r="G26" s="20">
        <f t="shared" si="23"/>
        <v>9068.300000000001</v>
      </c>
      <c r="H26" s="20">
        <f t="shared" si="23"/>
        <v>744.33</v>
      </c>
      <c r="I26" s="20">
        <f t="shared" si="23"/>
        <v>21802.11</v>
      </c>
      <c r="J26" s="20">
        <f t="shared" si="23"/>
        <v>1788.6099999999997</v>
      </c>
      <c r="K26" s="20">
        <f t="shared" si="23"/>
        <v>15100.15</v>
      </c>
      <c r="L26" s="20">
        <f t="shared" si="23"/>
        <v>1238.9900000000002</v>
      </c>
      <c r="M26" s="20">
        <f t="shared" si="23"/>
        <v>5361.560000000001</v>
      </c>
      <c r="N26" s="20">
        <f t="shared" si="23"/>
        <v>439.7300000000001</v>
      </c>
      <c r="O26" s="20">
        <f t="shared" si="23"/>
        <v>0</v>
      </c>
      <c r="P26" s="20">
        <f t="shared" si="23"/>
        <v>0</v>
      </c>
      <c r="Q26" s="20">
        <f t="shared" si="23"/>
        <v>0</v>
      </c>
      <c r="R26" s="20">
        <f t="shared" si="23"/>
        <v>0</v>
      </c>
      <c r="S26" s="20">
        <f t="shared" si="23"/>
        <v>58034.14</v>
      </c>
      <c r="T26" s="20">
        <f t="shared" si="23"/>
        <v>4761.289999999999</v>
      </c>
      <c r="U26" s="20">
        <f t="shared" si="23"/>
        <v>6423.4400000000005</v>
      </c>
      <c r="V26" s="20">
        <f t="shared" si="23"/>
        <v>8688.93</v>
      </c>
      <c r="W26" s="20">
        <f t="shared" si="23"/>
        <v>20893.41</v>
      </c>
      <c r="X26" s="20">
        <f t="shared" si="23"/>
        <v>14469.93</v>
      </c>
      <c r="Y26" s="20">
        <f t="shared" si="23"/>
        <v>5138.64</v>
      </c>
      <c r="Z26" s="20">
        <f t="shared" si="23"/>
        <v>0</v>
      </c>
      <c r="AA26" s="20">
        <f t="shared" si="23"/>
        <v>0</v>
      </c>
      <c r="AB26" s="20">
        <f t="shared" si="23"/>
        <v>55614.350000000006</v>
      </c>
      <c r="AC26" s="20">
        <f t="shared" si="23"/>
        <v>67392.85124999999</v>
      </c>
      <c r="AD26" s="20">
        <f t="shared" si="23"/>
        <v>0</v>
      </c>
      <c r="AE26" s="20">
        <f t="shared" si="23"/>
        <v>0</v>
      </c>
      <c r="AF26" s="20">
        <f t="shared" si="23"/>
        <v>0</v>
      </c>
      <c r="AG26" s="20">
        <f t="shared" si="23"/>
        <v>4749.371999999999</v>
      </c>
      <c r="AH26" s="20">
        <f t="shared" si="23"/>
        <v>1590.0916935999999</v>
      </c>
      <c r="AI26" s="20">
        <f t="shared" si="23"/>
        <v>6639.831566000001</v>
      </c>
      <c r="AJ26" s="20">
        <f t="shared" si="23"/>
        <v>1195.1696818799999</v>
      </c>
      <c r="AK26" s="20">
        <f t="shared" si="23"/>
        <v>6453.97394924</v>
      </c>
      <c r="AL26" s="20">
        <f t="shared" si="23"/>
        <v>1161.7153108631996</v>
      </c>
      <c r="AM26" s="20">
        <f t="shared" si="23"/>
        <v>14849.96424674237</v>
      </c>
      <c r="AN26" s="20">
        <f t="shared" si="23"/>
        <v>2672.9935644136267</v>
      </c>
      <c r="AO26" s="20">
        <f t="shared" si="23"/>
        <v>1847.86</v>
      </c>
      <c r="AP26" s="20">
        <f t="shared" si="23"/>
        <v>332.61479999999995</v>
      </c>
      <c r="AQ26" s="221">
        <f t="shared" si="23"/>
        <v>0</v>
      </c>
      <c r="AR26" s="221">
        <f t="shared" si="23"/>
        <v>0</v>
      </c>
      <c r="AS26" s="21">
        <f t="shared" si="23"/>
        <v>19761.739999999998</v>
      </c>
      <c r="AT26" s="21">
        <f t="shared" si="23"/>
        <v>0</v>
      </c>
      <c r="AU26" s="21">
        <f t="shared" si="23"/>
        <v>3557.1132</v>
      </c>
      <c r="AV26" s="20">
        <f t="shared" si="23"/>
        <v>4400</v>
      </c>
      <c r="AW26" s="20">
        <f t="shared" si="23"/>
        <v>3.599999999999999</v>
      </c>
      <c r="AX26" s="20">
        <f t="shared" si="23"/>
        <v>1744.512</v>
      </c>
      <c r="AY26" s="20">
        <f t="shared" si="23"/>
        <v>0</v>
      </c>
      <c r="AZ26" s="20">
        <f t="shared" si="23"/>
        <v>0</v>
      </c>
      <c r="BA26" s="20">
        <f t="shared" si="23"/>
        <v>0</v>
      </c>
      <c r="BB26" s="20">
        <f t="shared" si="23"/>
        <v>66556.95201273919</v>
      </c>
      <c r="BC26" s="20">
        <f t="shared" si="23"/>
        <v>0</v>
      </c>
      <c r="BD26" s="20">
        <f t="shared" si="23"/>
        <v>66556.95201273919</v>
      </c>
      <c r="BE26" s="20">
        <f t="shared" si="23"/>
        <v>835.8992372608063</v>
      </c>
      <c r="BF26" s="215">
        <f t="shared" si="23"/>
        <v>-2419.790000000002</v>
      </c>
    </row>
    <row r="27" spans="1:58" s="24" customFormat="1" ht="12.75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4"/>
      <c r="AE27" s="104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6"/>
      <c r="AQ27" s="222"/>
      <c r="AR27" s="222"/>
      <c r="AS27" s="76"/>
      <c r="AT27" s="76"/>
      <c r="AU27" s="76"/>
      <c r="AV27" s="23"/>
      <c r="AW27" s="23"/>
      <c r="AX27" s="84"/>
      <c r="AY27" s="53"/>
      <c r="AZ27" s="53"/>
      <c r="BA27" s="53"/>
      <c r="BB27" s="53"/>
      <c r="BC27" s="53"/>
      <c r="BD27" s="53"/>
      <c r="BE27" s="53"/>
      <c r="BF27" s="216"/>
    </row>
    <row r="28" spans="1:58" s="24" customFormat="1" ht="13.5" thickBot="1">
      <c r="A28" s="27" t="s">
        <v>52</v>
      </c>
      <c r="B28" s="28"/>
      <c r="C28" s="28">
        <f>C12+C26</f>
        <v>88484.31000000001</v>
      </c>
      <c r="D28" s="28">
        <f aca="true" t="shared" si="24" ref="D28:BF28">D12+D26</f>
        <v>11267.1607706</v>
      </c>
      <c r="E28" s="28">
        <f t="shared" si="24"/>
        <v>8218.060000000001</v>
      </c>
      <c r="F28" s="28">
        <f t="shared" si="24"/>
        <v>648.75</v>
      </c>
      <c r="G28" s="28">
        <f t="shared" si="24"/>
        <v>11115.02</v>
      </c>
      <c r="H28" s="28">
        <f t="shared" si="24"/>
        <v>878.1300000000001</v>
      </c>
      <c r="I28" s="28">
        <f t="shared" si="24"/>
        <v>26729.23</v>
      </c>
      <c r="J28" s="28">
        <f t="shared" si="24"/>
        <v>2110.7499999999995</v>
      </c>
      <c r="K28" s="28">
        <f t="shared" si="24"/>
        <v>18511.239999999998</v>
      </c>
      <c r="L28" s="28">
        <f t="shared" si="24"/>
        <v>1462.0100000000002</v>
      </c>
      <c r="M28" s="28">
        <f t="shared" si="24"/>
        <v>6574.370000000001</v>
      </c>
      <c r="N28" s="28">
        <f t="shared" si="24"/>
        <v>519.0200000000001</v>
      </c>
      <c r="O28" s="28">
        <f t="shared" si="24"/>
        <v>0</v>
      </c>
      <c r="P28" s="28">
        <f t="shared" si="24"/>
        <v>0</v>
      </c>
      <c r="Q28" s="28">
        <f t="shared" si="24"/>
        <v>0</v>
      </c>
      <c r="R28" s="28">
        <f t="shared" si="24"/>
        <v>0</v>
      </c>
      <c r="S28" s="28">
        <f t="shared" si="24"/>
        <v>71147.92</v>
      </c>
      <c r="T28" s="28">
        <f t="shared" si="24"/>
        <v>5618.659999999999</v>
      </c>
      <c r="U28" s="28">
        <f t="shared" si="24"/>
        <v>7291.950000000001</v>
      </c>
      <c r="V28" s="28">
        <f t="shared" si="24"/>
        <v>9861.470000000001</v>
      </c>
      <c r="W28" s="28">
        <f t="shared" si="24"/>
        <v>23716.04</v>
      </c>
      <c r="X28" s="28">
        <f t="shared" si="24"/>
        <v>16424.07</v>
      </c>
      <c r="Y28" s="28">
        <f t="shared" si="24"/>
        <v>5833.4400000000005</v>
      </c>
      <c r="Z28" s="28">
        <f t="shared" si="24"/>
        <v>0</v>
      </c>
      <c r="AA28" s="28">
        <f t="shared" si="24"/>
        <v>0</v>
      </c>
      <c r="AB28" s="28">
        <f t="shared" si="24"/>
        <v>63126.97000000001</v>
      </c>
      <c r="AC28" s="28">
        <f t="shared" si="24"/>
        <v>80012.7907706</v>
      </c>
      <c r="AD28" s="28">
        <f t="shared" si="24"/>
        <v>0</v>
      </c>
      <c r="AE28" s="28">
        <f t="shared" si="24"/>
        <v>0</v>
      </c>
      <c r="AF28" s="28">
        <f t="shared" si="24"/>
        <v>0</v>
      </c>
      <c r="AG28" s="28">
        <f t="shared" si="24"/>
        <v>5974.091999999999</v>
      </c>
      <c r="AH28" s="28">
        <f t="shared" si="24"/>
        <v>2010.3747736</v>
      </c>
      <c r="AI28" s="28">
        <f t="shared" si="24"/>
        <v>8376.838334</v>
      </c>
      <c r="AJ28" s="28">
        <f>AJ12+AJ26</f>
        <v>1507.8309001199998</v>
      </c>
      <c r="AK28" s="28">
        <f t="shared" si="24"/>
        <v>8475.30028172</v>
      </c>
      <c r="AL28" s="28">
        <f t="shared" si="24"/>
        <v>1525.5540507095996</v>
      </c>
      <c r="AM28" s="28">
        <f t="shared" si="24"/>
        <v>18562.20779966237</v>
      </c>
      <c r="AN28" s="28">
        <f t="shared" si="24"/>
        <v>3341.1974039392267</v>
      </c>
      <c r="AO28" s="28">
        <f t="shared" si="24"/>
        <v>1847.86</v>
      </c>
      <c r="AP28" s="28">
        <f t="shared" si="24"/>
        <v>332.61479999999995</v>
      </c>
      <c r="AQ28" s="226">
        <f t="shared" si="24"/>
        <v>0</v>
      </c>
      <c r="AR28" s="226">
        <f t="shared" si="24"/>
        <v>0</v>
      </c>
      <c r="AS28" s="225">
        <f t="shared" si="24"/>
        <v>29892.739999999998</v>
      </c>
      <c r="AT28" s="225">
        <f t="shared" si="24"/>
        <v>0</v>
      </c>
      <c r="AU28" s="225">
        <f t="shared" si="24"/>
        <v>5380.6932</v>
      </c>
      <c r="AV28" s="28">
        <f t="shared" si="24"/>
        <v>4400</v>
      </c>
      <c r="AW28" s="28">
        <f t="shared" si="24"/>
        <v>3.599999999999999</v>
      </c>
      <c r="AX28" s="28">
        <f t="shared" si="24"/>
        <v>1744.512</v>
      </c>
      <c r="AY28" s="28">
        <f t="shared" si="24"/>
        <v>0</v>
      </c>
      <c r="AZ28" s="28">
        <f t="shared" si="24"/>
        <v>0</v>
      </c>
      <c r="BA28" s="28">
        <f t="shared" si="24"/>
        <v>0</v>
      </c>
      <c r="BB28" s="28">
        <f t="shared" si="24"/>
        <v>88971.81554375119</v>
      </c>
      <c r="BC28" s="28">
        <f t="shared" si="24"/>
        <v>0</v>
      </c>
      <c r="BD28" s="28">
        <f t="shared" si="24"/>
        <v>88971.81554375119</v>
      </c>
      <c r="BE28" s="28">
        <f t="shared" si="24"/>
        <v>-8959.024773151192</v>
      </c>
      <c r="BF28" s="28">
        <f t="shared" si="24"/>
        <v>-8020.950000000002</v>
      </c>
    </row>
    <row r="29" spans="1:58" ht="12.75">
      <c r="A29" s="8" t="s">
        <v>93</v>
      </c>
      <c r="B29" s="151"/>
      <c r="C29" s="152"/>
      <c r="D29" s="152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4"/>
      <c r="P29" s="155"/>
      <c r="Q29" s="156"/>
      <c r="R29" s="156"/>
      <c r="S29" s="156"/>
      <c r="T29" s="156"/>
      <c r="U29" s="157"/>
      <c r="V29" s="157"/>
      <c r="W29" s="157"/>
      <c r="X29" s="157"/>
      <c r="Y29" s="157"/>
      <c r="Z29" s="157"/>
      <c r="AA29" s="158"/>
      <c r="AB29" s="158"/>
      <c r="AC29" s="106"/>
      <c r="AD29" s="107"/>
      <c r="AE29" s="107"/>
      <c r="AF29" s="54"/>
      <c r="AG29" s="54"/>
      <c r="AH29" s="54"/>
      <c r="AI29" s="54"/>
      <c r="AJ29" s="54"/>
      <c r="AK29" s="54"/>
      <c r="AL29" s="54"/>
      <c r="AM29" s="54"/>
      <c r="AN29" s="70"/>
      <c r="AO29" s="70"/>
      <c r="AP29" s="70"/>
      <c r="AQ29" s="219"/>
      <c r="AR29" s="220"/>
      <c r="AS29" s="100"/>
      <c r="AT29" s="100"/>
      <c r="AU29" s="159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160"/>
    </row>
    <row r="30" spans="1:58" ht="12.75">
      <c r="A30" s="14" t="s">
        <v>43</v>
      </c>
      <c r="B30" s="237">
        <v>682.8</v>
      </c>
      <c r="C30" s="238">
        <f>B30*8.65</f>
        <v>5906.22</v>
      </c>
      <c r="D30" s="239">
        <f>C30-E30-F30-G30-H30-I30-J30-K30-L30-M30-N30</f>
        <v>443.1600000000003</v>
      </c>
      <c r="E30" s="240">
        <v>611.17</v>
      </c>
      <c r="F30" s="240">
        <v>19.49</v>
      </c>
      <c r="G30" s="240">
        <v>827.59</v>
      </c>
      <c r="H30" s="240">
        <v>26.42</v>
      </c>
      <c r="I30" s="240">
        <v>1988.81</v>
      </c>
      <c r="J30" s="240">
        <v>63.45</v>
      </c>
      <c r="K30" s="240">
        <v>1377.65</v>
      </c>
      <c r="L30" s="240">
        <v>43.96</v>
      </c>
      <c r="M30" s="241">
        <v>488.93</v>
      </c>
      <c r="N30" s="241">
        <v>15.59</v>
      </c>
      <c r="O30" s="240">
        <v>0</v>
      </c>
      <c r="P30" s="242">
        <v>0</v>
      </c>
      <c r="Q30" s="242"/>
      <c r="R30" s="242"/>
      <c r="S30" s="240">
        <f aca="true" t="shared" si="25" ref="S30:S41">E30+G30+I30+K30+M30+O30+Q30</f>
        <v>5294.15</v>
      </c>
      <c r="T30" s="243">
        <f aca="true" t="shared" si="26" ref="T30:T41">P30+N30+L30+J30+H30+F30+R30</f>
        <v>168.91000000000003</v>
      </c>
      <c r="U30" s="240">
        <v>351.84</v>
      </c>
      <c r="V30" s="240">
        <v>476.63</v>
      </c>
      <c r="W30" s="240">
        <v>1145.14</v>
      </c>
      <c r="X30" s="240">
        <v>793.33</v>
      </c>
      <c r="Y30" s="240">
        <v>281.49</v>
      </c>
      <c r="Z30" s="240">
        <v>0</v>
      </c>
      <c r="AA30" s="242">
        <v>0</v>
      </c>
      <c r="AB30" s="242">
        <f>SUM(U30:AA30)</f>
        <v>3048.4300000000003</v>
      </c>
      <c r="AC30" s="244">
        <f aca="true" t="shared" si="27" ref="AC30:AC41">D30+T30+AB30</f>
        <v>3660.500000000001</v>
      </c>
      <c r="AD30" s="245">
        <f aca="true" t="shared" si="28" ref="AD30:AD41">P30+Z30</f>
        <v>0</v>
      </c>
      <c r="AE30" s="245">
        <f aca="true" t="shared" si="29" ref="AE30:AE41">R30+AA30</f>
        <v>0</v>
      </c>
      <c r="AF30" s="245"/>
      <c r="AG30" s="246">
        <f aca="true" t="shared" si="30" ref="AG30:AG41">0.6*B30</f>
        <v>409.67999999999995</v>
      </c>
      <c r="AH30" s="246">
        <f aca="true" t="shared" si="31" ref="AH30:AH41">B30*0.2</f>
        <v>136.56</v>
      </c>
      <c r="AI30" s="246">
        <f aca="true" t="shared" si="32" ref="AI30:AI41">1*B30</f>
        <v>682.8</v>
      </c>
      <c r="AJ30" s="246">
        <v>0</v>
      </c>
      <c r="AK30" s="246">
        <f aca="true" t="shared" si="33" ref="AK30:AK41">0.98*B30</f>
        <v>669.1439999999999</v>
      </c>
      <c r="AL30" s="246">
        <v>0</v>
      </c>
      <c r="AM30" s="246">
        <f aca="true" t="shared" si="34" ref="AM30:AM41">2.25*B30</f>
        <v>1536.3</v>
      </c>
      <c r="AN30" s="246">
        <v>0</v>
      </c>
      <c r="AO30" s="246"/>
      <c r="AP30" s="246">
        <v>0</v>
      </c>
      <c r="AQ30" s="247"/>
      <c r="AR30" s="247"/>
      <c r="AS30" s="248">
        <v>0</v>
      </c>
      <c r="AT30" s="248"/>
      <c r="AU30" s="248">
        <f aca="true" t="shared" si="35" ref="AU30:AU41">AT30*0.18</f>
        <v>0</v>
      </c>
      <c r="AV30" s="249">
        <v>508</v>
      </c>
      <c r="AW30" s="250">
        <v>0.3</v>
      </c>
      <c r="AX30" s="246">
        <f aca="true" t="shared" si="36" ref="AX30:AX41">AV30*AW30*1.4</f>
        <v>213.35999999999999</v>
      </c>
      <c r="AY30" s="251"/>
      <c r="AZ30" s="252"/>
      <c r="BA30" s="252">
        <f aca="true" t="shared" si="37" ref="BA30:BA41">AZ30*0.18</f>
        <v>0</v>
      </c>
      <c r="BB30" s="252">
        <f>SUM(AG30:BA30)-AV30-AW30</f>
        <v>3647.843999999999</v>
      </c>
      <c r="BC30" s="253"/>
      <c r="BD30" s="181"/>
      <c r="BE30" s="147">
        <f>(AC30-BB30)+(AF30-BC30)</f>
        <v>12.656000000001768</v>
      </c>
      <c r="BF30" s="161">
        <f>AB30-S30</f>
        <v>-2245.7199999999993</v>
      </c>
    </row>
    <row r="31" spans="1:58" ht="12.75">
      <c r="A31" s="14" t="s">
        <v>44</v>
      </c>
      <c r="B31" s="254">
        <v>682.8</v>
      </c>
      <c r="C31" s="238">
        <f>B31*8.65</f>
        <v>5906.22</v>
      </c>
      <c r="D31" s="255">
        <f aca="true" t="shared" si="38" ref="D31:D38">C31-E31-F31-G31-H31-I31-J31-K31-L31-M31-N31</f>
        <v>442.0400000000003</v>
      </c>
      <c r="E31" s="256">
        <v>606.61</v>
      </c>
      <c r="F31" s="240">
        <v>24.18</v>
      </c>
      <c r="G31" s="240">
        <v>821.41</v>
      </c>
      <c r="H31" s="240">
        <v>32.77</v>
      </c>
      <c r="I31" s="240">
        <v>1973.98</v>
      </c>
      <c r="J31" s="240">
        <v>78.7</v>
      </c>
      <c r="K31" s="240">
        <v>1367.37</v>
      </c>
      <c r="L31" s="240">
        <v>54.53</v>
      </c>
      <c r="M31" s="241">
        <v>485.29</v>
      </c>
      <c r="N31" s="241">
        <v>19.34</v>
      </c>
      <c r="O31" s="240">
        <v>0</v>
      </c>
      <c r="P31" s="242">
        <v>0</v>
      </c>
      <c r="Q31" s="242">
        <v>0</v>
      </c>
      <c r="R31" s="242">
        <v>0</v>
      </c>
      <c r="S31" s="240">
        <f t="shared" si="25"/>
        <v>5254.66</v>
      </c>
      <c r="T31" s="243">
        <f t="shared" si="26"/>
        <v>209.52</v>
      </c>
      <c r="U31" s="240">
        <v>444.29</v>
      </c>
      <c r="V31" s="240">
        <v>601.87</v>
      </c>
      <c r="W31" s="240">
        <v>1446.05</v>
      </c>
      <c r="X31" s="240">
        <v>1001.8</v>
      </c>
      <c r="Y31" s="240">
        <v>355.43</v>
      </c>
      <c r="Z31" s="240">
        <v>0</v>
      </c>
      <c r="AA31" s="242">
        <v>0</v>
      </c>
      <c r="AB31" s="242">
        <f>SUM(U31:AA31)</f>
        <v>3849.44</v>
      </c>
      <c r="AC31" s="244">
        <f t="shared" si="27"/>
        <v>4501</v>
      </c>
      <c r="AD31" s="245">
        <f t="shared" si="28"/>
        <v>0</v>
      </c>
      <c r="AE31" s="245">
        <f t="shared" si="29"/>
        <v>0</v>
      </c>
      <c r="AF31" s="245"/>
      <c r="AG31" s="246">
        <f t="shared" si="30"/>
        <v>409.67999999999995</v>
      </c>
      <c r="AH31" s="246">
        <f t="shared" si="31"/>
        <v>136.56</v>
      </c>
      <c r="AI31" s="246">
        <f t="shared" si="32"/>
        <v>682.8</v>
      </c>
      <c r="AJ31" s="246">
        <v>0</v>
      </c>
      <c r="AK31" s="246">
        <f t="shared" si="33"/>
        <v>669.1439999999999</v>
      </c>
      <c r="AL31" s="246">
        <v>0</v>
      </c>
      <c r="AM31" s="246">
        <f t="shared" si="34"/>
        <v>1536.3</v>
      </c>
      <c r="AN31" s="246">
        <v>0</v>
      </c>
      <c r="AO31" s="246"/>
      <c r="AP31" s="246"/>
      <c r="AQ31" s="247"/>
      <c r="AR31" s="247"/>
      <c r="AS31" s="248"/>
      <c r="AT31" s="248"/>
      <c r="AU31" s="248">
        <f t="shared" si="35"/>
        <v>0</v>
      </c>
      <c r="AV31" s="249">
        <v>407</v>
      </c>
      <c r="AW31" s="250">
        <v>0.3</v>
      </c>
      <c r="AX31" s="246">
        <f t="shared" si="36"/>
        <v>170.93999999999997</v>
      </c>
      <c r="AY31" s="251"/>
      <c r="AZ31" s="252"/>
      <c r="BA31" s="252">
        <f t="shared" si="37"/>
        <v>0</v>
      </c>
      <c r="BB31" s="252">
        <f>SUM(AG31:BA31)-AV31-AW31</f>
        <v>3605.4239999999995</v>
      </c>
      <c r="BC31" s="253"/>
      <c r="BD31" s="181"/>
      <c r="BE31" s="147">
        <f aca="true" t="shared" si="39" ref="BE31:BE41">(AC31-BB31)+(AF31-BC31)</f>
        <v>895.5760000000005</v>
      </c>
      <c r="BF31" s="161">
        <f aca="true" t="shared" si="40" ref="BF31:BF41">AB31-S31</f>
        <v>-1405.2199999999998</v>
      </c>
    </row>
    <row r="32" spans="1:58" ht="13.5" thickBot="1">
      <c r="A32" s="190" t="s">
        <v>45</v>
      </c>
      <c r="B32" s="237">
        <v>682.8</v>
      </c>
      <c r="C32" s="238">
        <f>B32*8.65</f>
        <v>5906.22</v>
      </c>
      <c r="D32" s="255">
        <f t="shared" si="38"/>
        <v>442.03999999999917</v>
      </c>
      <c r="E32" s="240">
        <v>605.98</v>
      </c>
      <c r="F32" s="240">
        <v>24.81</v>
      </c>
      <c r="G32" s="240">
        <v>820.55</v>
      </c>
      <c r="H32" s="240">
        <v>33.63</v>
      </c>
      <c r="I32" s="240">
        <v>1971.91</v>
      </c>
      <c r="J32" s="240">
        <v>80.77</v>
      </c>
      <c r="K32" s="240">
        <v>1365.94</v>
      </c>
      <c r="L32" s="240">
        <v>55.96</v>
      </c>
      <c r="M32" s="241">
        <v>484.78</v>
      </c>
      <c r="N32" s="241">
        <v>19.85</v>
      </c>
      <c r="O32" s="240">
        <v>0</v>
      </c>
      <c r="P32" s="242">
        <v>0</v>
      </c>
      <c r="Q32" s="242">
        <v>0</v>
      </c>
      <c r="R32" s="242">
        <v>0</v>
      </c>
      <c r="S32" s="240">
        <f t="shared" si="25"/>
        <v>5249.16</v>
      </c>
      <c r="T32" s="243">
        <f t="shared" si="26"/>
        <v>215.01999999999998</v>
      </c>
      <c r="U32" s="240">
        <v>743.46</v>
      </c>
      <c r="V32" s="240">
        <v>1005.77</v>
      </c>
      <c r="W32" s="240">
        <v>2418.37</v>
      </c>
      <c r="X32" s="240">
        <v>1855.74</v>
      </c>
      <c r="Y32" s="240">
        <v>594.75</v>
      </c>
      <c r="Z32" s="240">
        <v>0</v>
      </c>
      <c r="AA32" s="242">
        <v>0</v>
      </c>
      <c r="AB32" s="242">
        <f>SUM(U32:AA32)</f>
        <v>6618.09</v>
      </c>
      <c r="AC32" s="244">
        <f t="shared" si="27"/>
        <v>7275.15</v>
      </c>
      <c r="AD32" s="245">
        <f t="shared" si="28"/>
        <v>0</v>
      </c>
      <c r="AE32" s="245">
        <f t="shared" si="29"/>
        <v>0</v>
      </c>
      <c r="AF32" s="245"/>
      <c r="AG32" s="246">
        <f t="shared" si="30"/>
        <v>409.67999999999995</v>
      </c>
      <c r="AH32" s="246">
        <f t="shared" si="31"/>
        <v>136.56</v>
      </c>
      <c r="AI32" s="246">
        <f t="shared" si="32"/>
        <v>682.8</v>
      </c>
      <c r="AJ32" s="246">
        <v>0</v>
      </c>
      <c r="AK32" s="246">
        <f t="shared" si="33"/>
        <v>669.1439999999999</v>
      </c>
      <c r="AL32" s="246">
        <v>0</v>
      </c>
      <c r="AM32" s="246">
        <f t="shared" si="34"/>
        <v>1536.3</v>
      </c>
      <c r="AN32" s="246">
        <v>0</v>
      </c>
      <c r="AO32" s="246"/>
      <c r="AP32" s="246"/>
      <c r="AQ32" s="247"/>
      <c r="AR32" s="247"/>
      <c r="AS32" s="248">
        <v>1633</v>
      </c>
      <c r="AT32" s="248"/>
      <c r="AU32" s="248">
        <f t="shared" si="35"/>
        <v>0</v>
      </c>
      <c r="AV32" s="249">
        <v>383</v>
      </c>
      <c r="AW32" s="250">
        <v>0.3</v>
      </c>
      <c r="AX32" s="246">
        <f t="shared" si="36"/>
        <v>160.85999999999999</v>
      </c>
      <c r="AY32" s="251"/>
      <c r="AZ32" s="252"/>
      <c r="BA32" s="252">
        <f t="shared" si="37"/>
        <v>0</v>
      </c>
      <c r="BB32" s="252">
        <f>SUM(AG32:BA32)-AV32-AW32</f>
        <v>5228.343999999999</v>
      </c>
      <c r="BC32" s="253"/>
      <c r="BD32" s="204"/>
      <c r="BE32" s="147">
        <f t="shared" si="39"/>
        <v>2046.8060000000005</v>
      </c>
      <c r="BF32" s="161">
        <f t="shared" si="40"/>
        <v>1368.9300000000003</v>
      </c>
    </row>
    <row r="33" spans="1:58" ht="12.75">
      <c r="A33" s="189" t="s">
        <v>46</v>
      </c>
      <c r="B33" s="237">
        <v>682.8</v>
      </c>
      <c r="C33" s="238">
        <f>B33*8.65</f>
        <v>5906.22</v>
      </c>
      <c r="D33" s="255">
        <f t="shared" si="38"/>
        <v>424.37999999999937</v>
      </c>
      <c r="E33" s="240">
        <v>608.05</v>
      </c>
      <c r="F33" s="240">
        <v>24.81</v>
      </c>
      <c r="G33" s="240">
        <v>823.26</v>
      </c>
      <c r="H33" s="240">
        <v>33.63</v>
      </c>
      <c r="I33" s="240">
        <v>1978.56</v>
      </c>
      <c r="J33" s="240">
        <v>80.77</v>
      </c>
      <c r="K33" s="240">
        <v>1370.51</v>
      </c>
      <c r="L33" s="240">
        <v>55.96</v>
      </c>
      <c r="M33" s="241">
        <v>486.44</v>
      </c>
      <c r="N33" s="241">
        <v>19.85</v>
      </c>
      <c r="O33" s="240">
        <v>0</v>
      </c>
      <c r="P33" s="242">
        <v>0</v>
      </c>
      <c r="Q33" s="242"/>
      <c r="R33" s="242"/>
      <c r="S33" s="240">
        <f t="shared" si="25"/>
        <v>5266.82</v>
      </c>
      <c r="T33" s="243">
        <f t="shared" si="26"/>
        <v>215.01999999999998</v>
      </c>
      <c r="U33" s="240">
        <v>453.23</v>
      </c>
      <c r="V33" s="240">
        <v>611.91</v>
      </c>
      <c r="W33" s="240">
        <v>1473.05</v>
      </c>
      <c r="X33" s="240">
        <v>1019.8</v>
      </c>
      <c r="Y33" s="240">
        <v>362.59</v>
      </c>
      <c r="Z33" s="240">
        <v>0</v>
      </c>
      <c r="AA33" s="242">
        <v>0</v>
      </c>
      <c r="AB33" s="242">
        <f>SUM(U33:AA33)</f>
        <v>3920.58</v>
      </c>
      <c r="AC33" s="244">
        <f t="shared" si="27"/>
        <v>4559.98</v>
      </c>
      <c r="AD33" s="245">
        <f t="shared" si="28"/>
        <v>0</v>
      </c>
      <c r="AE33" s="245">
        <f t="shared" si="29"/>
        <v>0</v>
      </c>
      <c r="AF33" s="245"/>
      <c r="AG33" s="246">
        <f t="shared" si="30"/>
        <v>409.67999999999995</v>
      </c>
      <c r="AH33" s="246">
        <f t="shared" si="31"/>
        <v>136.56</v>
      </c>
      <c r="AI33" s="246">
        <f t="shared" si="32"/>
        <v>682.8</v>
      </c>
      <c r="AJ33" s="246">
        <v>0</v>
      </c>
      <c r="AK33" s="246">
        <f t="shared" si="33"/>
        <v>669.1439999999999</v>
      </c>
      <c r="AL33" s="246">
        <v>0</v>
      </c>
      <c r="AM33" s="246">
        <f t="shared" si="34"/>
        <v>1536.3</v>
      </c>
      <c r="AN33" s="246">
        <v>0</v>
      </c>
      <c r="AO33" s="246"/>
      <c r="AP33" s="246"/>
      <c r="AQ33" s="247"/>
      <c r="AR33" s="247"/>
      <c r="AS33" s="248">
        <v>475</v>
      </c>
      <c r="AT33" s="248"/>
      <c r="AU33" s="248">
        <f t="shared" si="35"/>
        <v>0</v>
      </c>
      <c r="AV33" s="249">
        <v>307</v>
      </c>
      <c r="AW33" s="250">
        <v>0.3</v>
      </c>
      <c r="AX33" s="246">
        <f t="shared" si="36"/>
        <v>128.94</v>
      </c>
      <c r="AY33" s="251"/>
      <c r="AZ33" s="252"/>
      <c r="BA33" s="252">
        <f t="shared" si="37"/>
        <v>0</v>
      </c>
      <c r="BB33" s="252">
        <f aca="true" t="shared" si="41" ref="BB33:BB40">SUM(AG33:BA33)-AV33-AW33</f>
        <v>4038.423999999999</v>
      </c>
      <c r="BC33" s="253"/>
      <c r="BD33" s="81"/>
      <c r="BE33" s="147">
        <f t="shared" si="39"/>
        <v>521.5560000000005</v>
      </c>
      <c r="BF33" s="161">
        <f t="shared" si="40"/>
        <v>-1346.2399999999998</v>
      </c>
    </row>
    <row r="34" spans="1:58" ht="12.75">
      <c r="A34" s="14" t="s">
        <v>47</v>
      </c>
      <c r="B34" s="237">
        <v>682.8</v>
      </c>
      <c r="C34" s="238">
        <f aca="true" t="shared" si="42" ref="C34:C41">B34*8.65</f>
        <v>5906.22</v>
      </c>
      <c r="D34" s="255">
        <f t="shared" si="38"/>
        <v>432.11</v>
      </c>
      <c r="E34" s="240">
        <v>607.15</v>
      </c>
      <c r="F34" s="240">
        <v>24.81</v>
      </c>
      <c r="G34" s="240">
        <v>822.07</v>
      </c>
      <c r="H34" s="240">
        <v>33.63</v>
      </c>
      <c r="I34" s="240">
        <v>1975.64</v>
      </c>
      <c r="J34" s="240">
        <v>80.77</v>
      </c>
      <c r="K34" s="240">
        <v>1368.51</v>
      </c>
      <c r="L34" s="240">
        <v>55.96</v>
      </c>
      <c r="M34" s="241">
        <v>485.72</v>
      </c>
      <c r="N34" s="241">
        <v>19.85</v>
      </c>
      <c r="O34" s="240">
        <v>0</v>
      </c>
      <c r="P34" s="242">
        <v>0</v>
      </c>
      <c r="Q34" s="242"/>
      <c r="R34" s="242"/>
      <c r="S34" s="240">
        <f t="shared" si="25"/>
        <v>5259.09</v>
      </c>
      <c r="T34" s="243">
        <f t="shared" si="26"/>
        <v>215.01999999999998</v>
      </c>
      <c r="U34" s="257">
        <v>617.35</v>
      </c>
      <c r="V34" s="257">
        <v>835.17</v>
      </c>
      <c r="W34" s="257">
        <v>2008.08</v>
      </c>
      <c r="X34" s="257">
        <v>1390.79</v>
      </c>
      <c r="Y34" s="257">
        <v>493.88</v>
      </c>
      <c r="Z34" s="257">
        <v>0</v>
      </c>
      <c r="AA34" s="258">
        <v>0</v>
      </c>
      <c r="AB34" s="242">
        <f aca="true" t="shared" si="43" ref="AB34:AB41">SUM(U34:AA34)</f>
        <v>5345.2699999999995</v>
      </c>
      <c r="AC34" s="244">
        <f t="shared" si="27"/>
        <v>5992.4</v>
      </c>
      <c r="AD34" s="245">
        <f t="shared" si="28"/>
        <v>0</v>
      </c>
      <c r="AE34" s="245">
        <f t="shared" si="29"/>
        <v>0</v>
      </c>
      <c r="AF34" s="245"/>
      <c r="AG34" s="246">
        <f t="shared" si="30"/>
        <v>409.67999999999995</v>
      </c>
      <c r="AH34" s="246">
        <f t="shared" si="31"/>
        <v>136.56</v>
      </c>
      <c r="AI34" s="246">
        <f t="shared" si="32"/>
        <v>682.8</v>
      </c>
      <c r="AJ34" s="246">
        <v>0</v>
      </c>
      <c r="AK34" s="246">
        <f t="shared" si="33"/>
        <v>669.1439999999999</v>
      </c>
      <c r="AL34" s="246">
        <v>0</v>
      </c>
      <c r="AM34" s="246">
        <f t="shared" si="34"/>
        <v>1536.3</v>
      </c>
      <c r="AN34" s="246">
        <v>0</v>
      </c>
      <c r="AO34" s="246"/>
      <c r="AP34" s="246"/>
      <c r="AQ34" s="247"/>
      <c r="AR34" s="247"/>
      <c r="AS34" s="248"/>
      <c r="AT34" s="248"/>
      <c r="AU34" s="248">
        <f t="shared" si="35"/>
        <v>0</v>
      </c>
      <c r="AV34" s="249">
        <v>263</v>
      </c>
      <c r="AW34" s="250">
        <v>0.3</v>
      </c>
      <c r="AX34" s="246">
        <f t="shared" si="36"/>
        <v>110.45999999999998</v>
      </c>
      <c r="AY34" s="251"/>
      <c r="AZ34" s="252"/>
      <c r="BA34" s="252">
        <f t="shared" si="37"/>
        <v>0</v>
      </c>
      <c r="BB34" s="252">
        <f t="shared" si="41"/>
        <v>3544.9439999999995</v>
      </c>
      <c r="BC34" s="253"/>
      <c r="BD34" s="18"/>
      <c r="BE34" s="147">
        <f t="shared" si="39"/>
        <v>2447.456</v>
      </c>
      <c r="BF34" s="161">
        <f t="shared" si="40"/>
        <v>86.17999999999938</v>
      </c>
    </row>
    <row r="35" spans="1:58" ht="13.5" thickBot="1">
      <c r="A35" s="14" t="s">
        <v>48</v>
      </c>
      <c r="B35" s="237">
        <v>682.8</v>
      </c>
      <c r="C35" s="238">
        <f t="shared" si="42"/>
        <v>5906.22</v>
      </c>
      <c r="D35" s="255">
        <f t="shared" si="38"/>
        <v>467.42000000000064</v>
      </c>
      <c r="E35" s="240">
        <v>584.31</v>
      </c>
      <c r="F35" s="240">
        <v>43.49</v>
      </c>
      <c r="G35" s="240">
        <v>791.36</v>
      </c>
      <c r="H35" s="240">
        <v>58.95</v>
      </c>
      <c r="I35" s="240">
        <v>1901.52</v>
      </c>
      <c r="J35" s="240">
        <v>141.6</v>
      </c>
      <c r="K35" s="240">
        <v>1317.22</v>
      </c>
      <c r="L35" s="240">
        <v>98.1</v>
      </c>
      <c r="M35" s="241">
        <v>467.45</v>
      </c>
      <c r="N35" s="241">
        <v>34.8</v>
      </c>
      <c r="O35" s="240">
        <v>0</v>
      </c>
      <c r="P35" s="242">
        <v>0</v>
      </c>
      <c r="Q35" s="240">
        <v>0</v>
      </c>
      <c r="R35" s="242">
        <v>0</v>
      </c>
      <c r="S35" s="240">
        <f t="shared" si="25"/>
        <v>5061.86</v>
      </c>
      <c r="T35" s="243">
        <f t="shared" si="26"/>
        <v>376.94</v>
      </c>
      <c r="U35" s="240">
        <v>412.55</v>
      </c>
      <c r="V35" s="240">
        <v>558.61</v>
      </c>
      <c r="W35" s="240">
        <v>1342.41</v>
      </c>
      <c r="X35" s="240">
        <v>929.87</v>
      </c>
      <c r="Y35" s="240">
        <v>330.04</v>
      </c>
      <c r="Z35" s="240">
        <v>0</v>
      </c>
      <c r="AA35" s="242">
        <v>0</v>
      </c>
      <c r="AB35" s="242">
        <f t="shared" si="43"/>
        <v>3573.48</v>
      </c>
      <c r="AC35" s="244">
        <f t="shared" si="27"/>
        <v>4417.84</v>
      </c>
      <c r="AD35" s="245">
        <f t="shared" si="28"/>
        <v>0</v>
      </c>
      <c r="AE35" s="245">
        <f t="shared" si="29"/>
        <v>0</v>
      </c>
      <c r="AF35" s="245"/>
      <c r="AG35" s="246">
        <f t="shared" si="30"/>
        <v>409.67999999999995</v>
      </c>
      <c r="AH35" s="246">
        <f t="shared" si="31"/>
        <v>136.56</v>
      </c>
      <c r="AI35" s="246">
        <f t="shared" si="32"/>
        <v>682.8</v>
      </c>
      <c r="AJ35" s="246">
        <v>0</v>
      </c>
      <c r="AK35" s="246">
        <f t="shared" si="33"/>
        <v>669.1439999999999</v>
      </c>
      <c r="AL35" s="246">
        <v>0</v>
      </c>
      <c r="AM35" s="246">
        <f t="shared" si="34"/>
        <v>1536.3</v>
      </c>
      <c r="AN35" s="246">
        <v>0</v>
      </c>
      <c r="AO35" s="246"/>
      <c r="AP35" s="246"/>
      <c r="AQ35" s="247"/>
      <c r="AR35" s="247"/>
      <c r="AS35" s="248"/>
      <c r="AT35" s="248">
        <v>24523.73</v>
      </c>
      <c r="AU35" s="248">
        <f t="shared" si="35"/>
        <v>4414.2714</v>
      </c>
      <c r="AV35" s="249">
        <v>233</v>
      </c>
      <c r="AW35" s="250">
        <v>0.3</v>
      </c>
      <c r="AX35" s="246">
        <f t="shared" si="36"/>
        <v>97.85999999999999</v>
      </c>
      <c r="AY35" s="251"/>
      <c r="AZ35" s="252"/>
      <c r="BA35" s="252">
        <f t="shared" si="37"/>
        <v>0</v>
      </c>
      <c r="BB35" s="252">
        <f t="shared" si="41"/>
        <v>32470.3454</v>
      </c>
      <c r="BC35" s="253"/>
      <c r="BD35" s="102"/>
      <c r="BE35" s="147">
        <f t="shared" si="39"/>
        <v>-28052.5054</v>
      </c>
      <c r="BF35" s="161">
        <f t="shared" si="40"/>
        <v>-1488.3799999999997</v>
      </c>
    </row>
    <row r="36" spans="1:58" ht="12.75">
      <c r="A36" s="14" t="s">
        <v>49</v>
      </c>
      <c r="B36" s="237">
        <v>682.8</v>
      </c>
      <c r="C36" s="238">
        <f t="shared" si="42"/>
        <v>5906.22</v>
      </c>
      <c r="D36" s="255">
        <f t="shared" si="38"/>
        <v>460.1700000000006</v>
      </c>
      <c r="E36" s="256">
        <v>628.66</v>
      </c>
      <c r="F36" s="240">
        <v>0</v>
      </c>
      <c r="G36" s="240">
        <v>851.41</v>
      </c>
      <c r="H36" s="240">
        <v>0</v>
      </c>
      <c r="I36" s="240">
        <v>2045.85</v>
      </c>
      <c r="J36" s="240">
        <v>0</v>
      </c>
      <c r="K36" s="240">
        <v>1417.2</v>
      </c>
      <c r="L36" s="240">
        <v>0</v>
      </c>
      <c r="M36" s="241">
        <v>502.93</v>
      </c>
      <c r="N36" s="241">
        <v>0</v>
      </c>
      <c r="O36" s="240">
        <v>0</v>
      </c>
      <c r="P36" s="242">
        <v>0</v>
      </c>
      <c r="Q36" s="242"/>
      <c r="R36" s="242"/>
      <c r="S36" s="240">
        <f t="shared" si="25"/>
        <v>5446.05</v>
      </c>
      <c r="T36" s="243">
        <f t="shared" si="26"/>
        <v>0</v>
      </c>
      <c r="U36" s="256">
        <v>697.41</v>
      </c>
      <c r="V36" s="240">
        <v>944.65</v>
      </c>
      <c r="W36" s="240">
        <v>2269.69</v>
      </c>
      <c r="X36" s="240">
        <v>1572.3</v>
      </c>
      <c r="Y36" s="240">
        <v>557.92</v>
      </c>
      <c r="Z36" s="240">
        <v>0</v>
      </c>
      <c r="AA36" s="242">
        <v>0</v>
      </c>
      <c r="AB36" s="242">
        <f t="shared" si="43"/>
        <v>6041.97</v>
      </c>
      <c r="AC36" s="244">
        <f t="shared" si="27"/>
        <v>6502.140000000001</v>
      </c>
      <c r="AD36" s="245">
        <f t="shared" si="28"/>
        <v>0</v>
      </c>
      <c r="AE36" s="245">
        <f t="shared" si="29"/>
        <v>0</v>
      </c>
      <c r="AF36" s="245"/>
      <c r="AG36" s="246">
        <f t="shared" si="30"/>
        <v>409.67999999999995</v>
      </c>
      <c r="AH36" s="246">
        <f t="shared" si="31"/>
        <v>136.56</v>
      </c>
      <c r="AI36" s="246">
        <f t="shared" si="32"/>
        <v>682.8</v>
      </c>
      <c r="AJ36" s="246">
        <v>0</v>
      </c>
      <c r="AK36" s="246">
        <f t="shared" si="33"/>
        <v>669.1439999999999</v>
      </c>
      <c r="AL36" s="246">
        <v>0</v>
      </c>
      <c r="AM36" s="246">
        <f t="shared" si="34"/>
        <v>1536.3</v>
      </c>
      <c r="AN36" s="246">
        <v>0</v>
      </c>
      <c r="AO36" s="246"/>
      <c r="AP36" s="246"/>
      <c r="AQ36" s="247"/>
      <c r="AR36" s="247"/>
      <c r="AS36" s="248"/>
      <c r="AT36" s="248"/>
      <c r="AU36" s="248">
        <f t="shared" si="35"/>
        <v>0</v>
      </c>
      <c r="AV36" s="249">
        <v>248</v>
      </c>
      <c r="AW36" s="250">
        <v>0.3</v>
      </c>
      <c r="AX36" s="246">
        <f t="shared" si="36"/>
        <v>104.15999999999998</v>
      </c>
      <c r="AY36" s="251"/>
      <c r="AZ36" s="252"/>
      <c r="BA36" s="252">
        <f t="shared" si="37"/>
        <v>0</v>
      </c>
      <c r="BB36" s="252">
        <f t="shared" si="41"/>
        <v>3538.6439999999993</v>
      </c>
      <c r="BC36" s="253"/>
      <c r="BD36" s="18"/>
      <c r="BE36" s="147">
        <f t="shared" si="39"/>
        <v>2963.496000000002</v>
      </c>
      <c r="BF36" s="161">
        <f t="shared" si="40"/>
        <v>595.9200000000001</v>
      </c>
    </row>
    <row r="37" spans="1:58" ht="12.75">
      <c r="A37" s="14" t="s">
        <v>50</v>
      </c>
      <c r="B37" s="237">
        <v>682.8</v>
      </c>
      <c r="C37" s="238">
        <f t="shared" si="42"/>
        <v>5906.22</v>
      </c>
      <c r="D37" s="255">
        <f t="shared" si="38"/>
        <v>460.1700000000006</v>
      </c>
      <c r="E37" s="256">
        <v>628.66</v>
      </c>
      <c r="F37" s="240">
        <v>0</v>
      </c>
      <c r="G37" s="240">
        <v>851.41</v>
      </c>
      <c r="H37" s="240">
        <v>0</v>
      </c>
      <c r="I37" s="240">
        <v>2045.85</v>
      </c>
      <c r="J37" s="240">
        <v>0</v>
      </c>
      <c r="K37" s="240">
        <v>1417.2</v>
      </c>
      <c r="L37" s="240">
        <v>0</v>
      </c>
      <c r="M37" s="241">
        <v>502.93</v>
      </c>
      <c r="N37" s="241">
        <v>0</v>
      </c>
      <c r="O37" s="240">
        <v>0</v>
      </c>
      <c r="P37" s="242">
        <v>0</v>
      </c>
      <c r="Q37" s="242"/>
      <c r="R37" s="242"/>
      <c r="S37" s="240">
        <f t="shared" si="25"/>
        <v>5446.05</v>
      </c>
      <c r="T37" s="243">
        <f t="shared" si="26"/>
        <v>0</v>
      </c>
      <c r="U37" s="257">
        <v>664.07</v>
      </c>
      <c r="V37" s="257">
        <v>898.8</v>
      </c>
      <c r="W37" s="257">
        <v>2160.6</v>
      </c>
      <c r="X37" s="257">
        <v>1496.47</v>
      </c>
      <c r="Y37" s="257">
        <v>531.28</v>
      </c>
      <c r="Z37" s="257">
        <v>0</v>
      </c>
      <c r="AA37" s="258">
        <v>0</v>
      </c>
      <c r="AB37" s="242">
        <f t="shared" si="43"/>
        <v>5751.219999999999</v>
      </c>
      <c r="AC37" s="244">
        <f t="shared" si="27"/>
        <v>6211.39</v>
      </c>
      <c r="AD37" s="245">
        <f t="shared" si="28"/>
        <v>0</v>
      </c>
      <c r="AE37" s="245">
        <f t="shared" si="29"/>
        <v>0</v>
      </c>
      <c r="AF37" s="245"/>
      <c r="AG37" s="246">
        <f t="shared" si="30"/>
        <v>409.67999999999995</v>
      </c>
      <c r="AH37" s="246">
        <f t="shared" si="31"/>
        <v>136.56</v>
      </c>
      <c r="AI37" s="246">
        <f t="shared" si="32"/>
        <v>682.8</v>
      </c>
      <c r="AJ37" s="246">
        <v>0</v>
      </c>
      <c r="AK37" s="246">
        <f t="shared" si="33"/>
        <v>669.1439999999999</v>
      </c>
      <c r="AL37" s="246">
        <v>0</v>
      </c>
      <c r="AM37" s="246">
        <f t="shared" si="34"/>
        <v>1536.3</v>
      </c>
      <c r="AN37" s="246">
        <v>0</v>
      </c>
      <c r="AO37" s="246"/>
      <c r="AP37" s="246"/>
      <c r="AQ37" s="247"/>
      <c r="AR37" s="247"/>
      <c r="AS37" s="248"/>
      <c r="AT37" s="248">
        <f>47.8</f>
        <v>47.8</v>
      </c>
      <c r="AU37" s="248">
        <f t="shared" si="35"/>
        <v>8.604</v>
      </c>
      <c r="AV37" s="249">
        <v>293</v>
      </c>
      <c r="AW37" s="250">
        <v>0.3</v>
      </c>
      <c r="AX37" s="246">
        <f t="shared" si="36"/>
        <v>123.05999999999997</v>
      </c>
      <c r="AY37" s="251"/>
      <c r="AZ37" s="252"/>
      <c r="BA37" s="252">
        <f t="shared" si="37"/>
        <v>0</v>
      </c>
      <c r="BB37" s="252">
        <f t="shared" si="41"/>
        <v>3613.9479999999994</v>
      </c>
      <c r="BC37" s="253"/>
      <c r="BD37" s="18"/>
      <c r="BE37" s="147">
        <f t="shared" si="39"/>
        <v>2597.442000000001</v>
      </c>
      <c r="BF37" s="161">
        <f t="shared" si="40"/>
        <v>305.16999999999916</v>
      </c>
    </row>
    <row r="38" spans="1:58" ht="13.5" thickBot="1">
      <c r="A38" s="14" t="s">
        <v>51</v>
      </c>
      <c r="B38" s="237">
        <v>682.8</v>
      </c>
      <c r="C38" s="238">
        <f t="shared" si="42"/>
        <v>5906.22</v>
      </c>
      <c r="D38" s="255">
        <f t="shared" si="38"/>
        <v>460.1800000000006</v>
      </c>
      <c r="E38" s="240">
        <v>628.66</v>
      </c>
      <c r="F38" s="240">
        <v>0</v>
      </c>
      <c r="G38" s="240">
        <v>851.41</v>
      </c>
      <c r="H38" s="240">
        <v>0</v>
      </c>
      <c r="I38" s="240">
        <v>2045.85</v>
      </c>
      <c r="J38" s="240">
        <v>0</v>
      </c>
      <c r="K38" s="240">
        <v>1417.2</v>
      </c>
      <c r="L38" s="240">
        <v>0</v>
      </c>
      <c r="M38" s="241">
        <v>502.92</v>
      </c>
      <c r="N38" s="241">
        <v>0</v>
      </c>
      <c r="O38" s="240">
        <v>0</v>
      </c>
      <c r="P38" s="242">
        <v>0</v>
      </c>
      <c r="Q38" s="242"/>
      <c r="R38" s="242"/>
      <c r="S38" s="240">
        <f t="shared" si="25"/>
        <v>5446.04</v>
      </c>
      <c r="T38" s="243">
        <f t="shared" si="26"/>
        <v>0</v>
      </c>
      <c r="U38" s="240">
        <v>464.22</v>
      </c>
      <c r="V38" s="240">
        <v>628.81</v>
      </c>
      <c r="W38" s="240">
        <v>1510.76</v>
      </c>
      <c r="X38" s="240">
        <v>1046.58</v>
      </c>
      <c r="Y38" s="240">
        <v>371.38</v>
      </c>
      <c r="Z38" s="240">
        <v>0</v>
      </c>
      <c r="AA38" s="242">
        <v>0</v>
      </c>
      <c r="AB38" s="242">
        <f t="shared" si="43"/>
        <v>4021.75</v>
      </c>
      <c r="AC38" s="244">
        <f t="shared" si="27"/>
        <v>4481.93</v>
      </c>
      <c r="AD38" s="245">
        <f t="shared" si="28"/>
        <v>0</v>
      </c>
      <c r="AE38" s="245">
        <f t="shared" si="29"/>
        <v>0</v>
      </c>
      <c r="AF38" s="245"/>
      <c r="AG38" s="246">
        <f t="shared" si="30"/>
        <v>409.67999999999995</v>
      </c>
      <c r="AH38" s="246">
        <f t="shared" si="31"/>
        <v>136.56</v>
      </c>
      <c r="AI38" s="246">
        <f t="shared" si="32"/>
        <v>682.8</v>
      </c>
      <c r="AJ38" s="246">
        <v>0</v>
      </c>
      <c r="AK38" s="246">
        <f t="shared" si="33"/>
        <v>669.1439999999999</v>
      </c>
      <c r="AL38" s="246">
        <v>0</v>
      </c>
      <c r="AM38" s="246">
        <f t="shared" si="34"/>
        <v>1536.3</v>
      </c>
      <c r="AN38" s="246">
        <v>0</v>
      </c>
      <c r="AO38" s="246"/>
      <c r="AP38" s="246"/>
      <c r="AQ38" s="247"/>
      <c r="AR38" s="247"/>
      <c r="AS38" s="248">
        <v>577</v>
      </c>
      <c r="AT38" s="248"/>
      <c r="AU38" s="259">
        <f t="shared" si="35"/>
        <v>0</v>
      </c>
      <c r="AV38" s="249">
        <v>349</v>
      </c>
      <c r="AW38" s="250">
        <v>0.3</v>
      </c>
      <c r="AX38" s="246">
        <f t="shared" si="36"/>
        <v>146.57999999999998</v>
      </c>
      <c r="AY38" s="251"/>
      <c r="AZ38" s="252"/>
      <c r="BA38" s="252">
        <f t="shared" si="37"/>
        <v>0</v>
      </c>
      <c r="BB38" s="252">
        <f t="shared" si="41"/>
        <v>4158.063999999999</v>
      </c>
      <c r="BC38" s="253"/>
      <c r="BD38" s="102"/>
      <c r="BE38" s="147">
        <f t="shared" si="39"/>
        <v>323.8660000000009</v>
      </c>
      <c r="BF38" s="161">
        <f t="shared" si="40"/>
        <v>-1424.29</v>
      </c>
    </row>
    <row r="39" spans="1:58" ht="12.75">
      <c r="A39" s="80" t="s">
        <v>39</v>
      </c>
      <c r="B39" s="237">
        <v>682.8</v>
      </c>
      <c r="C39" s="238">
        <f t="shared" si="42"/>
        <v>5906.22</v>
      </c>
      <c r="D39" s="260">
        <f>C39-E39-F39-G39-H39-I39-J39-K39-L39-M39-N39+30000</f>
        <v>30460.170000000002</v>
      </c>
      <c r="E39" s="261">
        <v>628.66</v>
      </c>
      <c r="F39" s="261">
        <v>0</v>
      </c>
      <c r="G39" s="261">
        <v>851.41</v>
      </c>
      <c r="H39" s="261">
        <v>0</v>
      </c>
      <c r="I39" s="261">
        <v>2045.85</v>
      </c>
      <c r="J39" s="261">
        <v>0</v>
      </c>
      <c r="K39" s="261">
        <v>1417.2</v>
      </c>
      <c r="L39" s="261">
        <v>0</v>
      </c>
      <c r="M39" s="262">
        <v>502.93</v>
      </c>
      <c r="N39" s="262">
        <v>0</v>
      </c>
      <c r="O39" s="261">
        <v>0</v>
      </c>
      <c r="P39" s="263">
        <v>0</v>
      </c>
      <c r="Q39" s="263"/>
      <c r="R39" s="263"/>
      <c r="S39" s="240">
        <f t="shared" si="25"/>
        <v>5446.05</v>
      </c>
      <c r="T39" s="243">
        <f t="shared" si="26"/>
        <v>0</v>
      </c>
      <c r="U39" s="240">
        <v>683.16</v>
      </c>
      <c r="V39" s="240">
        <v>924.69</v>
      </c>
      <c r="W39" s="240">
        <v>2222.69</v>
      </c>
      <c r="X39" s="240">
        <v>1539.58</v>
      </c>
      <c r="Y39" s="240">
        <v>546.51</v>
      </c>
      <c r="Z39" s="240">
        <v>0</v>
      </c>
      <c r="AA39" s="242">
        <v>0</v>
      </c>
      <c r="AB39" s="242">
        <f t="shared" si="43"/>
        <v>5916.63</v>
      </c>
      <c r="AC39" s="244">
        <f t="shared" si="27"/>
        <v>36376.8</v>
      </c>
      <c r="AD39" s="245">
        <f t="shared" si="28"/>
        <v>0</v>
      </c>
      <c r="AE39" s="245">
        <f t="shared" si="29"/>
        <v>0</v>
      </c>
      <c r="AF39" s="245"/>
      <c r="AG39" s="246">
        <f t="shared" si="30"/>
        <v>409.67999999999995</v>
      </c>
      <c r="AH39" s="246">
        <f t="shared" si="31"/>
        <v>136.56</v>
      </c>
      <c r="AI39" s="246">
        <f t="shared" si="32"/>
        <v>682.8</v>
      </c>
      <c r="AJ39" s="246">
        <v>0</v>
      </c>
      <c r="AK39" s="246">
        <f t="shared" si="33"/>
        <v>669.1439999999999</v>
      </c>
      <c r="AL39" s="246">
        <v>0</v>
      </c>
      <c r="AM39" s="246">
        <f t="shared" si="34"/>
        <v>1536.3</v>
      </c>
      <c r="AN39" s="246">
        <v>0</v>
      </c>
      <c r="AO39" s="246"/>
      <c r="AP39" s="246"/>
      <c r="AQ39" s="247"/>
      <c r="AR39" s="247"/>
      <c r="AS39" s="248"/>
      <c r="AT39" s="248"/>
      <c r="AU39" s="248">
        <f t="shared" si="35"/>
        <v>0</v>
      </c>
      <c r="AV39" s="249">
        <v>425</v>
      </c>
      <c r="AW39" s="250">
        <v>0.3</v>
      </c>
      <c r="AX39" s="246">
        <f t="shared" si="36"/>
        <v>178.5</v>
      </c>
      <c r="AY39" s="251"/>
      <c r="AZ39" s="252"/>
      <c r="BA39" s="252">
        <f t="shared" si="37"/>
        <v>0</v>
      </c>
      <c r="BB39" s="252">
        <f t="shared" si="41"/>
        <v>3612.9839999999995</v>
      </c>
      <c r="BC39" s="253"/>
      <c r="BD39" s="114"/>
      <c r="BE39" s="147">
        <f t="shared" si="39"/>
        <v>32763.816000000003</v>
      </c>
      <c r="BF39" s="161">
        <f t="shared" si="40"/>
        <v>470.5799999999999</v>
      </c>
    </row>
    <row r="40" spans="1:58" ht="12.75">
      <c r="A40" s="14" t="s">
        <v>40</v>
      </c>
      <c r="B40" s="237">
        <v>682.8</v>
      </c>
      <c r="C40" s="238">
        <f t="shared" si="42"/>
        <v>5906.22</v>
      </c>
      <c r="D40" s="255">
        <f>C40-E40-F40-G40-H40-I40-J40-K40-L40-M40-N40</f>
        <v>460.1700000000006</v>
      </c>
      <c r="E40" s="240">
        <v>628.66</v>
      </c>
      <c r="F40" s="240">
        <v>0</v>
      </c>
      <c r="G40" s="240">
        <v>851.41</v>
      </c>
      <c r="H40" s="240">
        <v>0</v>
      </c>
      <c r="I40" s="240">
        <v>2045.85</v>
      </c>
      <c r="J40" s="240">
        <v>0</v>
      </c>
      <c r="K40" s="240">
        <v>1417.2</v>
      </c>
      <c r="L40" s="240">
        <v>0</v>
      </c>
      <c r="M40" s="241">
        <v>502.93</v>
      </c>
      <c r="N40" s="241">
        <v>0</v>
      </c>
      <c r="O40" s="240">
        <v>0</v>
      </c>
      <c r="P40" s="242">
        <v>0</v>
      </c>
      <c r="Q40" s="242"/>
      <c r="R40" s="242"/>
      <c r="S40" s="240">
        <f t="shared" si="25"/>
        <v>5446.05</v>
      </c>
      <c r="T40" s="243">
        <f t="shared" si="26"/>
        <v>0</v>
      </c>
      <c r="U40" s="256">
        <v>549.75</v>
      </c>
      <c r="V40" s="240">
        <v>744.45</v>
      </c>
      <c r="W40" s="240">
        <v>1789</v>
      </c>
      <c r="X40" s="240">
        <v>1239.22</v>
      </c>
      <c r="Y40" s="240">
        <v>439.78</v>
      </c>
      <c r="Z40" s="240">
        <v>0</v>
      </c>
      <c r="AA40" s="242">
        <v>0</v>
      </c>
      <c r="AB40" s="242">
        <f t="shared" si="43"/>
        <v>4762.2</v>
      </c>
      <c r="AC40" s="244">
        <f t="shared" si="27"/>
        <v>5222.370000000001</v>
      </c>
      <c r="AD40" s="245">
        <f t="shared" si="28"/>
        <v>0</v>
      </c>
      <c r="AE40" s="245">
        <f t="shared" si="29"/>
        <v>0</v>
      </c>
      <c r="AF40" s="245"/>
      <c r="AG40" s="246">
        <f t="shared" si="30"/>
        <v>409.67999999999995</v>
      </c>
      <c r="AH40" s="246">
        <f t="shared" si="31"/>
        <v>136.56</v>
      </c>
      <c r="AI40" s="246">
        <f t="shared" si="32"/>
        <v>682.8</v>
      </c>
      <c r="AJ40" s="246">
        <v>0</v>
      </c>
      <c r="AK40" s="246">
        <f t="shared" si="33"/>
        <v>669.1439999999999</v>
      </c>
      <c r="AL40" s="246">
        <v>0</v>
      </c>
      <c r="AM40" s="246">
        <f t="shared" si="34"/>
        <v>1536.3</v>
      </c>
      <c r="AN40" s="246">
        <v>0</v>
      </c>
      <c r="AO40" s="246"/>
      <c r="AP40" s="246"/>
      <c r="AQ40" s="247"/>
      <c r="AR40" s="247"/>
      <c r="AS40" s="248">
        <v>303</v>
      </c>
      <c r="AT40" s="248"/>
      <c r="AU40" s="248">
        <f t="shared" si="35"/>
        <v>0</v>
      </c>
      <c r="AV40" s="249">
        <v>470</v>
      </c>
      <c r="AW40" s="250">
        <v>0.3</v>
      </c>
      <c r="AX40" s="246">
        <f t="shared" si="36"/>
        <v>197.39999999999998</v>
      </c>
      <c r="AY40" s="251"/>
      <c r="AZ40" s="252"/>
      <c r="BA40" s="252">
        <f t="shared" si="37"/>
        <v>0</v>
      </c>
      <c r="BB40" s="252">
        <f t="shared" si="41"/>
        <v>3934.883999999999</v>
      </c>
      <c r="BC40" s="253"/>
      <c r="BD40" s="55"/>
      <c r="BE40" s="147">
        <f t="shared" si="39"/>
        <v>1287.4860000000017</v>
      </c>
      <c r="BF40" s="161">
        <f t="shared" si="40"/>
        <v>-683.8500000000004</v>
      </c>
    </row>
    <row r="41" spans="1:58" ht="12.75">
      <c r="A41" s="149" t="s">
        <v>41</v>
      </c>
      <c r="B41" s="237">
        <v>682.8</v>
      </c>
      <c r="C41" s="238">
        <f t="shared" si="42"/>
        <v>5906.22</v>
      </c>
      <c r="D41" s="255">
        <f>C41-E41-F41-G41-H41-I41-J41-K41-L41-M41-N41</f>
        <v>460.1700000000006</v>
      </c>
      <c r="E41" s="240">
        <v>628.66</v>
      </c>
      <c r="F41" s="240">
        <v>0</v>
      </c>
      <c r="G41" s="240">
        <v>851.41</v>
      </c>
      <c r="H41" s="240">
        <v>0</v>
      </c>
      <c r="I41" s="240">
        <v>2045.85</v>
      </c>
      <c r="J41" s="240">
        <v>0</v>
      </c>
      <c r="K41" s="240">
        <v>1417.2</v>
      </c>
      <c r="L41" s="240">
        <v>0</v>
      </c>
      <c r="M41" s="241">
        <v>502.93</v>
      </c>
      <c r="N41" s="241">
        <v>0</v>
      </c>
      <c r="O41" s="240">
        <v>0</v>
      </c>
      <c r="P41" s="242">
        <v>0</v>
      </c>
      <c r="Q41" s="242"/>
      <c r="R41" s="242"/>
      <c r="S41" s="240">
        <f t="shared" si="25"/>
        <v>5446.05</v>
      </c>
      <c r="T41" s="243">
        <f t="shared" si="26"/>
        <v>0</v>
      </c>
      <c r="U41" s="240">
        <v>791.23</v>
      </c>
      <c r="V41" s="240">
        <v>1071.75</v>
      </c>
      <c r="W41" s="240">
        <v>2574.98</v>
      </c>
      <c r="X41" s="240">
        <v>1783.81</v>
      </c>
      <c r="Y41" s="240">
        <v>632.99</v>
      </c>
      <c r="Z41" s="240">
        <v>0</v>
      </c>
      <c r="AA41" s="242">
        <v>0</v>
      </c>
      <c r="AB41" s="242">
        <f t="shared" si="43"/>
        <v>6854.76</v>
      </c>
      <c r="AC41" s="244">
        <f t="shared" si="27"/>
        <v>7314.930000000001</v>
      </c>
      <c r="AD41" s="245">
        <f t="shared" si="28"/>
        <v>0</v>
      </c>
      <c r="AE41" s="245">
        <f t="shared" si="29"/>
        <v>0</v>
      </c>
      <c r="AF41" s="245"/>
      <c r="AG41" s="246">
        <f t="shared" si="30"/>
        <v>409.67999999999995</v>
      </c>
      <c r="AH41" s="246">
        <f t="shared" si="31"/>
        <v>136.56</v>
      </c>
      <c r="AI41" s="246">
        <f t="shared" si="32"/>
        <v>682.8</v>
      </c>
      <c r="AJ41" s="246">
        <v>0</v>
      </c>
      <c r="AK41" s="246">
        <f t="shared" si="33"/>
        <v>669.1439999999999</v>
      </c>
      <c r="AL41" s="246">
        <v>0</v>
      </c>
      <c r="AM41" s="246">
        <f t="shared" si="34"/>
        <v>1536.3</v>
      </c>
      <c r="AN41" s="246">
        <v>0</v>
      </c>
      <c r="AO41" s="246"/>
      <c r="AP41" s="246"/>
      <c r="AQ41" s="247"/>
      <c r="AR41" s="247"/>
      <c r="AS41" s="248"/>
      <c r="AT41" s="248"/>
      <c r="AU41" s="248">
        <f t="shared" si="35"/>
        <v>0</v>
      </c>
      <c r="AV41" s="249">
        <v>514</v>
      </c>
      <c r="AW41" s="250">
        <v>0.3</v>
      </c>
      <c r="AX41" s="246">
        <f t="shared" si="36"/>
        <v>215.87999999999997</v>
      </c>
      <c r="AY41" s="251"/>
      <c r="AZ41" s="252"/>
      <c r="BA41" s="252">
        <f t="shared" si="37"/>
        <v>0</v>
      </c>
      <c r="BB41" s="252">
        <f>SUM(AG41:BA41)-AV41-AW41</f>
        <v>3650.3639999999996</v>
      </c>
      <c r="BC41" s="253"/>
      <c r="BD41" s="81"/>
      <c r="BE41" s="147">
        <f t="shared" si="39"/>
        <v>3664.5660000000016</v>
      </c>
      <c r="BF41" s="161">
        <f t="shared" si="40"/>
        <v>1408.71</v>
      </c>
    </row>
    <row r="42" spans="1:58" ht="12.75">
      <c r="A42" s="19" t="s">
        <v>3</v>
      </c>
      <c r="B42" s="20"/>
      <c r="C42" s="215">
        <f aca="true" t="shared" si="44" ref="C42:BE42">SUM(C30:C41)</f>
        <v>70874.64</v>
      </c>
      <c r="D42" s="215">
        <f t="shared" si="44"/>
        <v>35412.18</v>
      </c>
      <c r="E42" s="215">
        <f t="shared" si="44"/>
        <v>7395.23</v>
      </c>
      <c r="F42" s="215">
        <f t="shared" si="44"/>
        <v>161.59</v>
      </c>
      <c r="G42" s="215">
        <f t="shared" si="44"/>
        <v>10014.699999999999</v>
      </c>
      <c r="H42" s="215">
        <f t="shared" si="44"/>
        <v>219.03000000000003</v>
      </c>
      <c r="I42" s="215">
        <f t="shared" si="44"/>
        <v>24065.519999999997</v>
      </c>
      <c r="J42" s="215">
        <f t="shared" si="44"/>
        <v>526.06</v>
      </c>
      <c r="K42" s="215">
        <f t="shared" si="44"/>
        <v>16670.400000000005</v>
      </c>
      <c r="L42" s="215">
        <f t="shared" si="44"/>
        <v>364.47</v>
      </c>
      <c r="M42" s="215">
        <f t="shared" si="44"/>
        <v>5916.18</v>
      </c>
      <c r="N42" s="215">
        <f t="shared" si="44"/>
        <v>129.27999999999997</v>
      </c>
      <c r="O42" s="215">
        <f t="shared" si="44"/>
        <v>0</v>
      </c>
      <c r="P42" s="215">
        <f t="shared" si="44"/>
        <v>0</v>
      </c>
      <c r="Q42" s="215">
        <f t="shared" si="44"/>
        <v>0</v>
      </c>
      <c r="R42" s="215">
        <f t="shared" si="44"/>
        <v>0</v>
      </c>
      <c r="S42" s="215">
        <f t="shared" si="44"/>
        <v>64062.03000000001</v>
      </c>
      <c r="T42" s="215">
        <f t="shared" si="44"/>
        <v>1400.43</v>
      </c>
      <c r="U42" s="215">
        <f t="shared" si="44"/>
        <v>6872.5599999999995</v>
      </c>
      <c r="V42" s="215">
        <f t="shared" si="44"/>
        <v>9303.11</v>
      </c>
      <c r="W42" s="215">
        <f t="shared" si="44"/>
        <v>22360.82</v>
      </c>
      <c r="X42" s="215">
        <f t="shared" si="44"/>
        <v>15669.289999999997</v>
      </c>
      <c r="Y42" s="215">
        <f t="shared" si="44"/>
        <v>5498.04</v>
      </c>
      <c r="Z42" s="215">
        <f t="shared" si="44"/>
        <v>0</v>
      </c>
      <c r="AA42" s="215">
        <f t="shared" si="44"/>
        <v>0</v>
      </c>
      <c r="AB42" s="215">
        <f t="shared" si="44"/>
        <v>59703.82</v>
      </c>
      <c r="AC42" s="215">
        <f t="shared" si="44"/>
        <v>96516.43000000001</v>
      </c>
      <c r="AD42" s="215">
        <f t="shared" si="44"/>
        <v>0</v>
      </c>
      <c r="AE42" s="215">
        <f t="shared" si="44"/>
        <v>0</v>
      </c>
      <c r="AF42" s="215">
        <f t="shared" si="44"/>
        <v>0</v>
      </c>
      <c r="AG42" s="215">
        <f t="shared" si="44"/>
        <v>4916.16</v>
      </c>
      <c r="AH42" s="215">
        <f t="shared" si="44"/>
        <v>1638.7199999999996</v>
      </c>
      <c r="AI42" s="215">
        <f t="shared" si="44"/>
        <v>8193.6</v>
      </c>
      <c r="AJ42" s="215">
        <f t="shared" si="44"/>
        <v>0</v>
      </c>
      <c r="AK42" s="215">
        <f t="shared" si="44"/>
        <v>8029.728</v>
      </c>
      <c r="AL42" s="215">
        <f t="shared" si="44"/>
        <v>0</v>
      </c>
      <c r="AM42" s="215">
        <f t="shared" si="44"/>
        <v>18435.599999999995</v>
      </c>
      <c r="AN42" s="215">
        <f t="shared" si="44"/>
        <v>0</v>
      </c>
      <c r="AO42" s="215">
        <f t="shared" si="44"/>
        <v>0</v>
      </c>
      <c r="AP42" s="215">
        <f t="shared" si="44"/>
        <v>0</v>
      </c>
      <c r="AQ42" s="215">
        <f t="shared" si="44"/>
        <v>0</v>
      </c>
      <c r="AR42" s="215">
        <f t="shared" si="44"/>
        <v>0</v>
      </c>
      <c r="AS42" s="215">
        <f t="shared" si="44"/>
        <v>2988</v>
      </c>
      <c r="AT42" s="215">
        <f t="shared" si="44"/>
        <v>24571.53</v>
      </c>
      <c r="AU42" s="215">
        <f t="shared" si="44"/>
        <v>4422.8754</v>
      </c>
      <c r="AV42" s="215">
        <f t="shared" si="44"/>
        <v>4400</v>
      </c>
      <c r="AW42" s="215">
        <f t="shared" si="44"/>
        <v>3.599999999999999</v>
      </c>
      <c r="AX42" s="215">
        <f t="shared" si="44"/>
        <v>1847.9999999999998</v>
      </c>
      <c r="AY42" s="215">
        <f t="shared" si="44"/>
        <v>0</v>
      </c>
      <c r="AZ42" s="215">
        <f t="shared" si="44"/>
        <v>0</v>
      </c>
      <c r="BA42" s="215">
        <f t="shared" si="44"/>
        <v>0</v>
      </c>
      <c r="BB42" s="215">
        <f t="shared" si="44"/>
        <v>75044.2134</v>
      </c>
      <c r="BC42" s="215">
        <f t="shared" si="44"/>
        <v>0</v>
      </c>
      <c r="BD42" s="215">
        <f t="shared" si="44"/>
        <v>0</v>
      </c>
      <c r="BE42" s="215">
        <f t="shared" si="44"/>
        <v>21472.216600000018</v>
      </c>
      <c r="BF42" s="215">
        <f>SUM(BF30:BF41)</f>
        <v>-4358.21</v>
      </c>
    </row>
    <row r="43" spans="1:58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4"/>
      <c r="AE43" s="104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6"/>
      <c r="AQ43" s="222"/>
      <c r="AR43" s="222"/>
      <c r="AS43" s="76"/>
      <c r="AT43" s="76"/>
      <c r="AU43" s="76"/>
      <c r="AV43" s="23"/>
      <c r="AW43" s="23"/>
      <c r="AX43" s="84"/>
      <c r="AY43" s="53"/>
      <c r="AZ43" s="53"/>
      <c r="BA43" s="53"/>
      <c r="BB43" s="53"/>
      <c r="BC43" s="53"/>
      <c r="BD43" s="53"/>
      <c r="BE43" s="53"/>
      <c r="BF43" s="216"/>
    </row>
    <row r="44" spans="1:58" ht="13.5" thickBot="1">
      <c r="A44" s="27" t="s">
        <v>52</v>
      </c>
      <c r="B44" s="28"/>
      <c r="C44" s="28">
        <f>C28+C42</f>
        <v>159358.95</v>
      </c>
      <c r="D44" s="28">
        <f aca="true" t="shared" si="45" ref="D44:AI44">D28+D42</f>
        <v>46679.3407706</v>
      </c>
      <c r="E44" s="28">
        <f t="shared" si="45"/>
        <v>15613.29</v>
      </c>
      <c r="F44" s="28">
        <f t="shared" si="45"/>
        <v>810.34</v>
      </c>
      <c r="G44" s="28">
        <f t="shared" si="45"/>
        <v>21129.72</v>
      </c>
      <c r="H44" s="28">
        <f t="shared" si="45"/>
        <v>1097.16</v>
      </c>
      <c r="I44" s="28">
        <f t="shared" si="45"/>
        <v>50794.75</v>
      </c>
      <c r="J44" s="28">
        <f t="shared" si="45"/>
        <v>2636.8099999999995</v>
      </c>
      <c r="K44" s="28">
        <f t="shared" si="45"/>
        <v>35181.64</v>
      </c>
      <c r="L44" s="28">
        <f t="shared" si="45"/>
        <v>1826.4800000000002</v>
      </c>
      <c r="M44" s="28">
        <f t="shared" si="45"/>
        <v>12490.550000000001</v>
      </c>
      <c r="N44" s="28">
        <f t="shared" si="45"/>
        <v>648.3000000000001</v>
      </c>
      <c r="O44" s="28">
        <f t="shared" si="45"/>
        <v>0</v>
      </c>
      <c r="P44" s="28">
        <f t="shared" si="45"/>
        <v>0</v>
      </c>
      <c r="Q44" s="28">
        <f t="shared" si="45"/>
        <v>0</v>
      </c>
      <c r="R44" s="28">
        <f t="shared" si="45"/>
        <v>0</v>
      </c>
      <c r="S44" s="28">
        <f t="shared" si="45"/>
        <v>135209.95</v>
      </c>
      <c r="T44" s="28">
        <f t="shared" si="45"/>
        <v>7019.089999999999</v>
      </c>
      <c r="U44" s="28">
        <f t="shared" si="45"/>
        <v>14164.51</v>
      </c>
      <c r="V44" s="28">
        <f t="shared" si="45"/>
        <v>19164.58</v>
      </c>
      <c r="W44" s="28">
        <f t="shared" si="45"/>
        <v>46076.86</v>
      </c>
      <c r="X44" s="28">
        <f t="shared" si="45"/>
        <v>32093.359999999997</v>
      </c>
      <c r="Y44" s="28">
        <f t="shared" si="45"/>
        <v>11331.48</v>
      </c>
      <c r="Z44" s="28">
        <f t="shared" si="45"/>
        <v>0</v>
      </c>
      <c r="AA44" s="28">
        <f t="shared" si="45"/>
        <v>0</v>
      </c>
      <c r="AB44" s="28">
        <f t="shared" si="45"/>
        <v>122830.79000000001</v>
      </c>
      <c r="AC44" s="28">
        <f t="shared" si="45"/>
        <v>176529.22077060002</v>
      </c>
      <c r="AD44" s="28">
        <f t="shared" si="45"/>
        <v>0</v>
      </c>
      <c r="AE44" s="28">
        <f t="shared" si="45"/>
        <v>0</v>
      </c>
      <c r="AF44" s="28">
        <f t="shared" si="45"/>
        <v>0</v>
      </c>
      <c r="AG44" s="28">
        <f t="shared" si="45"/>
        <v>10890.251999999999</v>
      </c>
      <c r="AH44" s="28">
        <f t="shared" si="45"/>
        <v>3649.0947736</v>
      </c>
      <c r="AI44" s="28">
        <f t="shared" si="45"/>
        <v>16570.438334</v>
      </c>
      <c r="AJ44" s="28">
        <f>AJ28+AJ42</f>
        <v>1507.8309001199998</v>
      </c>
      <c r="AK44" s="28">
        <f aca="true" t="shared" si="46" ref="AK44:BF44">AK28+AK42</f>
        <v>16505.02828172</v>
      </c>
      <c r="AL44" s="28">
        <f t="shared" si="46"/>
        <v>1525.5540507095996</v>
      </c>
      <c r="AM44" s="28">
        <f t="shared" si="46"/>
        <v>36997.80779966236</v>
      </c>
      <c r="AN44" s="28">
        <f t="shared" si="46"/>
        <v>3341.1974039392267</v>
      </c>
      <c r="AO44" s="28">
        <f t="shared" si="46"/>
        <v>1847.86</v>
      </c>
      <c r="AP44" s="28">
        <f t="shared" si="46"/>
        <v>332.61479999999995</v>
      </c>
      <c r="AQ44" s="226">
        <f t="shared" si="46"/>
        <v>0</v>
      </c>
      <c r="AR44" s="226">
        <f t="shared" si="46"/>
        <v>0</v>
      </c>
      <c r="AS44" s="225">
        <f t="shared" si="46"/>
        <v>32880.74</v>
      </c>
      <c r="AT44" s="225">
        <f t="shared" si="46"/>
        <v>24571.53</v>
      </c>
      <c r="AU44" s="225">
        <f t="shared" si="46"/>
        <v>9803.568599999999</v>
      </c>
      <c r="AV44" s="28">
        <f t="shared" si="46"/>
        <v>8800</v>
      </c>
      <c r="AW44" s="28">
        <f t="shared" si="46"/>
        <v>7.199999999999998</v>
      </c>
      <c r="AX44" s="28">
        <f t="shared" si="46"/>
        <v>3592.5119999999997</v>
      </c>
      <c r="AY44" s="28">
        <f t="shared" si="46"/>
        <v>0</v>
      </c>
      <c r="AZ44" s="28">
        <f t="shared" si="46"/>
        <v>0</v>
      </c>
      <c r="BA44" s="28">
        <f t="shared" si="46"/>
        <v>0</v>
      </c>
      <c r="BB44" s="28">
        <f t="shared" si="46"/>
        <v>164016.02894375118</v>
      </c>
      <c r="BC44" s="28">
        <f t="shared" si="46"/>
        <v>0</v>
      </c>
      <c r="BD44" s="28">
        <f t="shared" si="46"/>
        <v>88971.81554375119</v>
      </c>
      <c r="BE44" s="28">
        <f t="shared" si="46"/>
        <v>12513.191826848826</v>
      </c>
      <c r="BF44" s="28">
        <f t="shared" si="46"/>
        <v>-12379.160000000002</v>
      </c>
    </row>
  </sheetData>
  <sheetProtection/>
  <mergeCells count="67">
    <mergeCell ref="S5:S6"/>
    <mergeCell ref="Z5:Z6"/>
    <mergeCell ref="AT5:AT6"/>
    <mergeCell ref="AE3:AE6"/>
    <mergeCell ref="AM5:AM6"/>
    <mergeCell ref="AN5:AN6"/>
    <mergeCell ref="AO5:AO6"/>
    <mergeCell ref="AP5:AP6"/>
    <mergeCell ref="AS5:AS6"/>
    <mergeCell ref="AI5:AI6"/>
    <mergeCell ref="O5:O6"/>
    <mergeCell ref="P5:P6"/>
    <mergeCell ref="Q5:Q6"/>
    <mergeCell ref="R5:R6"/>
    <mergeCell ref="E5:E6"/>
    <mergeCell ref="F5:F6"/>
    <mergeCell ref="G5:G6"/>
    <mergeCell ref="H5:H6"/>
    <mergeCell ref="I5:I6"/>
    <mergeCell ref="J5:J6"/>
    <mergeCell ref="AG5:AG6"/>
    <mergeCell ref="AH5:AH6"/>
    <mergeCell ref="AA5:AA6"/>
    <mergeCell ref="AB5:AB6"/>
    <mergeCell ref="K5:K6"/>
    <mergeCell ref="L5:L6"/>
    <mergeCell ref="M5:M6"/>
    <mergeCell ref="N5:N6"/>
    <mergeCell ref="AL5:AL6"/>
    <mergeCell ref="T5:T6"/>
    <mergeCell ref="U5:U6"/>
    <mergeCell ref="V5:V6"/>
    <mergeCell ref="W5:W6"/>
    <mergeCell ref="X5:X6"/>
    <mergeCell ref="Y5:Y6"/>
    <mergeCell ref="AJ5:AJ6"/>
    <mergeCell ref="AK5:AK6"/>
    <mergeCell ref="BE3:BE6"/>
    <mergeCell ref="BC4:BC6"/>
    <mergeCell ref="AF3:AF6"/>
    <mergeCell ref="A1:N1"/>
    <mergeCell ref="A3:A6"/>
    <mergeCell ref="B3:B6"/>
    <mergeCell ref="C3:C6"/>
    <mergeCell ref="D3:D6"/>
    <mergeCell ref="S3:T4"/>
    <mergeCell ref="U3:AB4"/>
    <mergeCell ref="AR5:AR6"/>
    <mergeCell ref="E3:F4"/>
    <mergeCell ref="G3:H4"/>
    <mergeCell ref="I3:J4"/>
    <mergeCell ref="K3:L4"/>
    <mergeCell ref="M3:N4"/>
    <mergeCell ref="O3:P4"/>
    <mergeCell ref="Q3:R4"/>
    <mergeCell ref="AC3:AC6"/>
    <mergeCell ref="AD3:AD6"/>
    <mergeCell ref="BF3:BF6"/>
    <mergeCell ref="BD4:BD6"/>
    <mergeCell ref="BC3:BD3"/>
    <mergeCell ref="AV5:AX5"/>
    <mergeCell ref="AY5:AY6"/>
    <mergeCell ref="AZ5:AZ6"/>
    <mergeCell ref="BA5:BA6"/>
    <mergeCell ref="BB5:BB6"/>
    <mergeCell ref="AG3:BB4"/>
    <mergeCell ref="AQ5:A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37">
      <selection activeCell="C56" sqref="C56:D56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3.37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336" t="s">
        <v>77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</row>
    <row r="7" spans="1:15" ht="12.75">
      <c r="A7" s="353" t="s">
        <v>95</v>
      </c>
      <c r="B7" s="353"/>
      <c r="C7" s="353"/>
      <c r="D7" s="353"/>
      <c r="E7" s="353"/>
      <c r="F7" s="353"/>
      <c r="G7" s="353"/>
      <c r="H7" s="99"/>
      <c r="I7" s="99"/>
      <c r="J7" s="99"/>
      <c r="K7" s="99"/>
      <c r="L7" s="99"/>
      <c r="M7" s="99"/>
      <c r="N7" s="99"/>
      <c r="O7" s="99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337" t="s">
        <v>56</v>
      </c>
      <c r="B10" s="340" t="s">
        <v>0</v>
      </c>
      <c r="C10" s="343" t="s">
        <v>57</v>
      </c>
      <c r="D10" s="346" t="s">
        <v>2</v>
      </c>
      <c r="E10" s="293" t="s">
        <v>58</v>
      </c>
      <c r="F10" s="293"/>
      <c r="G10" s="374" t="s">
        <v>75</v>
      </c>
      <c r="H10" s="375"/>
      <c r="I10" s="361" t="s">
        <v>8</v>
      </c>
      <c r="J10" s="362"/>
      <c r="K10" s="362"/>
      <c r="L10" s="362"/>
      <c r="M10" s="362"/>
      <c r="N10" s="363"/>
      <c r="O10" s="350" t="s">
        <v>59</v>
      </c>
      <c r="P10" s="367" t="s">
        <v>92</v>
      </c>
    </row>
    <row r="11" spans="1:16" ht="12.75">
      <c r="A11" s="338"/>
      <c r="B11" s="341"/>
      <c r="C11" s="344"/>
      <c r="D11" s="347"/>
      <c r="E11" s="349"/>
      <c r="F11" s="349"/>
      <c r="G11" s="376"/>
      <c r="H11" s="377"/>
      <c r="I11" s="364"/>
      <c r="J11" s="365"/>
      <c r="K11" s="365"/>
      <c r="L11" s="365"/>
      <c r="M11" s="365"/>
      <c r="N11" s="366"/>
      <c r="O11" s="351"/>
      <c r="P11" s="368"/>
    </row>
    <row r="12" spans="1:16" ht="26.25" customHeight="1">
      <c r="A12" s="338"/>
      <c r="B12" s="341"/>
      <c r="C12" s="344"/>
      <c r="D12" s="347"/>
      <c r="E12" s="294" t="s">
        <v>60</v>
      </c>
      <c r="F12" s="294"/>
      <c r="G12" s="125" t="s">
        <v>61</v>
      </c>
      <c r="H12" s="370" t="s">
        <v>5</v>
      </c>
      <c r="I12" s="372" t="s">
        <v>62</v>
      </c>
      <c r="J12" s="359" t="s">
        <v>30</v>
      </c>
      <c r="K12" s="359" t="s">
        <v>63</v>
      </c>
      <c r="L12" s="359" t="s">
        <v>35</v>
      </c>
      <c r="M12" s="359" t="s">
        <v>64</v>
      </c>
      <c r="N12" s="357" t="s">
        <v>37</v>
      </c>
      <c r="O12" s="351"/>
      <c r="P12" s="368"/>
    </row>
    <row r="13" spans="1:16" ht="66.75" customHeight="1" thickBot="1">
      <c r="A13" s="339"/>
      <c r="B13" s="342"/>
      <c r="C13" s="345"/>
      <c r="D13" s="348"/>
      <c r="E13" s="233" t="s">
        <v>65</v>
      </c>
      <c r="F13" s="120" t="s">
        <v>19</v>
      </c>
      <c r="G13" s="98" t="s">
        <v>76</v>
      </c>
      <c r="H13" s="371"/>
      <c r="I13" s="373"/>
      <c r="J13" s="360"/>
      <c r="K13" s="360"/>
      <c r="L13" s="360"/>
      <c r="M13" s="360"/>
      <c r="N13" s="358"/>
      <c r="O13" s="352"/>
      <c r="P13" s="369"/>
    </row>
    <row r="14" spans="1:16" ht="13.5" thickBot="1">
      <c r="A14" s="33">
        <v>1</v>
      </c>
      <c r="B14" s="34">
        <v>2</v>
      </c>
      <c r="C14" s="36">
        <v>3</v>
      </c>
      <c r="D14" s="38">
        <v>4</v>
      </c>
      <c r="E14" s="37">
        <v>5</v>
      </c>
      <c r="F14" s="35">
        <v>6</v>
      </c>
      <c r="G14" s="33">
        <v>7</v>
      </c>
      <c r="H14" s="94">
        <v>8</v>
      </c>
      <c r="I14" s="37">
        <v>9</v>
      </c>
      <c r="J14" s="34">
        <v>10</v>
      </c>
      <c r="K14" s="34">
        <v>11</v>
      </c>
      <c r="L14" s="34">
        <v>12</v>
      </c>
      <c r="M14" s="34">
        <v>13</v>
      </c>
      <c r="N14" s="85">
        <v>14</v>
      </c>
      <c r="O14" s="38">
        <v>15</v>
      </c>
      <c r="P14" s="110">
        <v>16</v>
      </c>
    </row>
    <row r="15" spans="1:16" ht="12.75">
      <c r="A15" s="8" t="s">
        <v>38</v>
      </c>
      <c r="B15" s="9"/>
      <c r="C15" s="11"/>
      <c r="D15" s="40"/>
      <c r="E15" s="39"/>
      <c r="F15" s="32"/>
      <c r="G15" s="8"/>
      <c r="H15" s="95"/>
      <c r="I15" s="39"/>
      <c r="J15" s="9"/>
      <c r="K15" s="9"/>
      <c r="L15" s="9"/>
      <c r="M15" s="9"/>
      <c r="N15" s="86"/>
      <c r="O15" s="40"/>
      <c r="P15" s="111"/>
    </row>
    <row r="16" spans="1:16" ht="12.75">
      <c r="A16" s="14" t="s">
        <v>39</v>
      </c>
      <c r="B16" s="15">
        <f>Лист1!B9</f>
        <v>680.4</v>
      </c>
      <c r="C16" s="133">
        <f>Лист1!C9</f>
        <v>5885.46</v>
      </c>
      <c r="D16" s="234">
        <f>Лист1!D9</f>
        <v>1417.6896048</v>
      </c>
      <c r="E16" s="41">
        <f>Лист1!S9</f>
        <v>4645.599999999999</v>
      </c>
      <c r="F16" s="81">
        <f>Лист1!T9</f>
        <v>285.79</v>
      </c>
      <c r="G16" s="42">
        <f>Лист1!AB9</f>
        <v>0</v>
      </c>
      <c r="H16" s="126">
        <f>Лист1!AC9</f>
        <v>1703.4796048</v>
      </c>
      <c r="I16" s="41">
        <f>Лист1!AG9</f>
        <v>408.23999999999995</v>
      </c>
      <c r="J16" s="16">
        <f>Лист1!AI9+Лист1!AJ9</f>
        <v>683.8863696</v>
      </c>
      <c r="K16" s="16">
        <f>Лист1!AH9+Лист1!AK9+Лист1!AL9+Лист1!AM9+Лист1!AN9+Лист1!AO9+Лист1!AP9+Лист1!AQ9+Лист1!AR9</f>
        <v>2401.39906524</v>
      </c>
      <c r="L16" s="17">
        <f>Лист1!AS9+Лист1!AT9+Лист1!AU9</f>
        <v>0</v>
      </c>
      <c r="M16" s="17">
        <f>Лист1!AX9</f>
        <v>0</v>
      </c>
      <c r="N16" s="108">
        <f>SUM(I16:M16)</f>
        <v>3493.5254348399994</v>
      </c>
      <c r="O16" s="43">
        <f>Лист1!BE9</f>
        <v>-1790.0458300399998</v>
      </c>
      <c r="P16" s="112">
        <f>Лист1!BF9</f>
        <v>-4645.599999999999</v>
      </c>
    </row>
    <row r="17" spans="1:16" ht="12.75">
      <c r="A17" s="14" t="s">
        <v>40</v>
      </c>
      <c r="B17" s="15">
        <f>Лист1!B10</f>
        <v>680.4</v>
      </c>
      <c r="C17" s="133">
        <f>Лист1!C10</f>
        <v>5885.46</v>
      </c>
      <c r="D17" s="234">
        <f>Лист1!D10</f>
        <v>1417.6896048</v>
      </c>
      <c r="E17" s="41">
        <f>Лист1!S10</f>
        <v>3833.64</v>
      </c>
      <c r="F17" s="81">
        <f>Лист1!T10</f>
        <v>285.79</v>
      </c>
      <c r="G17" s="42">
        <f>Лист1!AB10</f>
        <v>2061.58</v>
      </c>
      <c r="H17" s="126">
        <f>Лист1!AC10</f>
        <v>3765.0596047999998</v>
      </c>
      <c r="I17" s="41">
        <f>Лист1!AG10</f>
        <v>408.23999999999995</v>
      </c>
      <c r="J17" s="16">
        <f>Лист1!AI10+Лист1!AJ10</f>
        <v>683.8863696</v>
      </c>
      <c r="K17" s="16">
        <f>Лист1!AH10+Лист1!AK10+Лист1!AL10+Лист1!AM10+Лист1!AN10+Лист1!AO10+Лист1!AP10+Лист1!AQ10+Лист1!AR10</f>
        <v>2394.1514444399995</v>
      </c>
      <c r="L17" s="17">
        <f>Лист1!AS10+Лист1!AT10+Лист1!AU10</f>
        <v>1109.2</v>
      </c>
      <c r="M17" s="17">
        <f>Лист1!AX10</f>
        <v>0</v>
      </c>
      <c r="N17" s="108">
        <f>SUM(I17:M17)</f>
        <v>4595.477814039999</v>
      </c>
      <c r="O17" s="43">
        <f>Лист1!BE10</f>
        <v>-830.4182092399997</v>
      </c>
      <c r="P17" s="112">
        <f>Лист1!BF10</f>
        <v>-1772.06</v>
      </c>
    </row>
    <row r="18" spans="1:18" ht="13.5" thickBot="1">
      <c r="A18" s="44" t="s">
        <v>41</v>
      </c>
      <c r="B18" s="65">
        <f>Лист1!B11</f>
        <v>680.4</v>
      </c>
      <c r="C18" s="134">
        <f>Лист1!C11</f>
        <v>5885.46</v>
      </c>
      <c r="D18" s="235">
        <f>Лист1!D11</f>
        <v>1414.570311</v>
      </c>
      <c r="E18" s="67">
        <f>Лист1!S11</f>
        <v>4634.54</v>
      </c>
      <c r="F18" s="121">
        <f>Лист1!T11</f>
        <v>285.79</v>
      </c>
      <c r="G18" s="68">
        <f>Лист1!AB11</f>
        <v>5451.04</v>
      </c>
      <c r="H18" s="127">
        <f>Лист1!AC11</f>
        <v>7151.400310999999</v>
      </c>
      <c r="I18" s="41">
        <f>Лист1!AG11</f>
        <v>408.23999999999995</v>
      </c>
      <c r="J18" s="16">
        <f>Лист1!AI11+Лист1!AJ11</f>
        <v>681.89524704</v>
      </c>
      <c r="K18" s="16">
        <f>Лист1!AH11+Лист1!AK11+Лист1!AL11+Лист1!AM11+Лист1!AN11+Лист1!AO11+Лист1!AP11+Лист1!AQ11+Лист1!AR11</f>
        <v>2390.3450350919998</v>
      </c>
      <c r="L18" s="17">
        <f>Лист1!AS11+Лист1!AT11+Лист1!AU11</f>
        <v>10845.38</v>
      </c>
      <c r="M18" s="17">
        <f>Лист1!AX11</f>
        <v>0</v>
      </c>
      <c r="N18" s="108">
        <f>SUM(I18:M18)</f>
        <v>14325.860282131998</v>
      </c>
      <c r="O18" s="43">
        <f>Лист1!BE11</f>
        <v>-7174.459971131999</v>
      </c>
      <c r="P18" s="112">
        <f>Лист1!BF11</f>
        <v>816.5</v>
      </c>
      <c r="Q18" s="1"/>
      <c r="R18" s="1"/>
    </row>
    <row r="19" spans="1:18" s="24" customFormat="1" ht="13.5" thickBot="1">
      <c r="A19" s="45" t="s">
        <v>3</v>
      </c>
      <c r="B19" s="72"/>
      <c r="C19" s="74">
        <f>SUM(C16:C18)</f>
        <v>17656.38</v>
      </c>
      <c r="D19" s="118">
        <f aca="true" t="shared" si="0" ref="D19:P19">SUM(D16:D18)</f>
        <v>4249.9495206</v>
      </c>
      <c r="E19" s="78">
        <f t="shared" si="0"/>
        <v>13113.779999999999</v>
      </c>
      <c r="F19" s="73">
        <f t="shared" si="0"/>
        <v>857.3700000000001</v>
      </c>
      <c r="G19" s="79">
        <f t="shared" si="0"/>
        <v>7512.62</v>
      </c>
      <c r="H19" s="128">
        <f t="shared" si="0"/>
        <v>12619.939520599999</v>
      </c>
      <c r="I19" s="78">
        <f t="shared" si="0"/>
        <v>1224.7199999999998</v>
      </c>
      <c r="J19" s="73">
        <f t="shared" si="0"/>
        <v>2049.6679862399997</v>
      </c>
      <c r="K19" s="73">
        <f t="shared" si="0"/>
        <v>7185.895544771998</v>
      </c>
      <c r="L19" s="73">
        <f t="shared" si="0"/>
        <v>11954.58</v>
      </c>
      <c r="M19" s="73">
        <f t="shared" si="0"/>
        <v>0</v>
      </c>
      <c r="N19" s="87">
        <f t="shared" si="0"/>
        <v>22414.863531011997</v>
      </c>
      <c r="O19" s="118">
        <f t="shared" si="0"/>
        <v>-9794.924010411998</v>
      </c>
      <c r="P19" s="113">
        <f t="shared" si="0"/>
        <v>-5601.16</v>
      </c>
      <c r="Q19" s="52"/>
      <c r="R19" s="53"/>
    </row>
    <row r="20" spans="1:18" ht="12.75">
      <c r="A20" s="8" t="s">
        <v>42</v>
      </c>
      <c r="B20" s="69"/>
      <c r="C20" s="135"/>
      <c r="D20" s="236"/>
      <c r="E20" s="56"/>
      <c r="F20" s="122"/>
      <c r="G20" s="57"/>
      <c r="H20" s="129"/>
      <c r="I20" s="56"/>
      <c r="J20" s="54"/>
      <c r="K20" s="54"/>
      <c r="L20" s="70"/>
      <c r="M20" s="70"/>
      <c r="N20" s="109"/>
      <c r="O20" s="71"/>
      <c r="P20" s="114"/>
      <c r="Q20" s="1"/>
      <c r="R20" s="1"/>
    </row>
    <row r="21" spans="1:18" ht="12.75">
      <c r="A21" s="14" t="s">
        <v>43</v>
      </c>
      <c r="B21" s="15">
        <f>Лист1!B14</f>
        <v>680.4</v>
      </c>
      <c r="C21" s="133">
        <f>Лист1!C14</f>
        <v>5885.46</v>
      </c>
      <c r="D21" s="234">
        <f>Лист1!D14</f>
        <v>735.6825</v>
      </c>
      <c r="E21" s="41">
        <f>Лист1!S14</f>
        <v>4599.339999999999</v>
      </c>
      <c r="F21" s="81">
        <f>Лист1!T14</f>
        <v>285.79</v>
      </c>
      <c r="G21" s="42">
        <f>Лист1!AB14</f>
        <v>4361.13</v>
      </c>
      <c r="H21" s="126">
        <f>Лист1!AC14</f>
        <v>5382.6025</v>
      </c>
      <c r="I21" s="41">
        <f>Лист1!AG14</f>
        <v>367.41599999999994</v>
      </c>
      <c r="J21" s="16">
        <f>Лист1!AI14+Лист1!AJ14</f>
        <v>591.6529204</v>
      </c>
      <c r="K21" s="16">
        <f>Лист1!AH14+Лист1!AK14+Лист1!AL14+Лист1!AM14+Лист1!AN14+Лист1!AO14+Лист1!AP14+Лист1!AQ14+Лист1!AR14</f>
        <v>2031.9870982319999</v>
      </c>
      <c r="L21" s="17">
        <f>Лист1!AS14+Лист1!AT14+Лист1!AU14</f>
        <v>0</v>
      </c>
      <c r="M21" s="17">
        <f>Лист1!AX14</f>
        <v>201.41184</v>
      </c>
      <c r="N21" s="108">
        <f>SUM(I21:M21)</f>
        <v>3192.467858632</v>
      </c>
      <c r="O21" s="43">
        <f>Лист1!BE14</f>
        <v>2190.1346413680003</v>
      </c>
      <c r="P21" s="112">
        <f>Лист1!BF14</f>
        <v>-238.20999999999913</v>
      </c>
      <c r="Q21" s="1"/>
      <c r="R21" s="1"/>
    </row>
    <row r="22" spans="1:18" ht="12.75">
      <c r="A22" s="14" t="s">
        <v>44</v>
      </c>
      <c r="B22" s="15">
        <f>Лист1!B15</f>
        <v>681.8</v>
      </c>
      <c r="C22" s="133">
        <f>Лист1!C15</f>
        <v>5897.57</v>
      </c>
      <c r="D22" s="234">
        <f>Лист1!D15</f>
        <v>737.19625</v>
      </c>
      <c r="E22" s="41">
        <f>Лист1!S15</f>
        <v>4638.67</v>
      </c>
      <c r="F22" s="81">
        <f>Лист1!T15</f>
        <v>285.79</v>
      </c>
      <c r="G22" s="42">
        <f>Лист1!AB15</f>
        <v>2609.27</v>
      </c>
      <c r="H22" s="126">
        <f>Лист1!AC15</f>
        <v>3632.25625</v>
      </c>
      <c r="I22" s="41">
        <f>Лист1!AG15</f>
        <v>368.17199999999997</v>
      </c>
      <c r="J22" s="16">
        <f>Лист1!AI15+Лист1!AJ15</f>
        <v>592.8939617999999</v>
      </c>
      <c r="K22" s="16">
        <f>Лист1!AH15+Лист1!AK15+Лист1!AL15+Лист1!AM15+Лист1!AN15+Лист1!AO15+Лист1!AP15+Лист1!AQ15+Лист1!AR15</f>
        <v>2039.1075859839996</v>
      </c>
      <c r="L22" s="17">
        <f>Лист1!AS15+Лист1!AT15+Лист1!AU15</f>
        <v>0</v>
      </c>
      <c r="M22" s="17">
        <f>Лист1!AX15</f>
        <v>161.36736</v>
      </c>
      <c r="N22" s="108">
        <f aca="true" t="shared" si="1" ref="N22:N32">SUM(I22:M22)</f>
        <v>3161.5409077839995</v>
      </c>
      <c r="O22" s="43">
        <f>Лист1!BE15</f>
        <v>470.71534221599995</v>
      </c>
      <c r="P22" s="112">
        <f>Лист1!BF15</f>
        <v>-2029.4</v>
      </c>
      <c r="Q22" s="1"/>
      <c r="R22" s="1"/>
    </row>
    <row r="23" spans="1:18" ht="12.75">
      <c r="A23" s="14" t="s">
        <v>45</v>
      </c>
      <c r="B23" s="15">
        <f>Лист1!B16</f>
        <v>681.8</v>
      </c>
      <c r="C23" s="133">
        <f>Лист1!C16</f>
        <v>5897.57</v>
      </c>
      <c r="D23" s="234">
        <f>Лист1!D16</f>
        <v>737.19625</v>
      </c>
      <c r="E23" s="41">
        <f>Лист1!S16</f>
        <v>4617.86</v>
      </c>
      <c r="F23" s="81">
        <f>Лист1!T16</f>
        <v>285.79</v>
      </c>
      <c r="G23" s="42">
        <f>Лист1!AB16</f>
        <v>4311.46</v>
      </c>
      <c r="H23" s="126">
        <f>Лист1!AC16</f>
        <v>5334.44625</v>
      </c>
      <c r="I23" s="41">
        <f>Лист1!AG16</f>
        <v>368.17199999999997</v>
      </c>
      <c r="J23" s="16">
        <f>Лист1!AI16+Лист1!AJ16</f>
        <v>593.2358845</v>
      </c>
      <c r="K23" s="16">
        <f>Лист1!AH16+Лист1!AK16+Лист1!AL16+Лист1!AM16+Лист1!AN16+Лист1!AO16+Лист1!AP16+Лист1!AQ16+Лист1!AR16</f>
        <v>4151.754262964</v>
      </c>
      <c r="L23" s="17">
        <f>Лист1!AS16+Лист1!AT16+Лист1!AU16</f>
        <v>0</v>
      </c>
      <c r="M23" s="17">
        <f>Лист1!AX16</f>
        <v>151.85184</v>
      </c>
      <c r="N23" s="108">
        <f t="shared" si="1"/>
        <v>5265.013987464</v>
      </c>
      <c r="O23" s="43">
        <f>Лист1!BE16</f>
        <v>69.43226253600005</v>
      </c>
      <c r="P23" s="112">
        <f>Лист1!BF16</f>
        <v>-306.39999999999964</v>
      </c>
      <c r="Q23" s="1"/>
      <c r="R23" s="1"/>
    </row>
    <row r="24" spans="1:18" ht="12.75">
      <c r="A24" s="14" t="s">
        <v>46</v>
      </c>
      <c r="B24" s="15">
        <f>Лист1!B17</f>
        <v>681.8</v>
      </c>
      <c r="C24" s="133">
        <f>Лист1!C17</f>
        <v>5897.57</v>
      </c>
      <c r="D24" s="234">
        <f>Лист1!D17</f>
        <v>737.19625</v>
      </c>
      <c r="E24" s="41">
        <f>Лист1!S17</f>
        <v>4616.580000000001</v>
      </c>
      <c r="F24" s="81">
        <f>Лист1!T17</f>
        <v>285.79</v>
      </c>
      <c r="G24" s="42">
        <f>Лист1!AB17</f>
        <v>3920.58</v>
      </c>
      <c r="H24" s="126">
        <f>Лист1!AC17</f>
        <v>4943.56625</v>
      </c>
      <c r="I24" s="41">
        <f>Лист1!AG17</f>
        <v>368.17199999999997</v>
      </c>
      <c r="J24" s="16">
        <f>Лист1!AI17+Лист1!AJ17</f>
        <v>610.9474803599999</v>
      </c>
      <c r="K24" s="16">
        <f>Лист1!AH17+Лист1!AK17+Лист1!AL17+Лист1!AM17+Лист1!AN17+Лист1!AO17+Лист1!AP17+Лист1!AQ17+Лист1!AR17</f>
        <v>1999.2103408479998</v>
      </c>
      <c r="L24" s="17">
        <f>Лист1!AS17+Лист1!AT17+Лист1!AU17</f>
        <v>362.26</v>
      </c>
      <c r="M24" s="17">
        <f>Лист1!AX17</f>
        <v>121.71936</v>
      </c>
      <c r="N24" s="108">
        <f t="shared" si="1"/>
        <v>3462.309181208</v>
      </c>
      <c r="O24" s="43">
        <f>Лист1!BE17</f>
        <v>1481.2570687919997</v>
      </c>
      <c r="P24" s="112">
        <f>Лист1!BF17</f>
        <v>-696.0000000000009</v>
      </c>
      <c r="Q24" s="1"/>
      <c r="R24" s="1"/>
    </row>
    <row r="25" spans="1:18" ht="12.75">
      <c r="A25" s="14" t="s">
        <v>47</v>
      </c>
      <c r="B25" s="15">
        <f>Лист1!B18</f>
        <v>682.8</v>
      </c>
      <c r="C25" s="133">
        <f>Лист1!C18</f>
        <v>5906.22</v>
      </c>
      <c r="D25" s="234">
        <f>Лист1!D18</f>
        <v>685.4799999999991</v>
      </c>
      <c r="E25" s="41">
        <f>Лист1!S18</f>
        <v>4898.59</v>
      </c>
      <c r="F25" s="81">
        <f>Лист1!T18</f>
        <v>322.15000000000003</v>
      </c>
      <c r="G25" s="42">
        <f>Лист1!AB18</f>
        <v>5381.879999999999</v>
      </c>
      <c r="H25" s="126">
        <f>Лист1!AC18</f>
        <v>6389.509999999998</v>
      </c>
      <c r="I25" s="41">
        <f>Лист1!AG18</f>
        <v>409.67999999999995</v>
      </c>
      <c r="J25" s="16">
        <f>Лист1!AI18+Лист1!AJ18</f>
        <v>684.8484</v>
      </c>
      <c r="K25" s="16">
        <f>Лист1!AH18+Лист1!AK18+Лист1!AL18+Лист1!AM18+Лист1!AN18+Лист1!AO18+Лист1!AP18+Лист1!AQ18+Лист1!AR18</f>
        <v>2345.5545599999996</v>
      </c>
      <c r="L25" s="17">
        <f>Лист1!AS18+Лист1!AT18+Лист1!AU18</f>
        <v>2425.7731999999996</v>
      </c>
      <c r="M25" s="17">
        <f>Лист1!AX18</f>
        <v>104.27423999999999</v>
      </c>
      <c r="N25" s="108">
        <f t="shared" si="1"/>
        <v>5970.130399999999</v>
      </c>
      <c r="O25" s="43">
        <f>Лист1!BE18</f>
        <v>419.3795999999993</v>
      </c>
      <c r="P25" s="112">
        <f>Лист1!BF18</f>
        <v>483.28999999999905</v>
      </c>
      <c r="Q25" s="1"/>
      <c r="R25" s="1"/>
    </row>
    <row r="26" spans="1:18" ht="12.75">
      <c r="A26" s="14" t="s">
        <v>48</v>
      </c>
      <c r="B26" s="15">
        <f>Лист1!B19</f>
        <v>682.8</v>
      </c>
      <c r="C26" s="133">
        <f>Лист1!C19</f>
        <v>5906.22</v>
      </c>
      <c r="D26" s="234">
        <f>Лист1!D19</f>
        <v>484.20000000000016</v>
      </c>
      <c r="E26" s="41">
        <f>Лист1!S19</f>
        <v>4936.070000000001</v>
      </c>
      <c r="F26" s="81">
        <f>Лист1!T19</f>
        <v>485.95</v>
      </c>
      <c r="G26" s="42">
        <f>Лист1!AB19</f>
        <v>4667.14</v>
      </c>
      <c r="H26" s="126">
        <f>Лист1!AC19</f>
        <v>5637.290000000001</v>
      </c>
      <c r="I26" s="41">
        <f>Лист1!AG19</f>
        <v>409.67999999999995</v>
      </c>
      <c r="J26" s="16">
        <f>Лист1!AI19+Лист1!AJ19</f>
        <v>684.8484</v>
      </c>
      <c r="K26" s="16">
        <f>Лист1!AH19+Лист1!AK19+Лист1!AL19+Лист1!AM19+Лист1!AN19+Лист1!AO19+Лист1!AP19+Лист1!AQ19+Лист1!AR19</f>
        <v>2345.6160119999995</v>
      </c>
      <c r="L26" s="17">
        <f>Лист1!AS19+Лист1!AT19+Лист1!AU19</f>
        <v>0</v>
      </c>
      <c r="M26" s="17">
        <f>Лист1!AX19</f>
        <v>92.37983999999999</v>
      </c>
      <c r="N26" s="108">
        <f t="shared" si="1"/>
        <v>3532.5242519999997</v>
      </c>
      <c r="O26" s="43">
        <f>Лист1!BE19</f>
        <v>2104.7657480000016</v>
      </c>
      <c r="P26" s="112">
        <f>Лист1!BF19</f>
        <v>-268.9300000000003</v>
      </c>
      <c r="Q26" s="1"/>
      <c r="R26" s="1"/>
    </row>
    <row r="27" spans="1:18" ht="12.75">
      <c r="A27" s="14" t="s">
        <v>49</v>
      </c>
      <c r="B27" s="15">
        <f>Лист1!B20</f>
        <v>682.8</v>
      </c>
      <c r="C27" s="133">
        <f>Лист1!C20</f>
        <v>5906.22</v>
      </c>
      <c r="D27" s="234">
        <f>Лист1!D20</f>
        <v>484.19999999999993</v>
      </c>
      <c r="E27" s="41">
        <f>Лист1!S20</f>
        <v>4936.070000000001</v>
      </c>
      <c r="F27" s="81">
        <f>Лист1!T20</f>
        <v>485.95</v>
      </c>
      <c r="G27" s="42">
        <f>Лист1!AB20</f>
        <v>3721.4300000000003</v>
      </c>
      <c r="H27" s="126">
        <f>Лист1!AC20</f>
        <v>4691.58</v>
      </c>
      <c r="I27" s="41">
        <f>Лист1!AG20</f>
        <v>409.67999999999995</v>
      </c>
      <c r="J27" s="16">
        <f>Лист1!AI20+Лист1!AJ20</f>
        <v>675.05506788</v>
      </c>
      <c r="K27" s="16">
        <f>Лист1!AH20+Лист1!AK20+Лист1!AL20+Лист1!AM20+Лист1!AN20+Лист1!AO20+Лист1!AP20+Лист1!AQ20+Лист1!AR20</f>
        <v>2322.4326304799997</v>
      </c>
      <c r="L27" s="17">
        <f>Лист1!AS20+Лист1!AT20+Лист1!AU20</f>
        <v>5472.84</v>
      </c>
      <c r="M27" s="17">
        <f>Лист1!AX20</f>
        <v>98.32704</v>
      </c>
      <c r="N27" s="108">
        <f t="shared" si="1"/>
        <v>8978.33473836</v>
      </c>
      <c r="O27" s="43">
        <f>Лист1!BE20</f>
        <v>-4286.7547383599995</v>
      </c>
      <c r="P27" s="112">
        <f>Лист1!BF20</f>
        <v>-1214.6400000000003</v>
      </c>
      <c r="Q27" s="1"/>
      <c r="R27" s="1"/>
    </row>
    <row r="28" spans="1:18" ht="12.75">
      <c r="A28" s="14" t="s">
        <v>50</v>
      </c>
      <c r="B28" s="15">
        <f>Лист1!B21</f>
        <v>682.8</v>
      </c>
      <c r="C28" s="133">
        <f>Лист1!C21</f>
        <v>5906.22</v>
      </c>
      <c r="D28" s="234">
        <f>Лист1!D21</f>
        <v>484.19999999999993</v>
      </c>
      <c r="E28" s="41">
        <f>Лист1!S21</f>
        <v>4936.070000000001</v>
      </c>
      <c r="F28" s="81">
        <f>Лист1!T21</f>
        <v>485.95</v>
      </c>
      <c r="G28" s="42">
        <f>Лист1!AB21</f>
        <v>4462.9800000000005</v>
      </c>
      <c r="H28" s="126">
        <f>Лист1!AC21</f>
        <v>5433.13</v>
      </c>
      <c r="I28" s="41">
        <f>Лист1!AG21</f>
        <v>409.67999999999995</v>
      </c>
      <c r="J28" s="16">
        <f>Лист1!AI21+Лист1!AJ21</f>
        <v>674.7537345840001</v>
      </c>
      <c r="K28" s="16">
        <f>Лист1!AH21+Лист1!AK21+Лист1!AL21+Лист1!AM21+Лист1!AN21+Лист1!AO21+Лист1!AP21+Лист1!AQ21+Лист1!AR21</f>
        <v>2321.9419703999997</v>
      </c>
      <c r="L28" s="17">
        <f>Лист1!AS21+Лист1!AT21+Лист1!AU21</f>
        <v>15057.98</v>
      </c>
      <c r="M28" s="17">
        <f>Лист1!AX21</f>
        <v>116.16863999999998</v>
      </c>
      <c r="N28" s="108">
        <f t="shared" si="1"/>
        <v>18580.524344983998</v>
      </c>
      <c r="O28" s="43">
        <f>Лист1!BE21</f>
        <v>-13147.394344983997</v>
      </c>
      <c r="P28" s="112">
        <f>Лист1!BF21</f>
        <v>-473.09000000000015</v>
      </c>
      <c r="Q28" s="1"/>
      <c r="R28" s="1"/>
    </row>
    <row r="29" spans="1:18" ht="12.75">
      <c r="A29" s="14" t="s">
        <v>51</v>
      </c>
      <c r="B29" s="15">
        <f>Лист1!B22</f>
        <v>682.8</v>
      </c>
      <c r="C29" s="133">
        <f>Лист1!C22</f>
        <v>5906.22</v>
      </c>
      <c r="D29" s="234">
        <f>Лист1!D22</f>
        <v>484.18999999999994</v>
      </c>
      <c r="E29" s="41">
        <f>Лист1!S22</f>
        <v>4936.08</v>
      </c>
      <c r="F29" s="81">
        <f>Лист1!T22</f>
        <v>485.95</v>
      </c>
      <c r="G29" s="42">
        <f>Лист1!AB22</f>
        <v>4651.3099999999995</v>
      </c>
      <c r="H29" s="126">
        <f>Лист1!AC22</f>
        <v>5621.449999999999</v>
      </c>
      <c r="I29" s="41">
        <f>Лист1!AG22</f>
        <v>409.67999999999995</v>
      </c>
      <c r="J29" s="16">
        <f>Лист1!AI22+Лист1!AJ22</f>
        <v>674.6373103560001</v>
      </c>
      <c r="K29" s="16">
        <f>Лист1!AH22+Лист1!AK22+Лист1!AL22+Лист1!AM22+Лист1!AN22+Лист1!AO22+Лист1!AP22+Лист1!AQ22+Лист1!AR22</f>
        <v>2321.6368639511998</v>
      </c>
      <c r="L29" s="17">
        <f>Лист1!AS22+Лист1!AT22+Лист1!AU22</f>
        <v>0</v>
      </c>
      <c r="M29" s="17">
        <f>Лист1!AX22</f>
        <v>138.37152</v>
      </c>
      <c r="N29" s="108">
        <f t="shared" si="1"/>
        <v>3544.3256943071997</v>
      </c>
      <c r="O29" s="43">
        <f>Лист1!BE22</f>
        <v>2077.1243056927988</v>
      </c>
      <c r="P29" s="112">
        <f>Лист1!BF22</f>
        <v>-284.77000000000044</v>
      </c>
      <c r="Q29" s="1"/>
      <c r="R29" s="1"/>
    </row>
    <row r="30" spans="1:18" ht="12.75">
      <c r="A30" s="14" t="s">
        <v>39</v>
      </c>
      <c r="B30" s="15">
        <f>Лист1!B23</f>
        <v>682.8</v>
      </c>
      <c r="C30" s="133">
        <f>Лист1!C23</f>
        <v>5906.22</v>
      </c>
      <c r="D30" s="234">
        <f>Лист1!D23</f>
        <v>484.19999999999993</v>
      </c>
      <c r="E30" s="41">
        <f>Лист1!S23</f>
        <v>4936.070000000001</v>
      </c>
      <c r="F30" s="81">
        <f>Лист1!T23</f>
        <v>485.95</v>
      </c>
      <c r="G30" s="42">
        <f>Лист1!AB23</f>
        <v>4620.9800000000005</v>
      </c>
      <c r="H30" s="126">
        <f>Лист1!AC23</f>
        <v>5591.13</v>
      </c>
      <c r="I30" s="41">
        <f>Лист1!AG23</f>
        <v>409.67999999999995</v>
      </c>
      <c r="J30" s="16">
        <f>Лист1!AI23+Лист1!AJ23</f>
        <v>682.431288</v>
      </c>
      <c r="K30" s="16">
        <f>Лист1!AH23+Лист1!AK23+Лист1!AL23+Лист1!AM23+Лист1!AN23+Лист1!AO23+Лист1!AP23+Лист1!AQ23+Лист1!AR23</f>
        <v>2341.5943199999997</v>
      </c>
      <c r="L30" s="17">
        <f>Лист1!AS23+Лист1!AT23+Лист1!AU23</f>
        <v>0</v>
      </c>
      <c r="M30" s="17">
        <f>Лист1!AX23</f>
        <v>168.504</v>
      </c>
      <c r="N30" s="108">
        <f t="shared" si="1"/>
        <v>3602.2096079999997</v>
      </c>
      <c r="O30" s="43">
        <f>Лист1!BE23</f>
        <v>1988.9203920000004</v>
      </c>
      <c r="P30" s="112">
        <f>Лист1!BF23</f>
        <v>-315.09000000000015</v>
      </c>
      <c r="Q30" s="1"/>
      <c r="R30" s="1"/>
    </row>
    <row r="31" spans="1:18" ht="12.75">
      <c r="A31" s="14" t="s">
        <v>40</v>
      </c>
      <c r="B31" s="15">
        <f>Лист1!B24</f>
        <v>682.8</v>
      </c>
      <c r="C31" s="133">
        <f>Лист1!C24</f>
        <v>5906.22</v>
      </c>
      <c r="D31" s="234">
        <f>Лист1!D24</f>
        <v>484.19999999999993</v>
      </c>
      <c r="E31" s="41">
        <f>Лист1!S24</f>
        <v>4936.070000000001</v>
      </c>
      <c r="F31" s="81">
        <f>Лист1!T24</f>
        <v>485.95</v>
      </c>
      <c r="G31" s="42">
        <f>Лист1!AB24</f>
        <v>6311.2300000000005</v>
      </c>
      <c r="H31" s="126">
        <f>Лист1!AC24</f>
        <v>7281.38</v>
      </c>
      <c r="I31" s="41">
        <f>Лист1!AG24</f>
        <v>409.67999999999995</v>
      </c>
      <c r="J31" s="16">
        <f>Лист1!AI24+Лист1!AJ24</f>
        <v>684.8484</v>
      </c>
      <c r="K31" s="16">
        <f>Лист1!AH24+Лист1!AK24+Лист1!AL24+Лист1!AM24+Лист1!AN24+Лист1!AO24+Лист1!AP24+Лист1!AQ24+Лист1!AR24</f>
        <v>2344.1889599999995</v>
      </c>
      <c r="L31" s="17">
        <f>Лист1!AS24+Лист1!AT24+Лист1!AU24</f>
        <v>0</v>
      </c>
      <c r="M31" s="17">
        <f>Лист1!AX24</f>
        <v>186.34560000000002</v>
      </c>
      <c r="N31" s="108">
        <f t="shared" si="1"/>
        <v>3625.0629599999997</v>
      </c>
      <c r="O31" s="43">
        <f>Лист1!BE24</f>
        <v>3656.317040000001</v>
      </c>
      <c r="P31" s="112">
        <f>Лист1!BF24</f>
        <v>1375.1599999999999</v>
      </c>
      <c r="Q31" s="1"/>
      <c r="R31" s="1"/>
    </row>
    <row r="32" spans="1:18" ht="13.5" thickBot="1">
      <c r="A32" s="44" t="s">
        <v>41</v>
      </c>
      <c r="B32" s="15">
        <f>Лист1!B25</f>
        <v>682.8</v>
      </c>
      <c r="C32" s="133">
        <f>Лист1!C25</f>
        <v>5906.22</v>
      </c>
      <c r="D32" s="234">
        <f>Лист1!D25</f>
        <v>479.270000000001</v>
      </c>
      <c r="E32" s="41">
        <f>Лист1!S25</f>
        <v>5046.67</v>
      </c>
      <c r="F32" s="81">
        <f>Лист1!T25</f>
        <v>380.28</v>
      </c>
      <c r="G32" s="42">
        <f>Лист1!AB25</f>
        <v>6594.96</v>
      </c>
      <c r="H32" s="126">
        <f>Лист1!AC25</f>
        <v>7454.510000000001</v>
      </c>
      <c r="I32" s="41">
        <f>Лист1!AG25</f>
        <v>409.67999999999995</v>
      </c>
      <c r="J32" s="16">
        <f>Лист1!AI25+Лист1!AJ25</f>
        <v>684.8484</v>
      </c>
      <c r="K32" s="16">
        <f>Лист1!AH25+Лист1!AK25+Лист1!AL25+Лист1!AM25+Лист1!AN25+Лист1!AO25+Лист1!AP25+Лист1!AQ25+Лист1!AR25</f>
        <v>2344.1889599999995</v>
      </c>
      <c r="L32" s="17">
        <f>Лист1!AS25+Лист1!AT25+Лист1!AU25</f>
        <v>0</v>
      </c>
      <c r="M32" s="17">
        <f>Лист1!AX25</f>
        <v>203.79072</v>
      </c>
      <c r="N32" s="108">
        <f t="shared" si="1"/>
        <v>3642.5080799999996</v>
      </c>
      <c r="O32" s="43">
        <f>Лист1!BE25</f>
        <v>3812.0019200000015</v>
      </c>
      <c r="P32" s="112">
        <f>Лист1!BF25</f>
        <v>1548.29</v>
      </c>
      <c r="Q32" s="1"/>
      <c r="R32" s="1"/>
    </row>
    <row r="33" spans="1:18" s="24" customFormat="1" ht="13.5" thickBot="1">
      <c r="A33" s="45" t="s">
        <v>3</v>
      </c>
      <c r="B33" s="46"/>
      <c r="C33" s="49">
        <f aca="true" t="shared" si="2" ref="C33:P33">SUM(C21:C32)</f>
        <v>70827.93000000001</v>
      </c>
      <c r="D33" s="51">
        <f t="shared" si="2"/>
        <v>7017.211249999999</v>
      </c>
      <c r="E33" s="50">
        <f t="shared" si="2"/>
        <v>58034.14</v>
      </c>
      <c r="F33" s="47">
        <f t="shared" si="2"/>
        <v>4761.289999999999</v>
      </c>
      <c r="G33" s="48">
        <f t="shared" si="2"/>
        <v>55614.350000000006</v>
      </c>
      <c r="H33" s="96">
        <f t="shared" si="2"/>
        <v>67392.85124999999</v>
      </c>
      <c r="I33" s="50">
        <f t="shared" si="2"/>
        <v>4749.371999999999</v>
      </c>
      <c r="J33" s="47">
        <f t="shared" si="2"/>
        <v>7835.001247879999</v>
      </c>
      <c r="K33" s="47">
        <f t="shared" si="2"/>
        <v>28909.213564859194</v>
      </c>
      <c r="L33" s="47">
        <f t="shared" si="2"/>
        <v>23318.853199999998</v>
      </c>
      <c r="M33" s="47">
        <f t="shared" si="2"/>
        <v>1744.512</v>
      </c>
      <c r="N33" s="88">
        <f t="shared" si="2"/>
        <v>66556.9520127392</v>
      </c>
      <c r="O33" s="51">
        <f t="shared" si="2"/>
        <v>835.8992372608063</v>
      </c>
      <c r="P33" s="115">
        <f t="shared" si="2"/>
        <v>-2419.790000000002</v>
      </c>
      <c r="Q33" s="53"/>
      <c r="R33" s="53"/>
    </row>
    <row r="34" spans="1:18" ht="13.5" thickBot="1">
      <c r="A34" s="90" t="s">
        <v>66</v>
      </c>
      <c r="B34" s="91"/>
      <c r="C34" s="92"/>
      <c r="D34" s="119"/>
      <c r="E34" s="91"/>
      <c r="F34" s="91"/>
      <c r="G34" s="90"/>
      <c r="H34" s="130"/>
      <c r="I34" s="91"/>
      <c r="J34" s="91"/>
      <c r="K34" s="91"/>
      <c r="L34" s="91"/>
      <c r="M34" s="91"/>
      <c r="N34" s="93"/>
      <c r="O34" s="119"/>
      <c r="P34" s="116"/>
      <c r="Q34" s="1"/>
      <c r="R34" s="1"/>
    </row>
    <row r="35" spans="1:18" s="24" customFormat="1" ht="13.5" thickBot="1">
      <c r="A35" s="58" t="s">
        <v>52</v>
      </c>
      <c r="B35" s="59"/>
      <c r="C35" s="60">
        <f>C19+C33</f>
        <v>88484.31000000001</v>
      </c>
      <c r="D35" s="62">
        <f aca="true" t="shared" si="3" ref="D35:P35">D19+D33</f>
        <v>11267.1607706</v>
      </c>
      <c r="E35" s="124">
        <f t="shared" si="3"/>
        <v>71147.92</v>
      </c>
      <c r="F35" s="123">
        <f t="shared" si="3"/>
        <v>5618.659999999999</v>
      </c>
      <c r="G35" s="61">
        <f t="shared" si="3"/>
        <v>63126.97000000001</v>
      </c>
      <c r="H35" s="89">
        <f t="shared" si="3"/>
        <v>80012.7907706</v>
      </c>
      <c r="I35" s="124">
        <f t="shared" si="3"/>
        <v>5974.091999999999</v>
      </c>
      <c r="J35" s="59">
        <f t="shared" si="3"/>
        <v>9884.66923412</v>
      </c>
      <c r="K35" s="59">
        <f t="shared" si="3"/>
        <v>36095.109109631194</v>
      </c>
      <c r="L35" s="59">
        <f t="shared" si="3"/>
        <v>35273.4332</v>
      </c>
      <c r="M35" s="59">
        <f t="shared" si="3"/>
        <v>1744.512</v>
      </c>
      <c r="N35" s="97">
        <f t="shared" si="3"/>
        <v>88971.8155437512</v>
      </c>
      <c r="O35" s="62">
        <f t="shared" si="3"/>
        <v>-8959.024773151192</v>
      </c>
      <c r="P35" s="117">
        <f t="shared" si="3"/>
        <v>-8020.950000000002</v>
      </c>
      <c r="Q35" s="63"/>
      <c r="R35" s="53"/>
    </row>
    <row r="36" spans="1:18" ht="12.75">
      <c r="A36" s="8" t="s">
        <v>93</v>
      </c>
      <c r="B36" s="69"/>
      <c r="C36" s="135"/>
      <c r="D36" s="236"/>
      <c r="E36" s="56"/>
      <c r="F36" s="122"/>
      <c r="G36" s="57"/>
      <c r="H36" s="129"/>
      <c r="I36" s="56"/>
      <c r="J36" s="54"/>
      <c r="K36" s="54"/>
      <c r="L36" s="70"/>
      <c r="M36" s="70"/>
      <c r="N36" s="109"/>
      <c r="O36" s="71"/>
      <c r="P36" s="114"/>
      <c r="Q36" s="1"/>
      <c r="R36" s="1"/>
    </row>
    <row r="37" spans="1:18" ht="12.75">
      <c r="A37" s="14" t="s">
        <v>43</v>
      </c>
      <c r="B37" s="15">
        <f>Лист1!B30</f>
        <v>682.8</v>
      </c>
      <c r="C37" s="133">
        <f>Лист1!C30</f>
        <v>5906.22</v>
      </c>
      <c r="D37" s="234">
        <f>Лист1!D30</f>
        <v>443.1600000000003</v>
      </c>
      <c r="E37" s="41">
        <f>Лист1!S30</f>
        <v>5294.15</v>
      </c>
      <c r="F37" s="81">
        <f>Лист1!T30</f>
        <v>168.91000000000003</v>
      </c>
      <c r="G37" s="42">
        <f>Лист1!AB30</f>
        <v>3048.4300000000003</v>
      </c>
      <c r="H37" s="126">
        <f>Лист1!AC30</f>
        <v>3660.500000000001</v>
      </c>
      <c r="I37" s="41">
        <f>Лист1!AG30</f>
        <v>409.67999999999995</v>
      </c>
      <c r="J37" s="16">
        <f>Лист1!AI30+Лист1!AJ30</f>
        <v>682.8</v>
      </c>
      <c r="K37" s="16">
        <f>Лист1!AH30+Лист1!AK30+Лист1!AL30+Лист1!AM30+Лист1!AN30+Лист1!AO30+Лист1!AP30+Лист1!AQ30+Лист1!AR30</f>
        <v>2342.004</v>
      </c>
      <c r="L37" s="17">
        <f>Лист1!AS30+Лист1!AT30+Лист1!AU30</f>
        <v>0</v>
      </c>
      <c r="M37" s="17">
        <f>Лист1!AX30</f>
        <v>213.35999999999999</v>
      </c>
      <c r="N37" s="108">
        <f>SUM(I37:M37)</f>
        <v>3647.844</v>
      </c>
      <c r="O37" s="43">
        <f>Лист1!BE30</f>
        <v>12.656000000001768</v>
      </c>
      <c r="P37" s="112">
        <f>Лист1!BF30</f>
        <v>-2245.7199999999993</v>
      </c>
      <c r="Q37" s="1"/>
      <c r="R37" s="1"/>
    </row>
    <row r="38" spans="1:18" ht="12.75">
      <c r="A38" s="14" t="s">
        <v>44</v>
      </c>
      <c r="B38" s="15">
        <f>Лист1!B31</f>
        <v>682.8</v>
      </c>
      <c r="C38" s="133">
        <f>Лист1!C31</f>
        <v>5906.22</v>
      </c>
      <c r="D38" s="234">
        <f>Лист1!D31</f>
        <v>442.0400000000003</v>
      </c>
      <c r="E38" s="41">
        <f>Лист1!S31</f>
        <v>5254.66</v>
      </c>
      <c r="F38" s="81">
        <f>Лист1!T31</f>
        <v>209.52</v>
      </c>
      <c r="G38" s="42">
        <f>Лист1!AB31</f>
        <v>3849.44</v>
      </c>
      <c r="H38" s="126">
        <f>Лист1!AC31</f>
        <v>4501</v>
      </c>
      <c r="I38" s="41">
        <f>Лист1!AG31</f>
        <v>409.67999999999995</v>
      </c>
      <c r="J38" s="16">
        <f>Лист1!AI31+Лист1!AJ31</f>
        <v>682.8</v>
      </c>
      <c r="K38" s="16">
        <f>Лист1!AH31+Лист1!AK31+Лист1!AL31+Лист1!AM31+Лист1!AN31+Лист1!AO31+Лист1!AP31+Лист1!AQ31+Лист1!AR31</f>
        <v>2342.004</v>
      </c>
      <c r="L38" s="17">
        <f>Лист1!AS31+Лист1!AT31+Лист1!AU31</f>
        <v>0</v>
      </c>
      <c r="M38" s="17">
        <f>Лист1!AX31</f>
        <v>170.93999999999997</v>
      </c>
      <c r="N38" s="108">
        <f aca="true" t="shared" si="4" ref="N38:N48">SUM(I38:M38)</f>
        <v>3605.424</v>
      </c>
      <c r="O38" s="43">
        <f>Лист1!BE31</f>
        <v>895.5760000000005</v>
      </c>
      <c r="P38" s="112">
        <f>Лист1!BF31</f>
        <v>-1405.2199999999998</v>
      </c>
      <c r="Q38" s="1"/>
      <c r="R38" s="1"/>
    </row>
    <row r="39" spans="1:18" ht="12.75">
      <c r="A39" s="14" t="s">
        <v>45</v>
      </c>
      <c r="B39" s="15">
        <f>Лист1!B32</f>
        <v>682.8</v>
      </c>
      <c r="C39" s="133">
        <f>Лист1!C32</f>
        <v>5906.22</v>
      </c>
      <c r="D39" s="234">
        <f>Лист1!D32</f>
        <v>442.03999999999917</v>
      </c>
      <c r="E39" s="41">
        <f>Лист1!S32</f>
        <v>5249.16</v>
      </c>
      <c r="F39" s="81">
        <f>Лист1!T32</f>
        <v>215.01999999999998</v>
      </c>
      <c r="G39" s="42">
        <f>Лист1!AB32</f>
        <v>6618.09</v>
      </c>
      <c r="H39" s="126">
        <f>Лист1!AC32</f>
        <v>7275.15</v>
      </c>
      <c r="I39" s="41">
        <f>Лист1!AG32</f>
        <v>409.67999999999995</v>
      </c>
      <c r="J39" s="16">
        <f>Лист1!AI32+Лист1!AJ32</f>
        <v>682.8</v>
      </c>
      <c r="K39" s="16">
        <f>Лист1!AH32+Лист1!AK32+Лист1!AL32+Лист1!AM32+Лист1!AN32+Лист1!AO32+Лист1!AP32+Лист1!AQ32+Лист1!AR32</f>
        <v>2342.004</v>
      </c>
      <c r="L39" s="17">
        <f>Лист1!AS32+Лист1!AT32+Лист1!AU32</f>
        <v>1633</v>
      </c>
      <c r="M39" s="17">
        <f>Лист1!AX32</f>
        <v>160.85999999999999</v>
      </c>
      <c r="N39" s="108">
        <f t="shared" si="4"/>
        <v>5228.344</v>
      </c>
      <c r="O39" s="43">
        <f>Лист1!BE32</f>
        <v>2046.8060000000005</v>
      </c>
      <c r="P39" s="112">
        <f>Лист1!BF32</f>
        <v>1368.9300000000003</v>
      </c>
      <c r="Q39" s="1"/>
      <c r="R39" s="1"/>
    </row>
    <row r="40" spans="1:18" ht="12.75">
      <c r="A40" s="14" t="s">
        <v>46</v>
      </c>
      <c r="B40" s="15">
        <f>Лист1!B33</f>
        <v>682.8</v>
      </c>
      <c r="C40" s="133">
        <f>Лист1!C33</f>
        <v>5906.22</v>
      </c>
      <c r="D40" s="234">
        <f>Лист1!D33</f>
        <v>424.37999999999937</v>
      </c>
      <c r="E40" s="41">
        <f>Лист1!S33</f>
        <v>5266.82</v>
      </c>
      <c r="F40" s="81">
        <f>Лист1!T33</f>
        <v>215.01999999999998</v>
      </c>
      <c r="G40" s="42">
        <f>Лист1!AB33</f>
        <v>3920.58</v>
      </c>
      <c r="H40" s="126">
        <f>Лист1!AC33</f>
        <v>4559.98</v>
      </c>
      <c r="I40" s="41">
        <f>Лист1!AG33</f>
        <v>409.67999999999995</v>
      </c>
      <c r="J40" s="16">
        <f>Лист1!AI33+Лист1!AJ33</f>
        <v>682.8</v>
      </c>
      <c r="K40" s="16">
        <f>Лист1!AH33+Лист1!AK33+Лист1!AL33+Лист1!AM33+Лист1!AN33+Лист1!AO33+Лист1!AP33+Лист1!AQ33+Лист1!AR33</f>
        <v>2342.004</v>
      </c>
      <c r="L40" s="17">
        <f>Лист1!AS33+Лист1!AT33+Лист1!AU33</f>
        <v>475</v>
      </c>
      <c r="M40" s="17">
        <f>Лист1!AX33</f>
        <v>128.94</v>
      </c>
      <c r="N40" s="108">
        <f t="shared" si="4"/>
        <v>4038.424</v>
      </c>
      <c r="O40" s="43">
        <f>Лист1!BE33</f>
        <v>521.5560000000005</v>
      </c>
      <c r="P40" s="112">
        <f>Лист1!BF33</f>
        <v>-1346.2399999999998</v>
      </c>
      <c r="Q40" s="1"/>
      <c r="R40" s="1"/>
    </row>
    <row r="41" spans="1:18" ht="12.75">
      <c r="A41" s="14" t="s">
        <v>47</v>
      </c>
      <c r="B41" s="15">
        <f>Лист1!B34</f>
        <v>682.8</v>
      </c>
      <c r="C41" s="133">
        <f>Лист1!C34</f>
        <v>5906.22</v>
      </c>
      <c r="D41" s="234">
        <f>Лист1!D34</f>
        <v>432.11</v>
      </c>
      <c r="E41" s="41">
        <f>Лист1!S34</f>
        <v>5259.09</v>
      </c>
      <c r="F41" s="81">
        <f>Лист1!T34</f>
        <v>215.01999999999998</v>
      </c>
      <c r="G41" s="42">
        <f>Лист1!AB34</f>
        <v>5345.2699999999995</v>
      </c>
      <c r="H41" s="126">
        <f>Лист1!AC34</f>
        <v>5992.4</v>
      </c>
      <c r="I41" s="41">
        <f>Лист1!AG34</f>
        <v>409.67999999999995</v>
      </c>
      <c r="J41" s="16">
        <f>Лист1!AI34+Лист1!AJ34</f>
        <v>682.8</v>
      </c>
      <c r="K41" s="16">
        <f>Лист1!AH34+Лист1!AK34+Лист1!AL34+Лист1!AM34+Лист1!AN34+Лист1!AO34+Лист1!AP34+Лист1!AQ34+Лист1!AR34</f>
        <v>2342.004</v>
      </c>
      <c r="L41" s="17">
        <f>Лист1!AS34+Лист1!AT34+Лист1!AU34</f>
        <v>0</v>
      </c>
      <c r="M41" s="17">
        <f>Лист1!AX34</f>
        <v>110.45999999999998</v>
      </c>
      <c r="N41" s="108">
        <f t="shared" si="4"/>
        <v>3544.944</v>
      </c>
      <c r="O41" s="43">
        <f>Лист1!BE34</f>
        <v>2447.456</v>
      </c>
      <c r="P41" s="112">
        <f>Лист1!BF34</f>
        <v>86.17999999999938</v>
      </c>
      <c r="Q41" s="1"/>
      <c r="R41" s="1"/>
    </row>
    <row r="42" spans="1:18" ht="12.75">
      <c r="A42" s="14" t="s">
        <v>48</v>
      </c>
      <c r="B42" s="15">
        <f>Лист1!B35</f>
        <v>682.8</v>
      </c>
      <c r="C42" s="133">
        <f>Лист1!C35</f>
        <v>5906.22</v>
      </c>
      <c r="D42" s="234">
        <f>Лист1!D35</f>
        <v>467.42000000000064</v>
      </c>
      <c r="E42" s="41">
        <f>Лист1!S35</f>
        <v>5061.86</v>
      </c>
      <c r="F42" s="81">
        <f>Лист1!T35</f>
        <v>376.94</v>
      </c>
      <c r="G42" s="42">
        <f>Лист1!AB35</f>
        <v>3573.48</v>
      </c>
      <c r="H42" s="126">
        <f>Лист1!AC35</f>
        <v>4417.84</v>
      </c>
      <c r="I42" s="41">
        <f>Лист1!AG35</f>
        <v>409.67999999999995</v>
      </c>
      <c r="J42" s="16">
        <f>Лист1!AI35+Лист1!AJ35</f>
        <v>682.8</v>
      </c>
      <c r="K42" s="16">
        <f>Лист1!AH35+Лист1!AK35+Лист1!AL35+Лист1!AM35+Лист1!AN35+Лист1!AO35+Лист1!AP35+Лист1!AQ35+Лист1!AR35</f>
        <v>2342.004</v>
      </c>
      <c r="L42" s="17">
        <f>Лист1!AS35+Лист1!AT35+Лист1!AU35</f>
        <v>28938.0014</v>
      </c>
      <c r="M42" s="17">
        <f>Лист1!AX35</f>
        <v>97.85999999999999</v>
      </c>
      <c r="N42" s="108">
        <f t="shared" si="4"/>
        <v>32470.345400000002</v>
      </c>
      <c r="O42" s="43">
        <f>Лист1!BE35</f>
        <v>-28052.5054</v>
      </c>
      <c r="P42" s="112">
        <f>Лист1!BF35</f>
        <v>-1488.3799999999997</v>
      </c>
      <c r="Q42" s="1"/>
      <c r="R42" s="1"/>
    </row>
    <row r="43" spans="1:18" ht="12.75">
      <c r="A43" s="14" t="s">
        <v>49</v>
      </c>
      <c r="B43" s="15">
        <f>Лист1!B36</f>
        <v>682.8</v>
      </c>
      <c r="C43" s="133">
        <f>Лист1!C36</f>
        <v>5906.22</v>
      </c>
      <c r="D43" s="234">
        <f>Лист1!D36</f>
        <v>460.1700000000006</v>
      </c>
      <c r="E43" s="41">
        <f>Лист1!S36</f>
        <v>5446.05</v>
      </c>
      <c r="F43" s="81">
        <f>Лист1!T36</f>
        <v>0</v>
      </c>
      <c r="G43" s="42">
        <f>Лист1!AB36</f>
        <v>6041.97</v>
      </c>
      <c r="H43" s="126">
        <f>Лист1!AC36</f>
        <v>6502.140000000001</v>
      </c>
      <c r="I43" s="41">
        <f>Лист1!AG36</f>
        <v>409.67999999999995</v>
      </c>
      <c r="J43" s="16">
        <f>Лист1!AI36+Лист1!AJ36</f>
        <v>682.8</v>
      </c>
      <c r="K43" s="16">
        <f>Лист1!AH36+Лист1!AK36+Лист1!AL36+Лист1!AM36+Лист1!AN36+Лист1!AO36+Лист1!AP36+Лист1!AQ36+Лист1!AR36</f>
        <v>2342.004</v>
      </c>
      <c r="L43" s="17">
        <f>Лист1!AS36+Лист1!AT36+Лист1!AU36</f>
        <v>0</v>
      </c>
      <c r="M43" s="17">
        <f>Лист1!AX36</f>
        <v>104.15999999999998</v>
      </c>
      <c r="N43" s="108">
        <f t="shared" si="4"/>
        <v>3538.644</v>
      </c>
      <c r="O43" s="43">
        <f>Лист1!BE36</f>
        <v>2963.496000000002</v>
      </c>
      <c r="P43" s="112">
        <f>Лист1!BF36</f>
        <v>595.9200000000001</v>
      </c>
      <c r="Q43" s="1"/>
      <c r="R43" s="1"/>
    </row>
    <row r="44" spans="1:18" ht="12.75">
      <c r="A44" s="14" t="s">
        <v>50</v>
      </c>
      <c r="B44" s="15">
        <f>Лист1!B37</f>
        <v>682.8</v>
      </c>
      <c r="C44" s="133">
        <f>Лист1!C37</f>
        <v>5906.22</v>
      </c>
      <c r="D44" s="234">
        <f>Лист1!D37</f>
        <v>460.1700000000006</v>
      </c>
      <c r="E44" s="41">
        <f>Лист1!S37</f>
        <v>5446.05</v>
      </c>
      <c r="F44" s="81">
        <f>Лист1!T37</f>
        <v>0</v>
      </c>
      <c r="G44" s="42">
        <f>Лист1!AB37</f>
        <v>5751.219999999999</v>
      </c>
      <c r="H44" s="126">
        <f>Лист1!AC37</f>
        <v>6211.39</v>
      </c>
      <c r="I44" s="41">
        <f>Лист1!AG37</f>
        <v>409.67999999999995</v>
      </c>
      <c r="J44" s="16">
        <f>Лист1!AI37+Лист1!AJ37</f>
        <v>682.8</v>
      </c>
      <c r="K44" s="16">
        <f>Лист1!AH37+Лист1!AK37+Лист1!AL37+Лист1!AM37+Лист1!AN37+Лист1!AO37+Лист1!AP37+Лист1!AQ37+Лист1!AR37</f>
        <v>2342.004</v>
      </c>
      <c r="L44" s="17">
        <f>Лист1!AS37+Лист1!AT37+Лист1!AU37</f>
        <v>56.403999999999996</v>
      </c>
      <c r="M44" s="17">
        <f>Лист1!AX37</f>
        <v>123.05999999999997</v>
      </c>
      <c r="N44" s="108">
        <f t="shared" si="4"/>
        <v>3613.948</v>
      </c>
      <c r="O44" s="43">
        <f>Лист1!BE37</f>
        <v>2597.442000000001</v>
      </c>
      <c r="P44" s="112">
        <f>Лист1!BF37</f>
        <v>305.16999999999916</v>
      </c>
      <c r="Q44" s="1"/>
      <c r="R44" s="1"/>
    </row>
    <row r="45" spans="1:18" ht="12.75">
      <c r="A45" s="14" t="s">
        <v>51</v>
      </c>
      <c r="B45" s="15">
        <f>Лист1!B38</f>
        <v>682.8</v>
      </c>
      <c r="C45" s="133">
        <f>Лист1!C38</f>
        <v>5906.22</v>
      </c>
      <c r="D45" s="234">
        <f>Лист1!D38</f>
        <v>460.1800000000006</v>
      </c>
      <c r="E45" s="41">
        <f>Лист1!S38</f>
        <v>5446.04</v>
      </c>
      <c r="F45" s="81">
        <f>Лист1!T38</f>
        <v>0</v>
      </c>
      <c r="G45" s="42">
        <f>Лист1!AB38</f>
        <v>4021.75</v>
      </c>
      <c r="H45" s="126">
        <f>Лист1!AC38</f>
        <v>4481.93</v>
      </c>
      <c r="I45" s="41">
        <f>Лист1!AG38</f>
        <v>409.67999999999995</v>
      </c>
      <c r="J45" s="16">
        <f>Лист1!AI38+Лист1!AJ38</f>
        <v>682.8</v>
      </c>
      <c r="K45" s="16">
        <f>Лист1!AH38+Лист1!AK38+Лист1!AL38+Лист1!AM38+Лист1!AN38+Лист1!AO38+Лист1!AP38+Лист1!AQ38+Лист1!AR38</f>
        <v>2342.004</v>
      </c>
      <c r="L45" s="17">
        <f>Лист1!AS38+Лист1!AT38+Лист1!AU38</f>
        <v>577</v>
      </c>
      <c r="M45" s="17">
        <f>Лист1!AX38</f>
        <v>146.57999999999998</v>
      </c>
      <c r="N45" s="108">
        <f t="shared" si="4"/>
        <v>4158.064</v>
      </c>
      <c r="O45" s="43">
        <f>Лист1!BE38</f>
        <v>323.8660000000009</v>
      </c>
      <c r="P45" s="112">
        <f>Лист1!BF38</f>
        <v>-1424.29</v>
      </c>
      <c r="Q45" s="1"/>
      <c r="R45" s="1"/>
    </row>
    <row r="46" spans="1:18" ht="12.75">
      <c r="A46" s="14" t="s">
        <v>39</v>
      </c>
      <c r="B46" s="15">
        <f>Лист1!B39</f>
        <v>682.8</v>
      </c>
      <c r="C46" s="133">
        <f>Лист1!C39</f>
        <v>5906.22</v>
      </c>
      <c r="D46" s="234">
        <f>Лист1!D39</f>
        <v>30460.170000000002</v>
      </c>
      <c r="E46" s="41">
        <f>Лист1!S39</f>
        <v>5446.05</v>
      </c>
      <c r="F46" s="81">
        <f>Лист1!T39</f>
        <v>0</v>
      </c>
      <c r="G46" s="42">
        <f>Лист1!AB39</f>
        <v>5916.63</v>
      </c>
      <c r="H46" s="126">
        <f>Лист1!AC39</f>
        <v>36376.8</v>
      </c>
      <c r="I46" s="41">
        <f>Лист1!AG39</f>
        <v>409.67999999999995</v>
      </c>
      <c r="J46" s="16">
        <f>Лист1!AI39+Лист1!AJ39</f>
        <v>682.8</v>
      </c>
      <c r="K46" s="16">
        <f>Лист1!AH39+Лист1!AK39+Лист1!AL39+Лист1!AM39+Лист1!AN39+Лист1!AO39+Лист1!AP39+Лист1!AQ39+Лист1!AR39</f>
        <v>2342.004</v>
      </c>
      <c r="L46" s="17">
        <f>Лист1!AS39+Лист1!AT39+Лист1!AU39</f>
        <v>0</v>
      </c>
      <c r="M46" s="17">
        <f>Лист1!AX39</f>
        <v>178.5</v>
      </c>
      <c r="N46" s="108">
        <f t="shared" si="4"/>
        <v>3612.984</v>
      </c>
      <c r="O46" s="43">
        <f>Лист1!BE39</f>
        <v>32763.816000000003</v>
      </c>
      <c r="P46" s="112">
        <f>Лист1!BF39</f>
        <v>470.5799999999999</v>
      </c>
      <c r="Q46" s="1"/>
      <c r="R46" s="1"/>
    </row>
    <row r="47" spans="1:18" ht="12.75">
      <c r="A47" s="14" t="s">
        <v>40</v>
      </c>
      <c r="B47" s="15">
        <f>Лист1!B40</f>
        <v>682.8</v>
      </c>
      <c r="C47" s="133">
        <f>Лист1!C40</f>
        <v>5906.22</v>
      </c>
      <c r="D47" s="234">
        <f>Лист1!D40</f>
        <v>460.1700000000006</v>
      </c>
      <c r="E47" s="41">
        <f>Лист1!S40</f>
        <v>5446.05</v>
      </c>
      <c r="F47" s="81">
        <f>Лист1!T40</f>
        <v>0</v>
      </c>
      <c r="G47" s="42">
        <f>Лист1!AB40</f>
        <v>4762.2</v>
      </c>
      <c r="H47" s="126">
        <f>Лист1!AC40</f>
        <v>5222.370000000001</v>
      </c>
      <c r="I47" s="41">
        <f>Лист1!AG40</f>
        <v>409.67999999999995</v>
      </c>
      <c r="J47" s="16">
        <f>Лист1!AI40+Лист1!AJ40</f>
        <v>682.8</v>
      </c>
      <c r="K47" s="16">
        <f>Лист1!AH40+Лист1!AK40+Лист1!AL40+Лист1!AM40+Лист1!AN40+Лист1!AO40+Лист1!AP40+Лист1!AQ40+Лист1!AR40</f>
        <v>2342.004</v>
      </c>
      <c r="L47" s="17">
        <f>Лист1!AS40+Лист1!AT40+Лист1!AU40</f>
        <v>303</v>
      </c>
      <c r="M47" s="17">
        <f>Лист1!AX40</f>
        <v>197.39999999999998</v>
      </c>
      <c r="N47" s="108">
        <f t="shared" si="4"/>
        <v>3934.884</v>
      </c>
      <c r="O47" s="43">
        <f>Лист1!BE40</f>
        <v>1287.4860000000017</v>
      </c>
      <c r="P47" s="112">
        <f>Лист1!BF40</f>
        <v>-683.8500000000004</v>
      </c>
      <c r="Q47" s="1"/>
      <c r="R47" s="1"/>
    </row>
    <row r="48" spans="1:18" ht="13.5" thickBot="1">
      <c r="A48" s="44" t="s">
        <v>41</v>
      </c>
      <c r="B48" s="15">
        <f>Лист1!B41</f>
        <v>682.8</v>
      </c>
      <c r="C48" s="133">
        <f>Лист1!C41</f>
        <v>5906.22</v>
      </c>
      <c r="D48" s="234">
        <f>Лист1!D41</f>
        <v>460.1700000000006</v>
      </c>
      <c r="E48" s="41">
        <f>Лист1!S41</f>
        <v>5446.05</v>
      </c>
      <c r="F48" s="81">
        <f>Лист1!T41</f>
        <v>0</v>
      </c>
      <c r="G48" s="42">
        <f>Лист1!AB41</f>
        <v>6854.76</v>
      </c>
      <c r="H48" s="126">
        <f>Лист1!AC41</f>
        <v>7314.930000000001</v>
      </c>
      <c r="I48" s="41">
        <f>Лист1!AG41</f>
        <v>409.67999999999995</v>
      </c>
      <c r="J48" s="16">
        <f>Лист1!AI41+Лист1!AJ41</f>
        <v>682.8</v>
      </c>
      <c r="K48" s="16">
        <f>Лист1!AH41+Лист1!AK41+Лист1!AL41+Лист1!AM41+Лист1!AN41+Лист1!AO41+Лист1!AP41+Лист1!AQ41+Лист1!AR41</f>
        <v>2342.004</v>
      </c>
      <c r="L48" s="17">
        <f>Лист1!AS41+Лист1!AT41+Лист1!AU41</f>
        <v>0</v>
      </c>
      <c r="M48" s="17">
        <f>Лист1!AX41</f>
        <v>215.87999999999997</v>
      </c>
      <c r="N48" s="108">
        <f t="shared" si="4"/>
        <v>3650.364</v>
      </c>
      <c r="O48" s="43">
        <f>Лист1!BE41</f>
        <v>3664.5660000000016</v>
      </c>
      <c r="P48" s="112">
        <f>Лист1!BF41</f>
        <v>1408.71</v>
      </c>
      <c r="Q48" s="1"/>
      <c r="R48" s="1"/>
    </row>
    <row r="49" spans="1:18" s="24" customFormat="1" ht="13.5" thickBot="1">
      <c r="A49" s="45" t="s">
        <v>3</v>
      </c>
      <c r="B49" s="46"/>
      <c r="C49" s="49">
        <f aca="true" t="shared" si="5" ref="C49:P49">SUM(C37:C48)</f>
        <v>70874.64</v>
      </c>
      <c r="D49" s="51">
        <f t="shared" si="5"/>
        <v>35412.18</v>
      </c>
      <c r="E49" s="50">
        <f t="shared" si="5"/>
        <v>64062.03000000001</v>
      </c>
      <c r="F49" s="47">
        <f t="shared" si="5"/>
        <v>1400.43</v>
      </c>
      <c r="G49" s="48">
        <f t="shared" si="5"/>
        <v>59703.82</v>
      </c>
      <c r="H49" s="96">
        <f t="shared" si="5"/>
        <v>96516.43000000001</v>
      </c>
      <c r="I49" s="50">
        <f t="shared" si="5"/>
        <v>4916.16</v>
      </c>
      <c r="J49" s="47">
        <f t="shared" si="5"/>
        <v>8193.6</v>
      </c>
      <c r="K49" s="47">
        <f t="shared" si="5"/>
        <v>28104.048000000006</v>
      </c>
      <c r="L49" s="47">
        <f t="shared" si="5"/>
        <v>31982.4054</v>
      </c>
      <c r="M49" s="47">
        <f t="shared" si="5"/>
        <v>1847.9999999999998</v>
      </c>
      <c r="N49" s="88">
        <f t="shared" si="5"/>
        <v>75044.21340000001</v>
      </c>
      <c r="O49" s="51">
        <f t="shared" si="5"/>
        <v>21472.216600000018</v>
      </c>
      <c r="P49" s="115">
        <f t="shared" si="5"/>
        <v>-4358.21</v>
      </c>
      <c r="Q49" s="53"/>
      <c r="R49" s="53"/>
    </row>
    <row r="50" spans="1:18" ht="13.5" thickBot="1">
      <c r="A50" s="90" t="s">
        <v>66</v>
      </c>
      <c r="B50" s="91"/>
      <c r="C50" s="92"/>
      <c r="D50" s="119"/>
      <c r="E50" s="91"/>
      <c r="F50" s="91"/>
      <c r="G50" s="90"/>
      <c r="H50" s="130"/>
      <c r="I50" s="91"/>
      <c r="J50" s="91"/>
      <c r="K50" s="91"/>
      <c r="L50" s="91"/>
      <c r="M50" s="91"/>
      <c r="N50" s="93"/>
      <c r="O50" s="119"/>
      <c r="P50" s="116"/>
      <c r="Q50" s="1"/>
      <c r="R50" s="1"/>
    </row>
    <row r="51" spans="1:18" s="24" customFormat="1" ht="13.5" thickBot="1">
      <c r="A51" s="58" t="s">
        <v>52</v>
      </c>
      <c r="B51" s="59"/>
      <c r="C51" s="60">
        <f>C35+C49</f>
        <v>159358.95</v>
      </c>
      <c r="D51" s="62">
        <f aca="true" t="shared" si="6" ref="D51:P51">D35+D49</f>
        <v>46679.3407706</v>
      </c>
      <c r="E51" s="124">
        <f t="shared" si="6"/>
        <v>135209.95</v>
      </c>
      <c r="F51" s="123">
        <f t="shared" si="6"/>
        <v>7019.089999999999</v>
      </c>
      <c r="G51" s="61">
        <f t="shared" si="6"/>
        <v>122830.79000000001</v>
      </c>
      <c r="H51" s="89">
        <f t="shared" si="6"/>
        <v>176529.22077060002</v>
      </c>
      <c r="I51" s="124">
        <f t="shared" si="6"/>
        <v>10890.251999999999</v>
      </c>
      <c r="J51" s="59">
        <f t="shared" si="6"/>
        <v>18078.26923412</v>
      </c>
      <c r="K51" s="59">
        <f t="shared" si="6"/>
        <v>64199.1571096312</v>
      </c>
      <c r="L51" s="59">
        <f t="shared" si="6"/>
        <v>67255.8386</v>
      </c>
      <c r="M51" s="59">
        <f t="shared" si="6"/>
        <v>3592.5119999999997</v>
      </c>
      <c r="N51" s="97">
        <f t="shared" si="6"/>
        <v>164016.0289437512</v>
      </c>
      <c r="O51" s="62">
        <f t="shared" si="6"/>
        <v>12513.191826848826</v>
      </c>
      <c r="P51" s="117">
        <f t="shared" si="6"/>
        <v>-12379.160000000002</v>
      </c>
      <c r="Q51" s="63"/>
      <c r="R51" s="53"/>
    </row>
    <row r="53" spans="1:18" ht="12.75">
      <c r="A53" s="64"/>
      <c r="Q53" s="1"/>
      <c r="R53" s="1"/>
    </row>
    <row r="54" spans="1:18" ht="12.75">
      <c r="A54" s="24" t="s">
        <v>67</v>
      </c>
      <c r="D54" s="264" t="s">
        <v>94</v>
      </c>
      <c r="Q54" s="1"/>
      <c r="R54" s="1"/>
    </row>
    <row r="55" spans="1:18" ht="12.75">
      <c r="A55" s="26" t="s">
        <v>68</v>
      </c>
      <c r="B55" s="26" t="s">
        <v>69</v>
      </c>
      <c r="C55" s="354" t="s">
        <v>70</v>
      </c>
      <c r="D55" s="354"/>
      <c r="Q55" s="1"/>
      <c r="R55" s="1"/>
    </row>
    <row r="56" spans="1:18" ht="12.75">
      <c r="A56" s="75">
        <v>42471.78</v>
      </c>
      <c r="B56" s="77">
        <v>127298.08</v>
      </c>
      <c r="C56" s="355">
        <f>A56-B56</f>
        <v>-84826.3</v>
      </c>
      <c r="D56" s="356"/>
      <c r="Q56" s="1"/>
      <c r="R56" s="1"/>
    </row>
    <row r="57" spans="1:18" ht="12.75">
      <c r="A57" s="64"/>
      <c r="Q57" s="1"/>
      <c r="R57" s="1"/>
    </row>
    <row r="58" spans="1:18" ht="12.75">
      <c r="A58" s="64"/>
      <c r="Q58" s="1"/>
      <c r="R58" s="1"/>
    </row>
    <row r="59" spans="1:18" ht="12.75">
      <c r="A59" s="2" t="s">
        <v>71</v>
      </c>
      <c r="G59" s="2" t="s">
        <v>72</v>
      </c>
      <c r="Q59" s="1"/>
      <c r="R59" s="1"/>
    </row>
    <row r="60" ht="12.75">
      <c r="A60" s="1"/>
    </row>
    <row r="61" ht="12.75">
      <c r="A61" s="1"/>
    </row>
    <row r="62" ht="12.75">
      <c r="A62" s="1" t="s">
        <v>73</v>
      </c>
    </row>
    <row r="63" ht="12.75">
      <c r="A63" s="2" t="s">
        <v>74</v>
      </c>
    </row>
  </sheetData>
  <sheetProtection/>
  <mergeCells count="21">
    <mergeCell ref="P10:P13"/>
    <mergeCell ref="E12:F12"/>
    <mergeCell ref="H12:H13"/>
    <mergeCell ref="I12:I13"/>
    <mergeCell ref="J12:J13"/>
    <mergeCell ref="K12:K13"/>
    <mergeCell ref="L12:L13"/>
    <mergeCell ref="G10:H11"/>
    <mergeCell ref="C55:D55"/>
    <mergeCell ref="C56:D56"/>
    <mergeCell ref="N12:N13"/>
    <mergeCell ref="M12:M13"/>
    <mergeCell ref="A6:O6"/>
    <mergeCell ref="A10:A13"/>
    <mergeCell ref="B10:B13"/>
    <mergeCell ref="C10:C13"/>
    <mergeCell ref="D10:D13"/>
    <mergeCell ref="E10:F11"/>
    <mergeCell ref="O10:O13"/>
    <mergeCell ref="A7:G7"/>
    <mergeCell ref="I10:N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2010-07-08T08:11:59Z</cp:lastPrinted>
  <dcterms:created xsi:type="dcterms:W3CDTF">2010-04-03T04:08:20Z</dcterms:created>
  <dcterms:modified xsi:type="dcterms:W3CDTF">2011-03-31T07:11:59Z</dcterms:modified>
  <cp:category/>
  <cp:version/>
  <cp:contentType/>
  <cp:contentStatus/>
</cp:coreProperties>
</file>