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<sst xmlns="http://schemas.openxmlformats.org/spreadsheetml/2006/main" count="267" uniqueCount="106">
  <si>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</si>
  <si>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</si>
  <si>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</si>
  <si>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</si>
  <si>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</si>
  <si>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</si>
  <si>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</si>
  <si>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</si>
  <si>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</si>
  <si>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</si>
  <si>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</si>
  <si>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</si>
  <si>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</si>
  <si>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</si>
  <si>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</si>
  <si>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</si>
  <si>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</si>
  <si>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</si>
  <si>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</si>
  <si>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</si>
  <si>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</si>
  <si>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</si>
  <si>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</si>
  <si>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</si>
  <si>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</si>
  <si>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</si>
  <si>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</si>
  <si>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</si>
  <si>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</si>
  <si>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</si>
  <si>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</si>
  <si>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</si>
  <si>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</si>
  <si>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</si>
  <si>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</si>
  <si>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</si>
  <si>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</si>
  <si>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</si>
  <si>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</si>
  <si>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</si>
  <si>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</si>
  <si>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</si>
  <si>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</si>
  <si>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</si>
  <si>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</si>
  <si>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</si>
  <si>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</si>
  <si>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</si>
  <si>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</si>
  <si>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</si>
  <si>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</si>
  <si>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</si>
  <si>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</si>
  <si>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</si>
  <si>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</si>
  <si>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</si>
  <si>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</si>
  <si>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</si>
  <si>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</si>
  <si>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</si>
  <si>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</si>
  <si>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</si>
  <si>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</si>
  <si>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</si>
  <si>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</si>
  <si>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</si>
  <si>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</si>
  <si>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</si>
  <si>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</si>
  <si>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</si>
  <si>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</si>
  <si>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</si>
  <si>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</si>
  <si>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</si>
  <si>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</si>
  <si>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</si>
  <si>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</si>
  <si>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</si>
  <si>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</si>
  <si>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</si>
  <si>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</si>
  <si>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</si>
  <si>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</si>
  <si>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Крылова, д. 17</t>
  </si>
  <si>
    <t>Лицевой счет по адресу г. Таштагол, ул. Крылова, д. 17</t>
  </si>
  <si>
    <t>2010 год</t>
  </si>
  <si>
    <t>за период с октября 2008 г. по декабрь 2010 г.</t>
  </si>
  <si>
    <t>*по состоянию на 01.01.2011 г.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</si>
  <si>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</si>
  <si>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</si>
  <si>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</si>
  <si>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</si>
  <si>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</si>
  <si>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</si>
  <si>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"Форум"</t>
  </si>
  <si>
    <t>Тек. ремонт ООО "ТУК"</t>
  </si>
  <si>
    <t>Доп. Материалы</t>
  </si>
  <si>
    <t>электроэнергия</t>
  </si>
  <si>
    <t>2011 год</t>
  </si>
  <si>
    <t>ВСЕГО</t>
  </si>
  <si>
    <t>на 01.01.2012 г.</t>
  </si>
  <si>
    <t>Услуга начисления</t>
  </si>
  <si>
    <t>*по состоянию на 01.01.2012 г.</t>
  </si>
  <si>
    <t>Исп. В.В. Колмогорова</t>
  </si>
  <si>
    <t>Лицевой счет по адресу г. Таштагол, ул. Крылова, д.17</t>
  </si>
  <si>
    <t>Тариф по содержанию и тек.ремонту 100 % (8,55руб.*площадь)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</si>
</sst>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1" xfId="6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3" fontId="2" fillId="34" borderId="13" xfId="61" applyFont="1" applyFill="1" applyBorder="1" applyAlignment="1">
      <alignment vertical="center" wrapText="1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/>
    </xf>
    <xf numFmtId="43" fontId="2" fillId="34" borderId="13" xfId="61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4" fontId="3" fillId="0" borderId="15" xfId="33" applyNumberFormat="1" applyFont="1" applyBorder="1" applyAlignment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/>
    </xf>
    <xf numFmtId="4" fontId="3" fillId="0" borderId="20" xfId="33" applyNumberFormat="1" applyFont="1" applyBorder="1" applyAlignment="1">
      <alignment horizontal="center" vertical="center" wrapText="1"/>
      <protection/>
    </xf>
    <xf numFmtId="4" fontId="3" fillId="0" borderId="11" xfId="33" applyNumberFormat="1" applyFont="1" applyBorder="1" applyAlignment="1">
      <alignment horizontal="center" vertical="center" wrapText="1"/>
      <protection/>
    </xf>
    <xf numFmtId="43" fontId="2" fillId="34" borderId="31" xfId="61" applyFont="1" applyFill="1" applyBorder="1" applyAlignment="1">
      <alignment vertical="center" wrapText="1"/>
    </xf>
    <xf numFmtId="2" fontId="0" fillId="0" borderId="20" xfId="0" applyNumberFormat="1" applyFont="1" applyBorder="1" applyAlignment="1">
      <alignment horizontal="right"/>
    </xf>
    <xf numFmtId="4" fontId="0" fillId="35" borderId="2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6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3" fontId="6" fillId="34" borderId="45" xfId="63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39" borderId="45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3" fontId="6" fillId="34" borderId="46" xfId="63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37" borderId="45" xfId="0" applyNumberFormat="1" applyFont="1" applyFill="1" applyBorder="1" applyAlignment="1">
      <alignment horizontal="center" vertical="center" wrapText="1"/>
    </xf>
    <xf numFmtId="0" fontId="1" fillId="39" borderId="4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/>
    </xf>
    <xf numFmtId="4" fontId="1" fillId="33" borderId="49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5" xfId="54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4" fontId="0" fillId="34" borderId="20" xfId="54" applyNumberFormat="1" applyFont="1" applyFill="1" applyBorder="1">
      <alignment/>
      <protection/>
    </xf>
    <xf numFmtId="4" fontId="0" fillId="0" borderId="11" xfId="54" applyNumberFormat="1" applyFont="1" applyFill="1" applyBorder="1">
      <alignment/>
      <protection/>
    </xf>
    <xf numFmtId="4" fontId="0" fillId="33" borderId="11" xfId="54" applyNumberFormat="1" applyFont="1" applyFill="1" applyBorder="1">
      <alignment/>
      <protection/>
    </xf>
    <xf numFmtId="4" fontId="0" fillId="0" borderId="20" xfId="54" applyNumberFormat="1" applyFont="1" applyFill="1" applyBorder="1">
      <alignment/>
      <protection/>
    </xf>
    <xf numFmtId="4" fontId="0" fillId="37" borderId="11" xfId="54" applyNumberFormat="1" applyFont="1" applyFill="1" applyBorder="1">
      <alignment/>
      <protection/>
    </xf>
    <xf numFmtId="4" fontId="0" fillId="0" borderId="31" xfId="54" applyNumberFormat="1" applyFont="1" applyFill="1" applyBorder="1" applyAlignment="1">
      <alignment horizontal="center"/>
      <protection/>
    </xf>
    <xf numFmtId="0" fontId="0" fillId="0" borderId="31" xfId="54" applyBorder="1" applyAlignment="1">
      <alignment horizontal="center"/>
      <protection/>
    </xf>
    <xf numFmtId="4" fontId="0" fillId="34" borderId="37" xfId="54" applyNumberFormat="1" applyFont="1" applyFill="1" applyBorder="1">
      <alignment/>
      <protection/>
    </xf>
    <xf numFmtId="0" fontId="2" fillId="0" borderId="15" xfId="0" applyFont="1" applyBorder="1" applyAlignment="1">
      <alignment horizontal="center"/>
    </xf>
    <xf numFmtId="43" fontId="2" fillId="34" borderId="20" xfId="64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6" fillId="0" borderId="31" xfId="0" applyFont="1" applyBorder="1" applyAlignment="1">
      <alignment/>
    </xf>
    <xf numFmtId="0" fontId="0" fillId="0" borderId="11" xfId="54" applyFont="1" applyBorder="1">
      <alignment/>
      <protection/>
    </xf>
    <xf numFmtId="4" fontId="0" fillId="0" borderId="22" xfId="54" applyNumberFormat="1" applyFont="1" applyFill="1" applyBorder="1">
      <alignment/>
      <protection/>
    </xf>
    <xf numFmtId="4" fontId="1" fillId="0" borderId="20" xfId="54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34" borderId="20" xfId="54" applyNumberFormat="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26" fillId="0" borderId="15" xfId="0" applyFont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167" fontId="2" fillId="34" borderId="11" xfId="61" applyNumberFormat="1" applyFont="1" applyFill="1" applyBorder="1" applyAlignment="1">
      <alignment horizontal="center" vertical="center" wrapText="1"/>
    </xf>
    <xf numFmtId="4" fontId="0" fillId="33" borderId="27" xfId="54" applyNumberFormat="1" applyFont="1" applyFill="1" applyBorder="1">
      <alignment/>
      <protection/>
    </xf>
    <xf numFmtId="4" fontId="0" fillId="37" borderId="27" xfId="54" applyNumberFormat="1" applyFont="1" applyFill="1" applyBorder="1">
      <alignment/>
      <protection/>
    </xf>
    <xf numFmtId="4" fontId="0" fillId="0" borderId="27" xfId="54" applyNumberFormat="1" applyFont="1" applyFill="1" applyBorder="1">
      <alignment/>
      <protection/>
    </xf>
    <xf numFmtId="4" fontId="0" fillId="36" borderId="27" xfId="54" applyNumberFormat="1" applyFont="1" applyFill="1" applyBorder="1">
      <alignment/>
      <protection/>
    </xf>
    <xf numFmtId="4" fontId="0" fillId="33" borderId="27" xfId="5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8;&#1099;&#1083;&#1086;&#1074;&#1072;,%2015%20&#1089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6;&#1084;&#1084;&#1091;&#1085;&#1080;&#1089;&#1090;&#1080;&#1095;&#1077;&#1089;&#1082;&#1072;&#1103;,%2025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2">
        <row r="8">
          <cell r="C8">
            <v>23977.800000000003</v>
          </cell>
          <cell r="D8">
            <v>2024.2155283050008</v>
          </cell>
          <cell r="H8">
            <v>6713.699999999999</v>
          </cell>
          <cell r="I8">
            <v>14759.89</v>
          </cell>
          <cell r="M8">
            <v>13701.2</v>
          </cell>
          <cell r="N8">
            <v>22439.115528305003</v>
          </cell>
          <cell r="P8">
            <v>1635.4799999999996</v>
          </cell>
          <cell r="Q8">
            <v>546.364896</v>
          </cell>
          <cell r="R8">
            <v>11498.493534066</v>
          </cell>
          <cell r="S8">
            <v>0</v>
          </cell>
          <cell r="T8">
            <v>47.8</v>
          </cell>
          <cell r="U8">
            <v>6158.3964</v>
          </cell>
          <cell r="AA8">
            <v>19886.534830066</v>
          </cell>
          <cell r="AB8">
            <v>2552.5806982390004</v>
          </cell>
          <cell r="AC8">
            <v>-1058.6900000000003</v>
          </cell>
        </row>
        <row r="10">
          <cell r="B10">
            <v>115.5</v>
          </cell>
          <cell r="C10">
            <v>987.5250000000001</v>
          </cell>
          <cell r="D10">
            <v>0</v>
          </cell>
          <cell r="I10">
            <v>402.37</v>
          </cell>
          <cell r="M10">
            <v>474.27</v>
          </cell>
          <cell r="N10">
            <v>474.27</v>
          </cell>
          <cell r="P10">
            <v>77.385</v>
          </cell>
          <cell r="Q10">
            <v>23.1</v>
          </cell>
          <cell r="R10">
            <v>488.56500000000005</v>
          </cell>
          <cell r="AA10">
            <v>589.0500000000001</v>
          </cell>
          <cell r="AB10">
            <v>-114.78000000000009</v>
          </cell>
          <cell r="AC10">
            <v>71.89999999999998</v>
          </cell>
        </row>
        <row r="11">
          <cell r="B11">
            <v>115.5</v>
          </cell>
          <cell r="C11">
            <v>987.5250000000001</v>
          </cell>
          <cell r="D11">
            <v>0</v>
          </cell>
          <cell r="I11">
            <v>1632.5500000000002</v>
          </cell>
          <cell r="M11">
            <v>987.4100000000001</v>
          </cell>
          <cell r="N11">
            <v>987.4100000000001</v>
          </cell>
          <cell r="P11">
            <v>77.385</v>
          </cell>
          <cell r="Q11">
            <v>23.1</v>
          </cell>
          <cell r="R11">
            <v>488.56500000000005</v>
          </cell>
          <cell r="AA11">
            <v>589.0500000000001</v>
          </cell>
          <cell r="AB11">
            <v>398.36</v>
          </cell>
          <cell r="AC11">
            <v>-645.1400000000001</v>
          </cell>
        </row>
        <row r="12">
          <cell r="B12">
            <v>115.5</v>
          </cell>
          <cell r="C12">
            <v>987.5250000000001</v>
          </cell>
          <cell r="D12">
            <v>0</v>
          </cell>
          <cell r="I12">
            <v>1017.46</v>
          </cell>
          <cell r="M12">
            <v>1016.4000000000001</v>
          </cell>
          <cell r="N12">
            <v>1016.4000000000001</v>
          </cell>
          <cell r="P12">
            <v>77.385</v>
          </cell>
          <cell r="Q12">
            <v>23.1</v>
          </cell>
          <cell r="R12">
            <v>488.56500000000005</v>
          </cell>
          <cell r="AA12">
            <v>589.0500000000001</v>
          </cell>
          <cell r="AB12">
            <v>427.35</v>
          </cell>
          <cell r="AC12">
            <v>-1.0599999999999454</v>
          </cell>
        </row>
        <row r="13">
          <cell r="B13">
            <v>115.5</v>
          </cell>
          <cell r="C13">
            <v>987.5250000000001</v>
          </cell>
          <cell r="D13">
            <v>0</v>
          </cell>
          <cell r="I13">
            <v>1017.46</v>
          </cell>
          <cell r="M13">
            <v>1016.4899999999999</v>
          </cell>
          <cell r="N13">
            <v>1016.4899999999999</v>
          </cell>
          <cell r="P13">
            <v>77.385</v>
          </cell>
          <cell r="Q13">
            <v>23.1</v>
          </cell>
          <cell r="R13">
            <v>488.56500000000005</v>
          </cell>
          <cell r="AA13">
            <v>589.0500000000001</v>
          </cell>
          <cell r="AB13">
            <v>427.4399999999998</v>
          </cell>
          <cell r="AC13">
            <v>-0.970000000000141</v>
          </cell>
        </row>
        <row r="14">
          <cell r="B14">
            <v>115.5</v>
          </cell>
          <cell r="C14">
            <v>987.5250000000001</v>
          </cell>
          <cell r="D14">
            <v>0</v>
          </cell>
          <cell r="I14">
            <v>1017.46</v>
          </cell>
          <cell r="M14">
            <v>1017.35</v>
          </cell>
          <cell r="N14">
            <v>1017.35</v>
          </cell>
          <cell r="P14">
            <v>77.385</v>
          </cell>
          <cell r="Q14">
            <v>23.1</v>
          </cell>
          <cell r="R14">
            <v>488.56500000000005</v>
          </cell>
          <cell r="AA14">
            <v>589.0500000000001</v>
          </cell>
          <cell r="AB14">
            <v>428.29999999999995</v>
          </cell>
          <cell r="AC14">
            <v>-0.11000000000001364</v>
          </cell>
        </row>
        <row r="15">
          <cell r="B15">
            <v>115.5</v>
          </cell>
          <cell r="C15">
            <v>987.5250000000001</v>
          </cell>
          <cell r="D15">
            <v>0</v>
          </cell>
          <cell r="I15">
            <v>1017.46</v>
          </cell>
          <cell r="M15">
            <v>1012.25</v>
          </cell>
          <cell r="N15">
            <v>1012.25</v>
          </cell>
          <cell r="P15">
            <v>77.385</v>
          </cell>
          <cell r="Q15">
            <v>23.1</v>
          </cell>
          <cell r="R15">
            <v>375.375</v>
          </cell>
          <cell r="AA15">
            <v>475.86</v>
          </cell>
          <cell r="AB15">
            <v>536.39</v>
          </cell>
          <cell r="AC15">
            <v>-5.210000000000036</v>
          </cell>
        </row>
        <row r="16">
          <cell r="B16">
            <v>115.5</v>
          </cell>
          <cell r="C16">
            <v>987.5250000000001</v>
          </cell>
          <cell r="D16">
            <v>0</v>
          </cell>
          <cell r="I16">
            <v>1017.46</v>
          </cell>
          <cell r="M16">
            <v>1018.2</v>
          </cell>
          <cell r="N16">
            <v>1018.2</v>
          </cell>
          <cell r="P16">
            <v>77.385</v>
          </cell>
          <cell r="Q16">
            <v>23.1</v>
          </cell>
          <cell r="R16">
            <v>375.375</v>
          </cell>
          <cell r="AA16">
            <v>475.86</v>
          </cell>
          <cell r="AB16">
            <v>542.34</v>
          </cell>
          <cell r="AC16">
            <v>0.7400000000000091</v>
          </cell>
        </row>
        <row r="17">
          <cell r="B17">
            <v>115.5</v>
          </cell>
          <cell r="C17">
            <v>987.5250000000001</v>
          </cell>
          <cell r="D17">
            <v>0</v>
          </cell>
          <cell r="I17">
            <v>1017.46</v>
          </cell>
          <cell r="M17">
            <v>970.85</v>
          </cell>
          <cell r="N17">
            <v>970.85</v>
          </cell>
          <cell r="P17">
            <v>77.385</v>
          </cell>
          <cell r="Q17">
            <v>23.1</v>
          </cell>
          <cell r="R17">
            <v>375.375</v>
          </cell>
          <cell r="AA17">
            <v>475.86</v>
          </cell>
          <cell r="AB17">
            <v>494.99</v>
          </cell>
          <cell r="AC17">
            <v>-46.610000000000014</v>
          </cell>
        </row>
        <row r="18">
          <cell r="B18">
            <v>115.5</v>
          </cell>
          <cell r="C18">
            <v>987.5250000000001</v>
          </cell>
          <cell r="D18">
            <v>0</v>
          </cell>
          <cell r="I18">
            <v>1017.46</v>
          </cell>
          <cell r="M18">
            <v>1062.05</v>
          </cell>
          <cell r="N18">
            <v>1062.05</v>
          </cell>
          <cell r="P18">
            <v>77.385</v>
          </cell>
          <cell r="Q18">
            <v>23.1</v>
          </cell>
          <cell r="R18">
            <v>375.375</v>
          </cell>
          <cell r="AA18">
            <v>475.86</v>
          </cell>
          <cell r="AB18">
            <v>586.1899999999999</v>
          </cell>
          <cell r="AC18">
            <v>44.58999999999992</v>
          </cell>
        </row>
        <row r="19">
          <cell r="B19">
            <v>115.5</v>
          </cell>
          <cell r="C19">
            <v>987.5250000000001</v>
          </cell>
          <cell r="D19">
            <v>0</v>
          </cell>
          <cell r="I19">
            <v>1017.46</v>
          </cell>
          <cell r="M19">
            <v>1421.59</v>
          </cell>
          <cell r="N19">
            <v>1421.59</v>
          </cell>
          <cell r="P19">
            <v>77.385</v>
          </cell>
          <cell r="Q19">
            <v>23.1</v>
          </cell>
          <cell r="R19">
            <v>375.375</v>
          </cell>
          <cell r="AA19">
            <v>475.86</v>
          </cell>
          <cell r="AB19">
            <v>945.7299999999999</v>
          </cell>
          <cell r="AC19">
            <v>404.1299999999999</v>
          </cell>
        </row>
        <row r="20">
          <cell r="B20">
            <v>115.5</v>
          </cell>
          <cell r="C20">
            <v>987.5250000000001</v>
          </cell>
          <cell r="D20">
            <v>0</v>
          </cell>
          <cell r="I20">
            <v>1017.46</v>
          </cell>
          <cell r="M20">
            <v>627.0500000000001</v>
          </cell>
          <cell r="N20">
            <v>627.0500000000001</v>
          </cell>
          <cell r="P20">
            <v>77.385</v>
          </cell>
          <cell r="Q20">
            <v>23.1</v>
          </cell>
          <cell r="R20">
            <v>375.375</v>
          </cell>
          <cell r="AA20">
            <v>475.86</v>
          </cell>
          <cell r="AB20">
            <v>151.19000000000005</v>
          </cell>
          <cell r="AC20">
            <v>-390.40999999999997</v>
          </cell>
        </row>
        <row r="21">
          <cell r="B21">
            <v>115.5</v>
          </cell>
          <cell r="C21">
            <v>987.5250000000001</v>
          </cell>
          <cell r="D21">
            <v>0</v>
          </cell>
          <cell r="I21">
            <v>1021.86</v>
          </cell>
          <cell r="M21">
            <v>964.46</v>
          </cell>
          <cell r="N21">
            <v>964.46</v>
          </cell>
          <cell r="P21">
            <v>77.385</v>
          </cell>
          <cell r="Q21">
            <v>23.1</v>
          </cell>
          <cell r="R21">
            <v>375.375</v>
          </cell>
          <cell r="AA21">
            <v>475.86</v>
          </cell>
          <cell r="AB21">
            <v>488.6</v>
          </cell>
          <cell r="AC21">
            <v>-57.39999999999998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7">
          <cell r="X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55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56" t="s">
        <v>0</v>
      </c>
      <c r="B3" s="159" t="s">
        <v>1</v>
      </c>
      <c r="C3" s="159" t="s">
        <v>2</v>
      </c>
      <c r="D3" s="159" t="s">
        <v>3</v>
      </c>
      <c r="E3" s="162" t="s">
        <v>4</v>
      </c>
      <c r="F3" s="162"/>
      <c r="G3" s="162"/>
      <c r="H3" s="162"/>
      <c r="I3" s="162"/>
      <c r="J3" s="162"/>
      <c r="K3" s="162"/>
      <c r="L3" s="162"/>
      <c r="M3" s="162"/>
      <c r="N3" s="162"/>
      <c r="O3" s="174" t="s">
        <v>5</v>
      </c>
      <c r="P3" s="174"/>
      <c r="Q3" s="175" t="s">
        <v>6</v>
      </c>
      <c r="R3" s="175"/>
      <c r="S3" s="175"/>
      <c r="T3" s="175"/>
      <c r="U3" s="175"/>
      <c r="V3" s="175"/>
      <c r="W3" s="177" t="s">
        <v>79</v>
      </c>
      <c r="X3" s="189" t="s">
        <v>67</v>
      </c>
      <c r="Y3" s="192" t="s">
        <v>8</v>
      </c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84" t="s">
        <v>68</v>
      </c>
      <c r="AU3" s="171" t="s">
        <v>9</v>
      </c>
      <c r="AV3" s="164" t="s">
        <v>10</v>
      </c>
    </row>
    <row r="4" spans="1:48" ht="36" customHeight="1" thickBot="1">
      <c r="A4" s="157"/>
      <c r="B4" s="160"/>
      <c r="C4" s="160"/>
      <c r="D4" s="160"/>
      <c r="E4" s="163" t="s">
        <v>11</v>
      </c>
      <c r="F4" s="163"/>
      <c r="G4" s="163" t="s">
        <v>12</v>
      </c>
      <c r="H4" s="163"/>
      <c r="I4" s="163" t="s">
        <v>13</v>
      </c>
      <c r="J4" s="163"/>
      <c r="K4" s="163" t="s">
        <v>14</v>
      </c>
      <c r="L4" s="163"/>
      <c r="M4" s="163" t="s">
        <v>15</v>
      </c>
      <c r="N4" s="163"/>
      <c r="O4" s="163"/>
      <c r="P4" s="163"/>
      <c r="Q4" s="176"/>
      <c r="R4" s="176"/>
      <c r="S4" s="176"/>
      <c r="T4" s="176"/>
      <c r="U4" s="176"/>
      <c r="V4" s="176"/>
      <c r="W4" s="178"/>
      <c r="X4" s="190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85"/>
      <c r="AU4" s="172"/>
      <c r="AV4" s="165"/>
    </row>
    <row r="5" spans="1:48" ht="29.25" customHeight="1" thickBot="1">
      <c r="A5" s="157"/>
      <c r="B5" s="160"/>
      <c r="C5" s="160"/>
      <c r="D5" s="160"/>
      <c r="E5" s="180" t="s">
        <v>16</v>
      </c>
      <c r="F5" s="180" t="s">
        <v>17</v>
      </c>
      <c r="G5" s="180" t="s">
        <v>16</v>
      </c>
      <c r="H5" s="180" t="s">
        <v>17</v>
      </c>
      <c r="I5" s="180" t="s">
        <v>16</v>
      </c>
      <c r="J5" s="180" t="s">
        <v>17</v>
      </c>
      <c r="K5" s="180" t="s">
        <v>16</v>
      </c>
      <c r="L5" s="180" t="s">
        <v>17</v>
      </c>
      <c r="M5" s="180" t="s">
        <v>16</v>
      </c>
      <c r="N5" s="180" t="s">
        <v>17</v>
      </c>
      <c r="O5" s="180" t="s">
        <v>16</v>
      </c>
      <c r="P5" s="180" t="s">
        <v>17</v>
      </c>
      <c r="Q5" s="182" t="s">
        <v>18</v>
      </c>
      <c r="R5" s="182" t="s">
        <v>19</v>
      </c>
      <c r="S5" s="182" t="s">
        <v>20</v>
      </c>
      <c r="T5" s="182" t="s">
        <v>21</v>
      </c>
      <c r="U5" s="182" t="s">
        <v>22</v>
      </c>
      <c r="V5" s="182" t="s">
        <v>23</v>
      </c>
      <c r="W5" s="178"/>
      <c r="X5" s="190"/>
      <c r="Y5" s="167" t="s">
        <v>24</v>
      </c>
      <c r="Z5" s="167" t="s">
        <v>25</v>
      </c>
      <c r="AA5" s="167" t="s">
        <v>26</v>
      </c>
      <c r="AB5" s="167" t="s">
        <v>27</v>
      </c>
      <c r="AC5" s="167" t="s">
        <v>28</v>
      </c>
      <c r="AD5" s="167" t="s">
        <v>27</v>
      </c>
      <c r="AE5" s="167" t="s">
        <v>29</v>
      </c>
      <c r="AF5" s="167" t="s">
        <v>27</v>
      </c>
      <c r="AG5" s="167" t="s">
        <v>30</v>
      </c>
      <c r="AH5" s="167" t="s">
        <v>27</v>
      </c>
      <c r="AI5" s="196" t="s">
        <v>72</v>
      </c>
      <c r="AJ5" s="198" t="s">
        <v>27</v>
      </c>
      <c r="AK5" s="169" t="s">
        <v>73</v>
      </c>
      <c r="AL5" s="187" t="s">
        <v>74</v>
      </c>
      <c r="AM5" s="187" t="s">
        <v>27</v>
      </c>
      <c r="AN5" s="193" t="s">
        <v>75</v>
      </c>
      <c r="AO5" s="194"/>
      <c r="AP5" s="195"/>
      <c r="AQ5" s="167" t="s">
        <v>32</v>
      </c>
      <c r="AR5" s="167" t="s">
        <v>27</v>
      </c>
      <c r="AS5" s="167" t="s">
        <v>33</v>
      </c>
      <c r="AT5" s="185"/>
      <c r="AU5" s="172"/>
      <c r="AV5" s="165"/>
    </row>
    <row r="6" spans="1:48" ht="54" customHeight="1" thickBot="1">
      <c r="A6" s="158"/>
      <c r="B6" s="161"/>
      <c r="C6" s="161"/>
      <c r="D6" s="16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3"/>
      <c r="R6" s="183"/>
      <c r="S6" s="183"/>
      <c r="T6" s="183"/>
      <c r="U6" s="183"/>
      <c r="V6" s="183"/>
      <c r="W6" s="179"/>
      <c r="X6" s="191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97"/>
      <c r="AJ6" s="199"/>
      <c r="AK6" s="170"/>
      <c r="AL6" s="188"/>
      <c r="AM6" s="188"/>
      <c r="AN6" s="101" t="s">
        <v>76</v>
      </c>
      <c r="AO6" s="101" t="s">
        <v>77</v>
      </c>
      <c r="AP6" s="101" t="s">
        <v>78</v>
      </c>
      <c r="AQ6" s="168"/>
      <c r="AR6" s="168"/>
      <c r="AS6" s="168"/>
      <c r="AT6" s="186"/>
      <c r="AU6" s="173"/>
      <c r="AV6" s="166"/>
    </row>
    <row r="7" spans="1:48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</row>
    <row r="8" spans="1:48" ht="12.75" hidden="1">
      <c r="A8" s="5" t="s">
        <v>34</v>
      </c>
      <c r="B8" s="6"/>
      <c r="C8" s="6"/>
      <c r="D8" s="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50"/>
      <c r="R8" s="50"/>
      <c r="S8" s="50"/>
      <c r="T8" s="50"/>
      <c r="U8" s="50"/>
      <c r="V8" s="50"/>
      <c r="W8" s="50"/>
      <c r="X8" s="50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</row>
    <row r="9" spans="1:48" ht="12.75" hidden="1">
      <c r="A9" s="11" t="s">
        <v>35</v>
      </c>
      <c r="B9" s="120">
        <v>106.2</v>
      </c>
      <c r="C9" s="129">
        <f>B9*8.65</f>
        <v>918.6300000000001</v>
      </c>
      <c r="D9" s="151">
        <f>C9*0.24088-1</f>
        <v>220.27959440000004</v>
      </c>
      <c r="E9" s="130">
        <v>52.74</v>
      </c>
      <c r="F9" s="95">
        <v>35.64</v>
      </c>
      <c r="G9" s="95">
        <v>0</v>
      </c>
      <c r="H9" s="95">
        <v>0</v>
      </c>
      <c r="I9" s="95">
        <v>171.41</v>
      </c>
      <c r="J9" s="95">
        <v>115.83</v>
      </c>
      <c r="K9" s="95">
        <v>118.67</v>
      </c>
      <c r="L9" s="95">
        <v>80.19</v>
      </c>
      <c r="M9" s="95">
        <v>42.19</v>
      </c>
      <c r="N9" s="123">
        <v>28.51</v>
      </c>
      <c r="O9" s="84">
        <f>E9+G9+I9+K9+M9</f>
        <v>385.01</v>
      </c>
      <c r="P9" s="96">
        <f>N9+L9+J9+H9+F9</f>
        <v>260.17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2">
        <f>SUM(Q9:U9)</f>
        <v>0</v>
      </c>
      <c r="W9" s="115">
        <f>D9+P9+V9</f>
        <v>480.4495944</v>
      </c>
      <c r="X9" s="115"/>
      <c r="Y9" s="113">
        <f>0.6*B9</f>
        <v>63.72</v>
      </c>
      <c r="Z9" s="113">
        <f>B9*0.2*1.05826</f>
        <v>22.4774424</v>
      </c>
      <c r="AA9" s="113">
        <f>0.8476*B9</f>
        <v>90.01512000000001</v>
      </c>
      <c r="AB9" s="113">
        <f>AA9*0.18</f>
        <v>16.2027216</v>
      </c>
      <c r="AC9" s="113">
        <f>(1.04)*B9*0.75645</f>
        <v>83.54838960000001</v>
      </c>
      <c r="AD9" s="113">
        <f>AC9*0.18</f>
        <v>15.038710128</v>
      </c>
      <c r="AE9" s="113">
        <f>1.91*B9*0.75645</f>
        <v>153.43983089999998</v>
      </c>
      <c r="AF9" s="113">
        <f>AE9*0.18</f>
        <v>27.619169561999996</v>
      </c>
      <c r="AG9" s="113">
        <v>0</v>
      </c>
      <c r="AH9" s="113">
        <f>AG9*0.18</f>
        <v>0</v>
      </c>
      <c r="AI9" s="113"/>
      <c r="AJ9" s="113"/>
      <c r="AK9" s="116"/>
      <c r="AL9" s="116"/>
      <c r="AM9" s="116">
        <f>AK9*0.18</f>
        <v>0</v>
      </c>
      <c r="AN9" s="117"/>
      <c r="AO9" s="118"/>
      <c r="AP9" s="113">
        <f>AN9*AO9*1.12*1.18</f>
        <v>0</v>
      </c>
      <c r="AQ9" s="119"/>
      <c r="AR9" s="119">
        <f>AQ9*0.18</f>
        <v>0</v>
      </c>
      <c r="AS9" s="119">
        <f>SUM(Y9:AM9)+AP9</f>
        <v>472.06138419</v>
      </c>
      <c r="AT9" s="131"/>
      <c r="AU9" s="14">
        <f>W9-AS9</f>
        <v>8.388210210000011</v>
      </c>
      <c r="AV9" s="30">
        <f>V9-O9</f>
        <v>-385.01</v>
      </c>
    </row>
    <row r="10" spans="1:48" ht="12.75" hidden="1">
      <c r="A10" s="11" t="s">
        <v>36</v>
      </c>
      <c r="B10" s="120">
        <v>106.2</v>
      </c>
      <c r="C10" s="121">
        <f>B10*8.65</f>
        <v>918.6300000000001</v>
      </c>
      <c r="D10" s="122">
        <f>C10*0.24088-1</f>
        <v>220.27959440000004</v>
      </c>
      <c r="E10" s="95">
        <v>0</v>
      </c>
      <c r="F10" s="95">
        <v>0</v>
      </c>
      <c r="G10" s="95">
        <v>35.6</v>
      </c>
      <c r="H10" s="95">
        <v>24.06</v>
      </c>
      <c r="I10" s="95">
        <v>-0.01</v>
      </c>
      <c r="J10" s="95">
        <v>0.01</v>
      </c>
      <c r="K10" s="95">
        <v>-0.01</v>
      </c>
      <c r="L10" s="95">
        <v>0.01</v>
      </c>
      <c r="M10" s="95">
        <v>-0.01</v>
      </c>
      <c r="N10" s="123">
        <v>0.01</v>
      </c>
      <c r="O10" s="84">
        <f>E10+G10+I10+K10+M10</f>
        <v>35.57000000000001</v>
      </c>
      <c r="P10" s="96">
        <f>N10+L10+J10+H10+F10</f>
        <v>24.09</v>
      </c>
      <c r="Q10" s="124">
        <v>24.02</v>
      </c>
      <c r="R10" s="125">
        <v>0</v>
      </c>
      <c r="S10" s="125">
        <v>78.06</v>
      </c>
      <c r="T10" s="125">
        <v>54.04</v>
      </c>
      <c r="U10" s="125">
        <v>19.21</v>
      </c>
      <c r="V10" s="120">
        <f>SUM(Q10:U10)</f>
        <v>175.33</v>
      </c>
      <c r="W10" s="126">
        <f>D10+P10+V10</f>
        <v>419.6995944</v>
      </c>
      <c r="X10" s="97"/>
      <c r="Y10" s="16">
        <f>0.6*B10</f>
        <v>63.72</v>
      </c>
      <c r="Z10" s="16">
        <f>B10*0.201</f>
        <v>21.346200000000003</v>
      </c>
      <c r="AA10" s="113">
        <f>0.8476*B10</f>
        <v>90.01512000000001</v>
      </c>
      <c r="AB10" s="16">
        <f>AA10*0.18</f>
        <v>16.2027216</v>
      </c>
      <c r="AC10" s="113">
        <f>(1.04)*B10*0.75645</f>
        <v>83.54838960000001</v>
      </c>
      <c r="AD10" s="113">
        <f>AC10*0.18</f>
        <v>15.038710128</v>
      </c>
      <c r="AE10" s="113">
        <f>1.91*B10*0.75645</f>
        <v>153.43983089999998</v>
      </c>
      <c r="AF10" s="16">
        <f>AE10*0.18</f>
        <v>27.619169561999996</v>
      </c>
      <c r="AG10" s="16">
        <v>0</v>
      </c>
      <c r="AH10" s="16">
        <f>AG10*0.18</f>
        <v>0</v>
      </c>
      <c r="AI10" s="99"/>
      <c r="AJ10" s="99"/>
      <c r="AK10" s="127">
        <f>238</f>
        <v>238</v>
      </c>
      <c r="AL10" s="127"/>
      <c r="AM10" s="127">
        <f>AK10*0.18</f>
        <v>42.839999999999996</v>
      </c>
      <c r="AN10" s="128"/>
      <c r="AO10" s="109"/>
      <c r="AP10" s="16">
        <f>AN10*AO10*1.12*1.18</f>
        <v>0</v>
      </c>
      <c r="AQ10" s="103"/>
      <c r="AR10" s="103">
        <f>AQ10*0.18</f>
        <v>0</v>
      </c>
      <c r="AS10" s="103">
        <f>SUM(Y10:AM10)+AP10</f>
        <v>751.77014179</v>
      </c>
      <c r="AT10" s="106"/>
      <c r="AU10" s="14">
        <f>W10-AS10</f>
        <v>-332.07054739</v>
      </c>
      <c r="AV10" s="30">
        <f>V10-O10</f>
        <v>139.76</v>
      </c>
    </row>
    <row r="11" spans="1:48" ht="12.75" hidden="1">
      <c r="A11" s="11" t="s">
        <v>37</v>
      </c>
      <c r="B11" s="120">
        <v>106.2</v>
      </c>
      <c r="C11" s="121">
        <f>B11*8.65</f>
        <v>918.6300000000001</v>
      </c>
      <c r="D11" s="122">
        <f>C11*0.24035+1</f>
        <v>221.79272050000003</v>
      </c>
      <c r="E11" s="95">
        <v>26.37</v>
      </c>
      <c r="F11" s="95">
        <v>17.82</v>
      </c>
      <c r="G11" s="95">
        <v>35.6</v>
      </c>
      <c r="H11" s="95">
        <v>24.06</v>
      </c>
      <c r="I11" s="95">
        <v>85.7</v>
      </c>
      <c r="J11" s="95">
        <v>57.92</v>
      </c>
      <c r="K11" s="95">
        <v>59.33</v>
      </c>
      <c r="L11" s="95">
        <v>40.1</v>
      </c>
      <c r="M11" s="95">
        <v>21.09</v>
      </c>
      <c r="N11" s="123">
        <v>14.26</v>
      </c>
      <c r="O11" s="84">
        <f>E11+G11+I11+K11+M11</f>
        <v>228.09</v>
      </c>
      <c r="P11" s="96">
        <f>N11+L11+J11+H11+F11</f>
        <v>154.16</v>
      </c>
      <c r="Q11" s="125">
        <v>0</v>
      </c>
      <c r="R11" s="125">
        <v>16.02</v>
      </c>
      <c r="S11" s="125">
        <v>0</v>
      </c>
      <c r="T11" s="125">
        <v>0</v>
      </c>
      <c r="U11" s="125">
        <v>0</v>
      </c>
      <c r="V11" s="120">
        <f>SUM(Q11:U11)</f>
        <v>16.02</v>
      </c>
      <c r="W11" s="97">
        <f>D11+P11+V11</f>
        <v>391.97272050000004</v>
      </c>
      <c r="X11" s="97"/>
      <c r="Y11" s="16">
        <f>0.6*B11</f>
        <v>63.72</v>
      </c>
      <c r="Z11" s="16">
        <f>B11*0.2*1.02524</f>
        <v>21.7760976</v>
      </c>
      <c r="AA11" s="113">
        <f>0.8476*B11</f>
        <v>90.01512000000001</v>
      </c>
      <c r="AB11" s="16">
        <f>AA11*0.18</f>
        <v>16.2027216</v>
      </c>
      <c r="AC11" s="113">
        <f>(1.04)*B11*0.75645</f>
        <v>83.54838960000001</v>
      </c>
      <c r="AD11" s="113">
        <f>AC11*0.18</f>
        <v>15.038710128</v>
      </c>
      <c r="AE11" s="113">
        <f>1.91*B11*0.75645</f>
        <v>153.43983089999998</v>
      </c>
      <c r="AF11" s="16">
        <f>AE11*0.18</f>
        <v>27.619169561999996</v>
      </c>
      <c r="AG11" s="16">
        <v>0</v>
      </c>
      <c r="AH11" s="16">
        <f>AG11*0.18</f>
        <v>0</v>
      </c>
      <c r="AI11" s="99"/>
      <c r="AJ11" s="99"/>
      <c r="AK11" s="127"/>
      <c r="AL11" s="127"/>
      <c r="AM11" s="127">
        <f>AK11*0.18</f>
        <v>0</v>
      </c>
      <c r="AN11" s="128"/>
      <c r="AO11" s="109"/>
      <c r="AP11" s="16">
        <f>AN11*AO11*1.12*1.18</f>
        <v>0</v>
      </c>
      <c r="AQ11" s="103"/>
      <c r="AR11" s="103">
        <f>AQ11*0.18</f>
        <v>0</v>
      </c>
      <c r="AS11" s="103">
        <f>SUM(Y11:AM11)+AP11</f>
        <v>471.36003939</v>
      </c>
      <c r="AT11" s="106"/>
      <c r="AU11" s="14">
        <f>W11-AS11</f>
        <v>-79.38731888999996</v>
      </c>
      <c r="AV11" s="30">
        <f>V11-O11</f>
        <v>-212.07</v>
      </c>
    </row>
    <row r="12" spans="1:48" s="20" customFormat="1" ht="15" customHeight="1" hidden="1">
      <c r="A12" s="17" t="s">
        <v>5</v>
      </c>
      <c r="B12" s="59"/>
      <c r="C12" s="59">
        <f aca="true" t="shared" si="0" ref="C12:AV12">SUM(C9:C11)</f>
        <v>2755.8900000000003</v>
      </c>
      <c r="D12" s="59">
        <f t="shared" si="0"/>
        <v>662.3519093000001</v>
      </c>
      <c r="E12" s="56">
        <f>SUM(E9:E11)</f>
        <v>79.11</v>
      </c>
      <c r="F12" s="56">
        <f t="shared" si="0"/>
        <v>53.46</v>
      </c>
      <c r="G12" s="56">
        <f t="shared" si="0"/>
        <v>71.2</v>
      </c>
      <c r="H12" s="56">
        <f t="shared" si="0"/>
        <v>48.12</v>
      </c>
      <c r="I12" s="56">
        <f t="shared" si="0"/>
        <v>257.1</v>
      </c>
      <c r="J12" s="56">
        <f t="shared" si="0"/>
        <v>173.76</v>
      </c>
      <c r="K12" s="56">
        <f t="shared" si="0"/>
        <v>177.99</v>
      </c>
      <c r="L12" s="56">
        <f t="shared" si="0"/>
        <v>120.30000000000001</v>
      </c>
      <c r="M12" s="56">
        <f t="shared" si="0"/>
        <v>63.269999999999996</v>
      </c>
      <c r="N12" s="56">
        <f t="shared" si="0"/>
        <v>42.78</v>
      </c>
      <c r="O12" s="56">
        <f t="shared" si="0"/>
        <v>648.67</v>
      </c>
      <c r="P12" s="56">
        <f t="shared" si="0"/>
        <v>438.41999999999996</v>
      </c>
      <c r="Q12" s="60">
        <f t="shared" si="0"/>
        <v>24.02</v>
      </c>
      <c r="R12" s="60">
        <f t="shared" si="0"/>
        <v>16.02</v>
      </c>
      <c r="S12" s="60">
        <f t="shared" si="0"/>
        <v>78.06</v>
      </c>
      <c r="T12" s="60">
        <f t="shared" si="0"/>
        <v>54.04</v>
      </c>
      <c r="U12" s="60">
        <f t="shared" si="0"/>
        <v>19.21</v>
      </c>
      <c r="V12" s="60">
        <f t="shared" si="0"/>
        <v>191.35000000000002</v>
      </c>
      <c r="W12" s="60">
        <f t="shared" si="0"/>
        <v>1292.1219093</v>
      </c>
      <c r="X12" s="90">
        <f t="shared" si="0"/>
        <v>0</v>
      </c>
      <c r="Y12" s="18">
        <f t="shared" si="0"/>
        <v>191.16</v>
      </c>
      <c r="Z12" s="18">
        <f t="shared" si="0"/>
        <v>65.59974</v>
      </c>
      <c r="AA12" s="18">
        <f t="shared" si="0"/>
        <v>270.04536</v>
      </c>
      <c r="AB12" s="18">
        <f t="shared" si="0"/>
        <v>48.6081648</v>
      </c>
      <c r="AC12" s="18">
        <f t="shared" si="0"/>
        <v>250.64516880000002</v>
      </c>
      <c r="AD12" s="18">
        <f t="shared" si="0"/>
        <v>45.116130384</v>
      </c>
      <c r="AE12" s="18">
        <f>SUM(AE9:AE11)</f>
        <v>460.31949269999996</v>
      </c>
      <c r="AF12" s="18">
        <f>SUM(AF9:AF11)</f>
        <v>82.85750868599999</v>
      </c>
      <c r="AG12" s="18">
        <f t="shared" si="0"/>
        <v>0</v>
      </c>
      <c r="AH12" s="18">
        <f t="shared" si="0"/>
        <v>0</v>
      </c>
      <c r="AI12" s="18">
        <f>SUM(AI9:AI11)</f>
        <v>0</v>
      </c>
      <c r="AJ12" s="18">
        <f>SUM(AJ9:AJ11)</f>
        <v>0</v>
      </c>
      <c r="AK12" s="18">
        <f>SUM(AK9:AK11)</f>
        <v>238</v>
      </c>
      <c r="AL12" s="18">
        <f>SUM(AL9:AL11)</f>
        <v>0</v>
      </c>
      <c r="AM12" s="18">
        <f>SUM(AM9:AM11)</f>
        <v>42.839999999999996</v>
      </c>
      <c r="AN12" s="18"/>
      <c r="AO12" s="18"/>
      <c r="AP12" s="18">
        <f t="shared" si="0"/>
        <v>0</v>
      </c>
      <c r="AQ12" s="18">
        <f t="shared" si="0"/>
        <v>0</v>
      </c>
      <c r="AR12" s="18">
        <f t="shared" si="0"/>
        <v>0</v>
      </c>
      <c r="AS12" s="18">
        <f t="shared" si="0"/>
        <v>1695.1915653700003</v>
      </c>
      <c r="AT12" s="18">
        <f t="shared" si="0"/>
        <v>0</v>
      </c>
      <c r="AU12" s="18">
        <f t="shared" si="0"/>
        <v>-403.06965606999995</v>
      </c>
      <c r="AV12" s="19">
        <f t="shared" si="0"/>
        <v>-457.32</v>
      </c>
    </row>
    <row r="13" spans="1:48" ht="15" customHeight="1" hidden="1">
      <c r="A13" s="5" t="s">
        <v>38</v>
      </c>
      <c r="B13" s="57"/>
      <c r="C13" s="58"/>
      <c r="D13" s="5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54"/>
      <c r="Q13" s="61"/>
      <c r="R13" s="61"/>
      <c r="S13" s="61"/>
      <c r="T13" s="61"/>
      <c r="U13" s="61"/>
      <c r="V13" s="53"/>
      <c r="W13" s="88"/>
      <c r="X13" s="89"/>
      <c r="Y13" s="14"/>
      <c r="Z13" s="14"/>
      <c r="AA13" s="14"/>
      <c r="AB13" s="14"/>
      <c r="AC13" s="14"/>
      <c r="AD13" s="14"/>
      <c r="AE13" s="14"/>
      <c r="AF13" s="14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4"/>
      <c r="AS13" s="14"/>
      <c r="AT13" s="14"/>
      <c r="AU13" s="14"/>
      <c r="AV13" s="30"/>
    </row>
    <row r="14" spans="1:48" ht="12.75" hidden="1">
      <c r="A14" s="11" t="s">
        <v>39</v>
      </c>
      <c r="B14" s="132">
        <v>106.2</v>
      </c>
      <c r="C14" s="133">
        <f aca="true" t="shared" si="1" ref="C14:C25">B14*8.65</f>
        <v>918.6300000000001</v>
      </c>
      <c r="D14" s="134">
        <f>C14*0.125</f>
        <v>114.82875000000001</v>
      </c>
      <c r="E14" s="95">
        <v>26.37</v>
      </c>
      <c r="F14" s="95">
        <v>17.82</v>
      </c>
      <c r="G14" s="95">
        <v>35.6</v>
      </c>
      <c r="H14" s="95">
        <v>24.06</v>
      </c>
      <c r="I14" s="95">
        <v>85.7</v>
      </c>
      <c r="J14" s="95">
        <v>57.92</v>
      </c>
      <c r="K14" s="95">
        <v>59.33</v>
      </c>
      <c r="L14" s="95">
        <v>40.1</v>
      </c>
      <c r="M14" s="95">
        <v>21.69</v>
      </c>
      <c r="N14" s="123">
        <v>14.26</v>
      </c>
      <c r="O14" s="84">
        <f>E14+G14+I14+K14+M14</f>
        <v>228.69</v>
      </c>
      <c r="P14" s="96">
        <f aca="true" t="shared" si="2" ref="P14:P25">N14+L14+J14+H14+F14</f>
        <v>154.16</v>
      </c>
      <c r="Q14" s="135">
        <v>13.15</v>
      </c>
      <c r="R14" s="136">
        <v>17.41</v>
      </c>
      <c r="S14" s="136">
        <v>42.75</v>
      </c>
      <c r="T14" s="136">
        <v>29.59</v>
      </c>
      <c r="U14" s="136">
        <v>10.51</v>
      </c>
      <c r="V14" s="152">
        <f aca="true" t="shared" si="3" ref="V14:V25">SUM(Q14:U14)</f>
        <v>113.41000000000001</v>
      </c>
      <c r="W14" s="137">
        <f>D14+P14+V14</f>
        <v>382.39875</v>
      </c>
      <c r="X14" s="115"/>
      <c r="Y14" s="113">
        <f>0.6*B14*0.9</f>
        <v>57.348</v>
      </c>
      <c r="Z14" s="113">
        <f>B14*0.2*0.8913</f>
        <v>18.931212000000002</v>
      </c>
      <c r="AA14" s="113">
        <f>0.85*B14*0.8852+0.01</f>
        <v>79.917004</v>
      </c>
      <c r="AB14" s="113">
        <f>AA14*0.18</f>
        <v>14.38506072</v>
      </c>
      <c r="AC14" s="113">
        <f>0.83*B14*0.887</f>
        <v>78.185502</v>
      </c>
      <c r="AD14" s="113">
        <f>AC14*0.18</f>
        <v>14.07339036</v>
      </c>
      <c r="AE14" s="113">
        <f>(1.91)*B14*0.887</f>
        <v>179.920854</v>
      </c>
      <c r="AF14" s="113">
        <f>AE14*0.18</f>
        <v>32.38575372</v>
      </c>
      <c r="AG14" s="113">
        <v>0</v>
      </c>
      <c r="AH14" s="113">
        <f>AG14*0.18</f>
        <v>0</v>
      </c>
      <c r="AI14" s="138"/>
      <c r="AJ14" s="138"/>
      <c r="AK14" s="54">
        <v>931</v>
      </c>
      <c r="AL14" s="54"/>
      <c r="AM14" s="54">
        <f>AK14*0.18</f>
        <v>167.57999999999998</v>
      </c>
      <c r="AN14" s="117">
        <v>508</v>
      </c>
      <c r="AO14" s="118">
        <v>0</v>
      </c>
      <c r="AP14" s="113">
        <f aca="true" t="shared" si="4" ref="AP14:AP25">AN14*AO14*1.12*1.18</f>
        <v>0</v>
      </c>
      <c r="AQ14" s="119"/>
      <c r="AR14" s="119">
        <f>AQ14*0.18</f>
        <v>0</v>
      </c>
      <c r="AS14" s="119">
        <f>SUM(Y14:AM14)</f>
        <v>1573.7267768</v>
      </c>
      <c r="AT14" s="131"/>
      <c r="AU14" s="14">
        <f aca="true" t="shared" si="5" ref="AU14:AU25">W14+X14-AS14-AT14</f>
        <v>-1191.3280267999999</v>
      </c>
      <c r="AV14" s="30">
        <f aca="true" t="shared" si="6" ref="AV14:AV25">V14-O14</f>
        <v>-115.27999999999999</v>
      </c>
    </row>
    <row r="15" spans="1:48" ht="12.75" hidden="1">
      <c r="A15" s="11" t="s">
        <v>40</v>
      </c>
      <c r="B15" s="120">
        <v>106.2</v>
      </c>
      <c r="C15" s="107">
        <f t="shared" si="1"/>
        <v>918.6300000000001</v>
      </c>
      <c r="D15" s="134">
        <f>C15*0.125</f>
        <v>114.82875000000001</v>
      </c>
      <c r="E15" s="95">
        <v>26.37</v>
      </c>
      <c r="F15" s="95">
        <v>17.82</v>
      </c>
      <c r="G15" s="95">
        <v>35.6</v>
      </c>
      <c r="H15" s="95">
        <v>24.86</v>
      </c>
      <c r="I15" s="95">
        <v>85.7</v>
      </c>
      <c r="J15" s="95">
        <v>57.92</v>
      </c>
      <c r="K15" s="95">
        <v>59.33</v>
      </c>
      <c r="L15" s="95">
        <v>40.1</v>
      </c>
      <c r="M15" s="95">
        <v>21.09</v>
      </c>
      <c r="N15" s="123">
        <v>14.26</v>
      </c>
      <c r="O15" s="84">
        <f>E15+G15+I15+K15+M15</f>
        <v>228.09</v>
      </c>
      <c r="P15" s="96">
        <f t="shared" si="2"/>
        <v>154.95999999999998</v>
      </c>
      <c r="Q15" s="125">
        <v>21.64</v>
      </c>
      <c r="R15" s="125">
        <v>25.98</v>
      </c>
      <c r="S15" s="125">
        <v>70.31</v>
      </c>
      <c r="T15" s="125">
        <v>48.67</v>
      </c>
      <c r="U15" s="125">
        <v>17.31</v>
      </c>
      <c r="V15" s="120">
        <f t="shared" si="3"/>
        <v>183.91000000000003</v>
      </c>
      <c r="W15" s="115">
        <f>D15+P15+V15</f>
        <v>453.69875</v>
      </c>
      <c r="X15" s="115"/>
      <c r="Y15" s="113">
        <f>0.6*B15*0.9</f>
        <v>57.348</v>
      </c>
      <c r="Z15" s="113">
        <f>B15*0.2*0.9152</f>
        <v>19.438848000000004</v>
      </c>
      <c r="AA15" s="113">
        <f>0.85*B15*0.8853-0.01</f>
        <v>79.90603099999998</v>
      </c>
      <c r="AB15" s="113">
        <f aca="true" t="shared" si="7" ref="AB15:AB25">AA15*0.18</f>
        <v>14.383085579999996</v>
      </c>
      <c r="AC15" s="113">
        <f>0.83*B15*0.9</f>
        <v>79.3314</v>
      </c>
      <c r="AD15" s="113">
        <f aca="true" t="shared" si="8" ref="AD15:AD25">AC15*0.18</f>
        <v>14.279652</v>
      </c>
      <c r="AE15" s="113">
        <f>(1.91)*B15*0.9</f>
        <v>182.5578</v>
      </c>
      <c r="AF15" s="113">
        <f aca="true" t="shared" si="9" ref="AF15:AF25">AE15*0.18</f>
        <v>32.860403999999996</v>
      </c>
      <c r="AG15" s="113">
        <v>0</v>
      </c>
      <c r="AH15" s="113">
        <f aca="true" t="shared" si="10" ref="AH15:AJ25">AG15*0.18</f>
        <v>0</v>
      </c>
      <c r="AI15" s="138"/>
      <c r="AJ15" s="138"/>
      <c r="AK15" s="54"/>
      <c r="AL15" s="54"/>
      <c r="AM15" s="87">
        <f>(AK15+AL15)*0.18</f>
        <v>0</v>
      </c>
      <c r="AN15" s="117">
        <v>407</v>
      </c>
      <c r="AO15" s="118">
        <v>0</v>
      </c>
      <c r="AP15" s="113">
        <f t="shared" si="4"/>
        <v>0</v>
      </c>
      <c r="AQ15" s="119"/>
      <c r="AR15" s="119">
        <f>AQ15*0.18</f>
        <v>0</v>
      </c>
      <c r="AS15" s="119">
        <f>SUM(Y15:AM15)</f>
        <v>480.10522058000004</v>
      </c>
      <c r="AT15" s="131"/>
      <c r="AU15" s="14">
        <f t="shared" si="5"/>
        <v>-26.40647058000002</v>
      </c>
      <c r="AV15" s="30">
        <f t="shared" si="6"/>
        <v>-44.17999999999998</v>
      </c>
    </row>
    <row r="16" spans="1:48" ht="12.75" hidden="1">
      <c r="A16" s="11" t="s">
        <v>41</v>
      </c>
      <c r="B16" s="120">
        <v>106.2</v>
      </c>
      <c r="C16" s="107">
        <f t="shared" si="1"/>
        <v>918.6300000000001</v>
      </c>
      <c r="D16" s="139">
        <f>C16*0.125</f>
        <v>114.82875000000001</v>
      </c>
      <c r="E16" s="95">
        <v>26.37</v>
      </c>
      <c r="F16" s="95">
        <v>17.82</v>
      </c>
      <c r="G16" s="95">
        <v>35.6</v>
      </c>
      <c r="H16" s="95">
        <v>24.06</v>
      </c>
      <c r="I16" s="95">
        <v>85.7</v>
      </c>
      <c r="J16" s="95">
        <v>57.92</v>
      </c>
      <c r="K16" s="95">
        <v>59.33</v>
      </c>
      <c r="L16" s="95">
        <v>40.1</v>
      </c>
      <c r="M16" s="95">
        <v>21.09</v>
      </c>
      <c r="N16" s="123">
        <v>14.26</v>
      </c>
      <c r="O16" s="84">
        <f>E16+G16+I16+K16+M16</f>
        <v>228.09</v>
      </c>
      <c r="P16" s="96">
        <f t="shared" si="2"/>
        <v>154.16</v>
      </c>
      <c r="Q16" s="125">
        <v>22.89</v>
      </c>
      <c r="R16" s="125">
        <v>28.09</v>
      </c>
      <c r="S16" s="125">
        <v>74.39</v>
      </c>
      <c r="T16" s="125">
        <v>51.5</v>
      </c>
      <c r="U16" s="125">
        <v>18.3</v>
      </c>
      <c r="V16" s="120">
        <f t="shared" si="3"/>
        <v>195.17000000000002</v>
      </c>
      <c r="W16" s="115">
        <f>D16+P16+V16</f>
        <v>464.15875</v>
      </c>
      <c r="X16" s="115"/>
      <c r="Y16" s="113">
        <f>0.6*B16*0.9</f>
        <v>57.348</v>
      </c>
      <c r="Z16" s="113">
        <f>B16*0.2*0.9081</f>
        <v>19.288044000000003</v>
      </c>
      <c r="AA16" s="113">
        <f>0.85*B16*0.891</f>
        <v>80.43057</v>
      </c>
      <c r="AB16" s="113">
        <f t="shared" si="7"/>
        <v>14.4775026</v>
      </c>
      <c r="AC16" s="113">
        <f>(0.83*B16)*0.8928</f>
        <v>78.69674880000001</v>
      </c>
      <c r="AD16" s="113">
        <f t="shared" si="8"/>
        <v>14.165414784000001</v>
      </c>
      <c r="AE16" s="113">
        <f>1.91*B16*0.8927</f>
        <v>181.07705339999998</v>
      </c>
      <c r="AF16" s="113">
        <f t="shared" si="9"/>
        <v>32.593869612</v>
      </c>
      <c r="AG16" s="113">
        <v>0</v>
      </c>
      <c r="AH16" s="113">
        <f t="shared" si="10"/>
        <v>0</v>
      </c>
      <c r="AI16" s="138"/>
      <c r="AJ16" s="138">
        <f t="shared" si="10"/>
        <v>0</v>
      </c>
      <c r="AK16" s="116"/>
      <c r="AL16" s="116"/>
      <c r="AM16" s="87">
        <f>(AK16+AL16)*0.18</f>
        <v>0</v>
      </c>
      <c r="AN16" s="117">
        <v>383</v>
      </c>
      <c r="AO16" s="118">
        <v>0</v>
      </c>
      <c r="AP16" s="113">
        <f t="shared" si="4"/>
        <v>0</v>
      </c>
      <c r="AQ16" s="119"/>
      <c r="AR16" s="119">
        <f>AQ16*0.18</f>
        <v>0</v>
      </c>
      <c r="AS16" s="119">
        <f>SUM(Y16:AM16)</f>
        <v>478.07720319599997</v>
      </c>
      <c r="AT16" s="131"/>
      <c r="AU16" s="14">
        <f t="shared" si="5"/>
        <v>-13.918453195999973</v>
      </c>
      <c r="AV16" s="30">
        <f t="shared" si="6"/>
        <v>-32.91999999999999</v>
      </c>
    </row>
    <row r="17" spans="1:48" ht="12.75" hidden="1">
      <c r="A17" s="11" t="s">
        <v>42</v>
      </c>
      <c r="B17" s="120">
        <v>106.2</v>
      </c>
      <c r="C17" s="121">
        <f t="shared" si="1"/>
        <v>918.6300000000001</v>
      </c>
      <c r="D17" s="139">
        <f>C17*0.125</f>
        <v>114.82875000000001</v>
      </c>
      <c r="E17" s="95">
        <v>26.37</v>
      </c>
      <c r="F17" s="95">
        <v>17.82</v>
      </c>
      <c r="G17" s="95">
        <v>35.6</v>
      </c>
      <c r="H17" s="95">
        <v>24.06</v>
      </c>
      <c r="I17" s="95">
        <v>85.7</v>
      </c>
      <c r="J17" s="95">
        <v>57.92</v>
      </c>
      <c r="K17" s="95">
        <v>59.33</v>
      </c>
      <c r="L17" s="95">
        <v>40.1</v>
      </c>
      <c r="M17" s="95">
        <v>21.09</v>
      </c>
      <c r="N17" s="123">
        <v>14.26</v>
      </c>
      <c r="O17" s="85">
        <f aca="true" t="shared" si="11" ref="O17:O25">E17+G17+I17+K17+M17</f>
        <v>228.09</v>
      </c>
      <c r="P17" s="96">
        <f t="shared" si="2"/>
        <v>154.16</v>
      </c>
      <c r="Q17" s="124">
        <v>12.21</v>
      </c>
      <c r="R17" s="125">
        <v>14.06</v>
      </c>
      <c r="S17" s="125">
        <v>39.69</v>
      </c>
      <c r="T17" s="125">
        <v>27.48</v>
      </c>
      <c r="U17" s="125">
        <v>9.77</v>
      </c>
      <c r="V17" s="120">
        <f t="shared" si="3"/>
        <v>103.21000000000001</v>
      </c>
      <c r="W17" s="140">
        <f aca="true" t="shared" si="12" ref="W17:W25">D17+P17+V17</f>
        <v>372.19875</v>
      </c>
      <c r="X17" s="115"/>
      <c r="Y17" s="113">
        <f>0.6*B17*0.9</f>
        <v>57.348</v>
      </c>
      <c r="Z17" s="113">
        <f>B17*0.2*0.9234</f>
        <v>19.613016000000002</v>
      </c>
      <c r="AA17" s="113">
        <f>0.85*B17*0.891</f>
        <v>80.43057</v>
      </c>
      <c r="AB17" s="113">
        <f t="shared" si="7"/>
        <v>14.4775026</v>
      </c>
      <c r="AC17" s="113">
        <f>(0.83*B17)*0.8928</f>
        <v>78.69674880000001</v>
      </c>
      <c r="AD17" s="113">
        <f t="shared" si="8"/>
        <v>14.165414784000001</v>
      </c>
      <c r="AE17" s="113">
        <f>1.91*B17*0.8927</f>
        <v>181.07705339999998</v>
      </c>
      <c r="AF17" s="113">
        <f t="shared" si="9"/>
        <v>32.593869612</v>
      </c>
      <c r="AG17" s="113">
        <v>0</v>
      </c>
      <c r="AH17" s="113">
        <f t="shared" si="10"/>
        <v>0</v>
      </c>
      <c r="AI17" s="138"/>
      <c r="AJ17" s="99">
        <f t="shared" si="10"/>
        <v>0</v>
      </c>
      <c r="AK17" s="116"/>
      <c r="AL17" s="116"/>
      <c r="AM17" s="87">
        <f>(AK17+AL17)*0.18</f>
        <v>0</v>
      </c>
      <c r="AN17" s="100">
        <v>307</v>
      </c>
      <c r="AO17" s="118">
        <v>0</v>
      </c>
      <c r="AP17" s="113">
        <f t="shared" si="4"/>
        <v>0</v>
      </c>
      <c r="AQ17" s="102"/>
      <c r="AR17" s="111">
        <f aca="true" t="shared" si="13" ref="AR17:AR25">AQ17*0.18</f>
        <v>0</v>
      </c>
      <c r="AS17" s="103">
        <f>SUM(Y17:AM17)+AP17+AP14+AP15+AP16</f>
        <v>478.402175196</v>
      </c>
      <c r="AT17" s="106"/>
      <c r="AU17" s="14">
        <f t="shared" si="5"/>
        <v>-106.20342519599996</v>
      </c>
      <c r="AV17" s="30">
        <f t="shared" si="6"/>
        <v>-124.88</v>
      </c>
    </row>
    <row r="18" spans="1:48" ht="12.75" hidden="1">
      <c r="A18" s="11" t="s">
        <v>43</v>
      </c>
      <c r="B18" s="120">
        <v>106.2</v>
      </c>
      <c r="C18" s="121">
        <f t="shared" si="1"/>
        <v>918.6300000000001</v>
      </c>
      <c r="D18" s="139">
        <f>C18-E18-F18-G18-H18-I18-J18-K18-L18-M18-N18</f>
        <v>496.77000000000015</v>
      </c>
      <c r="E18" s="104">
        <v>28.6</v>
      </c>
      <c r="F18" s="104">
        <v>20.05</v>
      </c>
      <c r="G18" s="104">
        <v>38.71</v>
      </c>
      <c r="H18" s="104">
        <v>27.18</v>
      </c>
      <c r="I18" s="104">
        <v>93.05</v>
      </c>
      <c r="J18" s="104">
        <v>65.27</v>
      </c>
      <c r="K18" s="104">
        <v>64.45</v>
      </c>
      <c r="L18" s="104">
        <v>45.63</v>
      </c>
      <c r="M18" s="104">
        <v>22.88</v>
      </c>
      <c r="N18" s="105">
        <v>16.04</v>
      </c>
      <c r="O18" s="141">
        <f t="shared" si="11"/>
        <v>247.69</v>
      </c>
      <c r="P18" s="142">
        <f t="shared" si="2"/>
        <v>174.17000000000002</v>
      </c>
      <c r="Q18" s="125">
        <v>37.32</v>
      </c>
      <c r="R18" s="125">
        <v>48.31</v>
      </c>
      <c r="S18" s="125">
        <v>121.3</v>
      </c>
      <c r="T18" s="125">
        <v>83.98</v>
      </c>
      <c r="U18" s="125">
        <v>29.85</v>
      </c>
      <c r="V18" s="120">
        <f t="shared" si="3"/>
        <v>320.76000000000005</v>
      </c>
      <c r="W18" s="115">
        <f t="shared" si="12"/>
        <v>991.7000000000003</v>
      </c>
      <c r="X18" s="115"/>
      <c r="Y18" s="113">
        <f aca="true" t="shared" si="14" ref="Y18:Y25">0.6*B18</f>
        <v>63.72</v>
      </c>
      <c r="Z18" s="113">
        <f>B18*0.2*1.011</f>
        <v>21.47364</v>
      </c>
      <c r="AA18" s="113">
        <f>0.85*B18*0.99</f>
        <v>89.3673</v>
      </c>
      <c r="AB18" s="113">
        <f t="shared" si="7"/>
        <v>16.086114</v>
      </c>
      <c r="AC18" s="113">
        <f>(0.83*B18)*0.992</f>
        <v>87.440832</v>
      </c>
      <c r="AD18" s="113">
        <f t="shared" si="8"/>
        <v>15.73934976</v>
      </c>
      <c r="AE18" s="113">
        <f>1.91*B18*0.992</f>
        <v>201.21926399999998</v>
      </c>
      <c r="AF18" s="113">
        <f t="shared" si="9"/>
        <v>36.219467519999995</v>
      </c>
      <c r="AG18" s="113">
        <v>0</v>
      </c>
      <c r="AH18" s="113">
        <f t="shared" si="10"/>
        <v>0</v>
      </c>
      <c r="AI18" s="138"/>
      <c r="AJ18" s="99">
        <f t="shared" si="10"/>
        <v>0</v>
      </c>
      <c r="AK18" s="116"/>
      <c r="AL18" s="116"/>
      <c r="AM18" s="87">
        <f>(AK18+AL18)*0.18</f>
        <v>0</v>
      </c>
      <c r="AN18" s="100">
        <v>263</v>
      </c>
      <c r="AO18" s="118">
        <v>0</v>
      </c>
      <c r="AP18" s="113">
        <f t="shared" si="4"/>
        <v>0</v>
      </c>
      <c r="AQ18" s="119"/>
      <c r="AR18" s="119">
        <f t="shared" si="13"/>
        <v>0</v>
      </c>
      <c r="AS18" s="119">
        <f aca="true" t="shared" si="15" ref="AS18:AS25">SUM(Y18:AM18)+AP18</f>
        <v>531.2659672799999</v>
      </c>
      <c r="AT18" s="131"/>
      <c r="AU18" s="14">
        <f t="shared" si="5"/>
        <v>460.43403272000035</v>
      </c>
      <c r="AV18" s="30">
        <f t="shared" si="6"/>
        <v>73.07000000000005</v>
      </c>
    </row>
    <row r="19" spans="1:48" ht="12.75" hidden="1">
      <c r="A19" s="11" t="s">
        <v>44</v>
      </c>
      <c r="B19" s="120">
        <v>106.2</v>
      </c>
      <c r="C19" s="121">
        <f t="shared" si="1"/>
        <v>918.6300000000001</v>
      </c>
      <c r="D19" s="139">
        <f>C19-E19-F19-G19-H19-I19-J19-K19-L19-M19-N19</f>
        <v>234.05000000000018</v>
      </c>
      <c r="E19" s="104">
        <v>57.19</v>
      </c>
      <c r="F19" s="104">
        <v>40.1</v>
      </c>
      <c r="G19" s="104">
        <v>77.44</v>
      </c>
      <c r="H19" s="104">
        <v>54.35</v>
      </c>
      <c r="I19" s="104">
        <v>93.05</v>
      </c>
      <c r="J19" s="104">
        <v>65.27</v>
      </c>
      <c r="K19" s="104">
        <v>128.91</v>
      </c>
      <c r="L19" s="104">
        <v>90.44</v>
      </c>
      <c r="M19" s="104">
        <v>45.75</v>
      </c>
      <c r="N19" s="143">
        <v>32.08</v>
      </c>
      <c r="O19" s="85">
        <f t="shared" si="11"/>
        <v>402.34000000000003</v>
      </c>
      <c r="P19" s="96">
        <f t="shared" si="2"/>
        <v>282.24</v>
      </c>
      <c r="Q19" s="125">
        <v>27.8</v>
      </c>
      <c r="R19" s="125">
        <v>35.82</v>
      </c>
      <c r="S19" s="125">
        <v>90.42</v>
      </c>
      <c r="T19" s="125">
        <v>62.63</v>
      </c>
      <c r="U19" s="125">
        <v>22.25</v>
      </c>
      <c r="V19" s="120">
        <f t="shared" si="3"/>
        <v>238.92000000000002</v>
      </c>
      <c r="W19" s="115">
        <f t="shared" si="12"/>
        <v>755.2100000000003</v>
      </c>
      <c r="X19" s="115"/>
      <c r="Y19" s="113">
        <f t="shared" si="14"/>
        <v>63.72</v>
      </c>
      <c r="Z19" s="113">
        <f>B19*0.2*1.01045</f>
        <v>21.461958000000003</v>
      </c>
      <c r="AA19" s="113">
        <f>0.85*B19*0.98824</f>
        <v>89.2084248</v>
      </c>
      <c r="AB19" s="113">
        <f t="shared" si="7"/>
        <v>16.057516464</v>
      </c>
      <c r="AC19" s="113">
        <f>(0.83*B19)*0.99023</f>
        <v>87.28481358</v>
      </c>
      <c r="AD19" s="113">
        <f t="shared" si="8"/>
        <v>15.7112664444</v>
      </c>
      <c r="AE19" s="113">
        <f>(1.91)*B19*0.99023</f>
        <v>200.86023366</v>
      </c>
      <c r="AF19" s="113">
        <f t="shared" si="9"/>
        <v>36.1548420588</v>
      </c>
      <c r="AG19" s="113">
        <v>0</v>
      </c>
      <c r="AH19" s="113">
        <f t="shared" si="10"/>
        <v>0</v>
      </c>
      <c r="AI19" s="138"/>
      <c r="AJ19" s="138">
        <f t="shared" si="10"/>
        <v>0</v>
      </c>
      <c r="AK19" s="116"/>
      <c r="AL19" s="116"/>
      <c r="AM19" s="87">
        <f>(AK19+AL19)*0.18</f>
        <v>0</v>
      </c>
      <c r="AN19" s="100">
        <v>233</v>
      </c>
      <c r="AO19" s="118">
        <v>0</v>
      </c>
      <c r="AP19" s="113">
        <f t="shared" si="4"/>
        <v>0</v>
      </c>
      <c r="AQ19" s="119"/>
      <c r="AR19" s="119">
        <f t="shared" si="13"/>
        <v>0</v>
      </c>
      <c r="AS19" s="119">
        <f t="shared" si="15"/>
        <v>530.4590550072</v>
      </c>
      <c r="AT19" s="131"/>
      <c r="AU19" s="14">
        <f t="shared" si="5"/>
        <v>224.7509449928002</v>
      </c>
      <c r="AV19" s="30">
        <f t="shared" si="6"/>
        <v>-163.42000000000002</v>
      </c>
    </row>
    <row r="20" spans="1:48" ht="12.75" hidden="1">
      <c r="A20" s="11" t="s">
        <v>45</v>
      </c>
      <c r="B20" s="120">
        <v>106.2</v>
      </c>
      <c r="C20" s="121">
        <f t="shared" si="1"/>
        <v>918.6300000000001</v>
      </c>
      <c r="D20" s="139">
        <f>C20-E20-F20-G20-H20-I20-J20-K20-L20-M20-N20</f>
        <v>760.0900000000001</v>
      </c>
      <c r="E20" s="104">
        <v>0.01</v>
      </c>
      <c r="F20" s="104">
        <v>0</v>
      </c>
      <c r="G20" s="104">
        <v>-0.02</v>
      </c>
      <c r="H20" s="104">
        <v>0.01</v>
      </c>
      <c r="I20" s="104">
        <v>93.25</v>
      </c>
      <c r="J20" s="104">
        <v>65.27</v>
      </c>
      <c r="K20" s="104">
        <v>-0.01</v>
      </c>
      <c r="L20" s="104">
        <v>0.02</v>
      </c>
      <c r="M20" s="104">
        <v>0.01</v>
      </c>
      <c r="N20" s="143">
        <v>0</v>
      </c>
      <c r="O20" s="85">
        <f t="shared" si="11"/>
        <v>93.24</v>
      </c>
      <c r="P20" s="96">
        <f t="shared" si="2"/>
        <v>65.3</v>
      </c>
      <c r="Q20" s="125">
        <v>43.54</v>
      </c>
      <c r="R20" s="125">
        <v>57.62</v>
      </c>
      <c r="S20" s="125">
        <v>88.88</v>
      </c>
      <c r="T20" s="125">
        <v>98.14</v>
      </c>
      <c r="U20" s="125">
        <v>34.83</v>
      </c>
      <c r="V20" s="120">
        <f t="shared" si="3"/>
        <v>323.01</v>
      </c>
      <c r="W20" s="115">
        <f t="shared" si="12"/>
        <v>1148.4</v>
      </c>
      <c r="X20" s="115"/>
      <c r="Y20" s="113">
        <f t="shared" si="14"/>
        <v>63.72</v>
      </c>
      <c r="Z20" s="113">
        <f>B20*0.2*0.99426</f>
        <v>21.118082400000002</v>
      </c>
      <c r="AA20" s="113">
        <f>0.85*B20*0.98824</f>
        <v>89.2084248</v>
      </c>
      <c r="AB20" s="113">
        <f t="shared" si="7"/>
        <v>16.057516464</v>
      </c>
      <c r="AC20" s="113">
        <f>0.83*B20*0.99023</f>
        <v>87.28481358</v>
      </c>
      <c r="AD20" s="113">
        <f t="shared" si="8"/>
        <v>15.7112664444</v>
      </c>
      <c r="AE20" s="113">
        <f>1.91*B20*0.99023</f>
        <v>200.86023366</v>
      </c>
      <c r="AF20" s="113">
        <f t="shared" si="9"/>
        <v>36.1548420588</v>
      </c>
      <c r="AG20" s="113">
        <v>0</v>
      </c>
      <c r="AH20" s="113">
        <f t="shared" si="10"/>
        <v>0</v>
      </c>
      <c r="AI20" s="138"/>
      <c r="AJ20" s="99">
        <f t="shared" si="10"/>
        <v>0</v>
      </c>
      <c r="AK20" s="116">
        <v>279</v>
      </c>
      <c r="AL20" s="116"/>
      <c r="AM20" s="116">
        <f>AK20*0.18</f>
        <v>50.22</v>
      </c>
      <c r="AN20" s="110">
        <v>248</v>
      </c>
      <c r="AO20" s="118">
        <v>0</v>
      </c>
      <c r="AP20" s="113">
        <f t="shared" si="4"/>
        <v>0</v>
      </c>
      <c r="AQ20" s="119"/>
      <c r="AR20" s="119">
        <f t="shared" si="13"/>
        <v>0</v>
      </c>
      <c r="AS20" s="119">
        <f t="shared" si="15"/>
        <v>859.3351794072</v>
      </c>
      <c r="AT20" s="131"/>
      <c r="AU20" s="14">
        <f t="shared" si="5"/>
        <v>289.06482059280006</v>
      </c>
      <c r="AV20" s="30">
        <f t="shared" si="6"/>
        <v>229.76999999999998</v>
      </c>
    </row>
    <row r="21" spans="1:48" ht="12.75" hidden="1">
      <c r="A21" s="11" t="s">
        <v>46</v>
      </c>
      <c r="B21" s="120">
        <v>106.2</v>
      </c>
      <c r="C21" s="121">
        <f t="shared" si="1"/>
        <v>918.6300000000001</v>
      </c>
      <c r="D21" s="139">
        <f>C21-E21-F21-G21-H21-I21-J21-K21-L21-M21-N21</f>
        <v>497.13000000000017</v>
      </c>
      <c r="E21" s="104">
        <v>28.64</v>
      </c>
      <c r="F21" s="104">
        <v>20.05</v>
      </c>
      <c r="G21" s="104">
        <v>38.71</v>
      </c>
      <c r="H21" s="104">
        <v>27.18</v>
      </c>
      <c r="I21" s="104">
        <v>93.05</v>
      </c>
      <c r="J21" s="104">
        <v>65.27</v>
      </c>
      <c r="K21" s="104">
        <v>64.45</v>
      </c>
      <c r="L21" s="104">
        <v>45.23</v>
      </c>
      <c r="M21" s="104">
        <v>22.88</v>
      </c>
      <c r="N21" s="143">
        <v>16.04</v>
      </c>
      <c r="O21" s="85">
        <f t="shared" si="11"/>
        <v>247.72999999999996</v>
      </c>
      <c r="P21" s="96">
        <f t="shared" si="2"/>
        <v>173.77</v>
      </c>
      <c r="Q21" s="125">
        <v>12.14</v>
      </c>
      <c r="R21" s="125">
        <v>15.63</v>
      </c>
      <c r="S21" s="125">
        <v>83.25</v>
      </c>
      <c r="T21" s="125">
        <v>27.31</v>
      </c>
      <c r="U21" s="125">
        <v>9.72</v>
      </c>
      <c r="V21" s="120">
        <f t="shared" si="3"/>
        <v>148.05</v>
      </c>
      <c r="W21" s="115">
        <f t="shared" si="12"/>
        <v>818.9500000000003</v>
      </c>
      <c r="X21" s="115"/>
      <c r="Y21" s="113">
        <f t="shared" si="14"/>
        <v>63.72</v>
      </c>
      <c r="Z21" s="113">
        <f>B21*0.2*0.99875</f>
        <v>21.21345</v>
      </c>
      <c r="AA21" s="113">
        <f>0.85*B21*0.9883</f>
        <v>89.21384099999999</v>
      </c>
      <c r="AB21" s="113">
        <f t="shared" si="7"/>
        <v>16.058491379999996</v>
      </c>
      <c r="AC21" s="113">
        <f>0.83*B21*0.9903</f>
        <v>87.29098379999999</v>
      </c>
      <c r="AD21" s="113">
        <f t="shared" si="8"/>
        <v>15.712377083999998</v>
      </c>
      <c r="AE21" s="113">
        <f>1.91*B21*0.9902</f>
        <v>200.85414839999999</v>
      </c>
      <c r="AF21" s="113">
        <f t="shared" si="9"/>
        <v>36.15374671199999</v>
      </c>
      <c r="AG21" s="113">
        <v>0</v>
      </c>
      <c r="AH21" s="113">
        <f t="shared" si="10"/>
        <v>0</v>
      </c>
      <c r="AI21" s="138"/>
      <c r="AJ21" s="99">
        <f t="shared" si="10"/>
        <v>0</v>
      </c>
      <c r="AK21" s="116"/>
      <c r="AL21" s="116"/>
      <c r="AM21" s="87">
        <f>(AK21+AL21)*0.18</f>
        <v>0</v>
      </c>
      <c r="AN21" s="110">
        <v>293</v>
      </c>
      <c r="AO21" s="118">
        <v>0</v>
      </c>
      <c r="AP21" s="113">
        <f t="shared" si="4"/>
        <v>0</v>
      </c>
      <c r="AQ21" s="119"/>
      <c r="AR21" s="119">
        <f t="shared" si="13"/>
        <v>0</v>
      </c>
      <c r="AS21" s="119">
        <f t="shared" si="15"/>
        <v>530.217038376</v>
      </c>
      <c r="AT21" s="131"/>
      <c r="AU21" s="14">
        <f t="shared" si="5"/>
        <v>288.73296162400027</v>
      </c>
      <c r="AV21" s="30">
        <f t="shared" si="6"/>
        <v>-99.67999999999995</v>
      </c>
    </row>
    <row r="22" spans="1:48" ht="12.75" hidden="1">
      <c r="A22" s="11" t="s">
        <v>47</v>
      </c>
      <c r="B22" s="120">
        <v>106.2</v>
      </c>
      <c r="C22" s="121">
        <f t="shared" si="1"/>
        <v>918.6300000000001</v>
      </c>
      <c r="D22" s="139">
        <f>C22-E22-F22-G22-H22-I22-J22-K22-L22-M22-N22</f>
        <v>497.17000000000013</v>
      </c>
      <c r="E22" s="95">
        <v>28.6</v>
      </c>
      <c r="F22" s="95">
        <v>20.05</v>
      </c>
      <c r="G22" s="95">
        <v>38.71</v>
      </c>
      <c r="H22" s="95">
        <v>27.18</v>
      </c>
      <c r="I22" s="95">
        <v>93.05</v>
      </c>
      <c r="J22" s="95">
        <v>65.27</v>
      </c>
      <c r="K22" s="95">
        <v>64.45</v>
      </c>
      <c r="L22" s="95">
        <v>45.23</v>
      </c>
      <c r="M22" s="95">
        <v>22.88</v>
      </c>
      <c r="N22" s="123">
        <v>16.04</v>
      </c>
      <c r="O22" s="85">
        <f t="shared" si="11"/>
        <v>247.69</v>
      </c>
      <c r="P22" s="96">
        <f t="shared" si="2"/>
        <v>173.77</v>
      </c>
      <c r="Q22" s="125">
        <v>26.64</v>
      </c>
      <c r="R22" s="125">
        <v>35.2</v>
      </c>
      <c r="S22" s="125">
        <v>88.62</v>
      </c>
      <c r="T22" s="125">
        <v>60.04</v>
      </c>
      <c r="U22" s="125">
        <v>21.32</v>
      </c>
      <c r="V22" s="120">
        <f t="shared" si="3"/>
        <v>231.82</v>
      </c>
      <c r="W22" s="115">
        <f t="shared" si="12"/>
        <v>902.7600000000002</v>
      </c>
      <c r="X22" s="115"/>
      <c r="Y22" s="113">
        <f t="shared" si="14"/>
        <v>63.72</v>
      </c>
      <c r="Z22" s="113">
        <f>B22*0.2*0.9997</f>
        <v>21.233628000000003</v>
      </c>
      <c r="AA22" s="113">
        <f>0.85*B22*0.9883</f>
        <v>89.21384099999999</v>
      </c>
      <c r="AB22" s="113">
        <f t="shared" si="7"/>
        <v>16.058491379999996</v>
      </c>
      <c r="AC22" s="113">
        <f>(0.83*B22)*0.9902</f>
        <v>87.2821692</v>
      </c>
      <c r="AD22" s="113">
        <f t="shared" si="8"/>
        <v>15.710790456</v>
      </c>
      <c r="AE22" s="113">
        <f>1.91*B22*0.9903</f>
        <v>200.87443259999998</v>
      </c>
      <c r="AF22" s="113">
        <f t="shared" si="9"/>
        <v>36.157397868</v>
      </c>
      <c r="AG22" s="113">
        <v>0</v>
      </c>
      <c r="AH22" s="113">
        <f t="shared" si="10"/>
        <v>0</v>
      </c>
      <c r="AI22" s="138"/>
      <c r="AJ22" s="99">
        <f t="shared" si="10"/>
        <v>0</v>
      </c>
      <c r="AK22" s="116"/>
      <c r="AL22" s="116"/>
      <c r="AM22" s="87">
        <f>(AK22+AL22)*0.18</f>
        <v>0</v>
      </c>
      <c r="AN22" s="110">
        <v>349</v>
      </c>
      <c r="AO22" s="118">
        <v>0</v>
      </c>
      <c r="AP22" s="113">
        <f t="shared" si="4"/>
        <v>0</v>
      </c>
      <c r="AQ22" s="119"/>
      <c r="AR22" s="119">
        <f t="shared" si="13"/>
        <v>0</v>
      </c>
      <c r="AS22" s="119">
        <f t="shared" si="15"/>
        <v>530.2507505039999</v>
      </c>
      <c r="AT22" s="131"/>
      <c r="AU22" s="14">
        <f t="shared" si="5"/>
        <v>372.5092494960003</v>
      </c>
      <c r="AV22" s="30">
        <f t="shared" si="6"/>
        <v>-15.870000000000005</v>
      </c>
    </row>
    <row r="23" spans="1:48" ht="12.75" hidden="1">
      <c r="A23" s="11" t="s">
        <v>35</v>
      </c>
      <c r="B23" s="147">
        <v>106.2</v>
      </c>
      <c r="C23" s="94">
        <f t="shared" si="1"/>
        <v>918.6300000000001</v>
      </c>
      <c r="D23" s="139">
        <f>C23-O23-P23</f>
        <v>497.1700000000001</v>
      </c>
      <c r="E23" s="95">
        <v>28.6</v>
      </c>
      <c r="F23" s="95">
        <v>20.05</v>
      </c>
      <c r="G23" s="95">
        <v>38.71</v>
      </c>
      <c r="H23" s="95">
        <v>27.18</v>
      </c>
      <c r="I23" s="95">
        <v>93.05</v>
      </c>
      <c r="J23" s="95">
        <v>65.27</v>
      </c>
      <c r="K23" s="95">
        <v>64.45</v>
      </c>
      <c r="L23" s="95">
        <v>45.23</v>
      </c>
      <c r="M23" s="95">
        <v>22.88</v>
      </c>
      <c r="N23" s="98">
        <v>16.04</v>
      </c>
      <c r="O23" s="144">
        <f t="shared" si="11"/>
        <v>247.69</v>
      </c>
      <c r="P23" s="145">
        <f t="shared" si="2"/>
        <v>173.77</v>
      </c>
      <c r="Q23" s="125">
        <v>28.39</v>
      </c>
      <c r="R23" s="125">
        <v>37.66</v>
      </c>
      <c r="S23" s="125">
        <v>93.86</v>
      </c>
      <c r="T23" s="125">
        <v>63.96</v>
      </c>
      <c r="U23" s="125">
        <v>22.71</v>
      </c>
      <c r="V23" s="98">
        <f t="shared" si="3"/>
        <v>246.58</v>
      </c>
      <c r="W23" s="97">
        <f t="shared" si="12"/>
        <v>917.5200000000001</v>
      </c>
      <c r="X23" s="92"/>
      <c r="Y23" s="146">
        <f t="shared" si="14"/>
        <v>63.72</v>
      </c>
      <c r="Z23" s="16">
        <f>B23*0.2</f>
        <v>21.240000000000002</v>
      </c>
      <c r="AA23" s="16">
        <f>0.85*B23</f>
        <v>90.27</v>
      </c>
      <c r="AB23" s="16">
        <f t="shared" si="7"/>
        <v>16.2486</v>
      </c>
      <c r="AC23" s="16">
        <f>(0.83*B23)</f>
        <v>88.146</v>
      </c>
      <c r="AD23" s="16">
        <f t="shared" si="8"/>
        <v>15.86628</v>
      </c>
      <c r="AE23" s="16">
        <f>1.91*B23</f>
        <v>202.84199999999998</v>
      </c>
      <c r="AF23" s="16">
        <f t="shared" si="9"/>
        <v>36.511559999999996</v>
      </c>
      <c r="AG23" s="16">
        <v>0</v>
      </c>
      <c r="AH23" s="16">
        <f t="shared" si="10"/>
        <v>0</v>
      </c>
      <c r="AI23" s="138"/>
      <c r="AJ23" s="99">
        <f t="shared" si="10"/>
        <v>0</v>
      </c>
      <c r="AK23" s="87"/>
      <c r="AL23" s="87"/>
      <c r="AM23" s="87">
        <f>(AK23+AL23)*0.18</f>
        <v>0</v>
      </c>
      <c r="AN23" s="128">
        <v>425</v>
      </c>
      <c r="AO23" s="109">
        <v>0</v>
      </c>
      <c r="AP23" s="16">
        <f t="shared" si="4"/>
        <v>0</v>
      </c>
      <c r="AQ23" s="103"/>
      <c r="AR23" s="103">
        <f t="shared" si="13"/>
        <v>0</v>
      </c>
      <c r="AS23" s="103">
        <f t="shared" si="15"/>
        <v>534.8444400000001</v>
      </c>
      <c r="AT23" s="106"/>
      <c r="AU23" s="14">
        <f t="shared" si="5"/>
        <v>382.67556</v>
      </c>
      <c r="AV23" s="30">
        <f t="shared" si="6"/>
        <v>-1.1099999999999852</v>
      </c>
    </row>
    <row r="24" spans="1:48" ht="12.75" hidden="1">
      <c r="A24" s="11" t="s">
        <v>36</v>
      </c>
      <c r="B24" s="147">
        <v>106.2</v>
      </c>
      <c r="C24" s="94">
        <f t="shared" si="1"/>
        <v>918.6300000000001</v>
      </c>
      <c r="D24" s="139">
        <f>C24-O24-P24</f>
        <v>497.1700000000001</v>
      </c>
      <c r="E24" s="95">
        <v>28.6</v>
      </c>
      <c r="F24" s="95">
        <v>20.05</v>
      </c>
      <c r="G24" s="95">
        <v>38.71</v>
      </c>
      <c r="H24" s="95">
        <v>27.18</v>
      </c>
      <c r="I24" s="95">
        <v>93.05</v>
      </c>
      <c r="J24" s="95">
        <v>65.27</v>
      </c>
      <c r="K24" s="95">
        <v>64.45</v>
      </c>
      <c r="L24" s="95">
        <v>45.23</v>
      </c>
      <c r="M24" s="95">
        <v>22.88</v>
      </c>
      <c r="N24" s="123">
        <v>16.04</v>
      </c>
      <c r="O24" s="144">
        <f t="shared" si="11"/>
        <v>247.69</v>
      </c>
      <c r="P24" s="145">
        <f t="shared" si="2"/>
        <v>173.77</v>
      </c>
      <c r="Q24" s="148">
        <v>29.7</v>
      </c>
      <c r="R24" s="148">
        <v>39.53</v>
      </c>
      <c r="S24" s="148">
        <v>97.85</v>
      </c>
      <c r="T24" s="148">
        <v>66.89</v>
      </c>
      <c r="U24" s="148">
        <v>23.75</v>
      </c>
      <c r="V24" s="98">
        <f t="shared" si="3"/>
        <v>257.71999999999997</v>
      </c>
      <c r="W24" s="97">
        <f t="shared" si="12"/>
        <v>928.6600000000001</v>
      </c>
      <c r="X24" s="97"/>
      <c r="Y24" s="16">
        <f t="shared" si="14"/>
        <v>63.72</v>
      </c>
      <c r="Z24" s="16">
        <f>B24*0.2</f>
        <v>21.240000000000002</v>
      </c>
      <c r="AA24" s="16">
        <f>0.85*B24</f>
        <v>90.27</v>
      </c>
      <c r="AB24" s="16">
        <f t="shared" si="7"/>
        <v>16.2486</v>
      </c>
      <c r="AC24" s="16">
        <f>(0.83*B24)</f>
        <v>88.146</v>
      </c>
      <c r="AD24" s="16">
        <f t="shared" si="8"/>
        <v>15.86628</v>
      </c>
      <c r="AE24" s="16">
        <f>1.91*B24</f>
        <v>202.84199999999998</v>
      </c>
      <c r="AF24" s="16">
        <f t="shared" si="9"/>
        <v>36.511559999999996</v>
      </c>
      <c r="AG24" s="16">
        <v>0</v>
      </c>
      <c r="AH24" s="16">
        <f t="shared" si="10"/>
        <v>0</v>
      </c>
      <c r="AI24" s="138"/>
      <c r="AJ24" s="99">
        <f t="shared" si="10"/>
        <v>0</v>
      </c>
      <c r="AK24" s="87">
        <v>1091.82</v>
      </c>
      <c r="AL24" s="87"/>
      <c r="AM24" s="87">
        <f>AK24*0.18</f>
        <v>196.52759999999998</v>
      </c>
      <c r="AN24" s="128">
        <v>470</v>
      </c>
      <c r="AO24" s="109">
        <v>0</v>
      </c>
      <c r="AP24" s="16">
        <f t="shared" si="4"/>
        <v>0</v>
      </c>
      <c r="AQ24" s="103"/>
      <c r="AR24" s="103">
        <f t="shared" si="13"/>
        <v>0</v>
      </c>
      <c r="AS24" s="103">
        <f t="shared" si="15"/>
        <v>1823.19204</v>
      </c>
      <c r="AT24" s="106"/>
      <c r="AU24" s="14">
        <f t="shared" si="5"/>
        <v>-894.5320399999998</v>
      </c>
      <c r="AV24" s="30">
        <f t="shared" si="6"/>
        <v>10.029999999999973</v>
      </c>
    </row>
    <row r="25" spans="1:48" ht="12.75" hidden="1">
      <c r="A25" s="11" t="s">
        <v>37</v>
      </c>
      <c r="B25" s="149">
        <v>106.2</v>
      </c>
      <c r="C25" s="121">
        <f t="shared" si="1"/>
        <v>918.6300000000001</v>
      </c>
      <c r="D25" s="122">
        <f>C25-E25-F25-G25-H25-I25-J25-K25-L25-M25-N25</f>
        <v>497.17000000000013</v>
      </c>
      <c r="E25" s="150">
        <v>28.6</v>
      </c>
      <c r="F25" s="150">
        <v>20.05</v>
      </c>
      <c r="G25" s="150">
        <v>38.71</v>
      </c>
      <c r="H25" s="150">
        <v>27.18</v>
      </c>
      <c r="I25" s="150">
        <v>93.05</v>
      </c>
      <c r="J25" s="150">
        <v>65.27</v>
      </c>
      <c r="K25" s="150">
        <v>64.45</v>
      </c>
      <c r="L25" s="150">
        <v>45.23</v>
      </c>
      <c r="M25" s="150">
        <v>22.88</v>
      </c>
      <c r="N25" s="150">
        <v>16.04</v>
      </c>
      <c r="O25" s="84">
        <f t="shared" si="11"/>
        <v>247.69</v>
      </c>
      <c r="P25" s="96">
        <f t="shared" si="2"/>
        <v>173.77</v>
      </c>
      <c r="Q25" s="125">
        <v>29.47</v>
      </c>
      <c r="R25" s="125">
        <v>39.42</v>
      </c>
      <c r="S25" s="125">
        <v>96.94</v>
      </c>
      <c r="T25" s="125">
        <v>66.47</v>
      </c>
      <c r="U25" s="125">
        <v>23.6</v>
      </c>
      <c r="V25" s="98">
        <f t="shared" si="3"/>
        <v>255.89999999999998</v>
      </c>
      <c r="W25" s="97">
        <f t="shared" si="12"/>
        <v>926.8400000000001</v>
      </c>
      <c r="X25" s="97"/>
      <c r="Y25" s="16">
        <f t="shared" si="14"/>
        <v>63.72</v>
      </c>
      <c r="Z25" s="16">
        <f>B25*0.2</f>
        <v>21.240000000000002</v>
      </c>
      <c r="AA25" s="16">
        <f>0.85*B25</f>
        <v>90.27</v>
      </c>
      <c r="AB25" s="16">
        <f t="shared" si="7"/>
        <v>16.2486</v>
      </c>
      <c r="AC25" s="16">
        <f>(0.83*B25)</f>
        <v>88.146</v>
      </c>
      <c r="AD25" s="16">
        <f t="shared" si="8"/>
        <v>15.86628</v>
      </c>
      <c r="AE25" s="16">
        <f>1.91*B25</f>
        <v>202.84199999999998</v>
      </c>
      <c r="AF25" s="16">
        <f t="shared" si="9"/>
        <v>36.511559999999996</v>
      </c>
      <c r="AG25" s="16">
        <v>0</v>
      </c>
      <c r="AH25" s="16">
        <f t="shared" si="10"/>
        <v>0</v>
      </c>
      <c r="AI25" s="138"/>
      <c r="AJ25" s="99">
        <f t="shared" si="10"/>
        <v>0</v>
      </c>
      <c r="AK25" s="87"/>
      <c r="AL25" s="87"/>
      <c r="AM25" s="87">
        <f>AK25*0.18</f>
        <v>0</v>
      </c>
      <c r="AN25" s="128">
        <v>514</v>
      </c>
      <c r="AO25" s="109">
        <v>0</v>
      </c>
      <c r="AP25" s="16">
        <f t="shared" si="4"/>
        <v>0</v>
      </c>
      <c r="AQ25" s="103"/>
      <c r="AR25" s="103">
        <f t="shared" si="13"/>
        <v>0</v>
      </c>
      <c r="AS25" s="103">
        <f t="shared" si="15"/>
        <v>534.8444400000001</v>
      </c>
      <c r="AT25" s="106"/>
      <c r="AU25" s="14">
        <f t="shared" si="5"/>
        <v>391.99556000000007</v>
      </c>
      <c r="AV25" s="30">
        <f t="shared" si="6"/>
        <v>8.20999999999998</v>
      </c>
    </row>
    <row r="26" spans="1:48" s="20" customFormat="1" ht="12.75" hidden="1">
      <c r="A26" s="17" t="s">
        <v>5</v>
      </c>
      <c r="B26" s="59"/>
      <c r="C26" s="59">
        <f aca="true" t="shared" si="16" ref="C26:AT26">SUM(C14:C25)</f>
        <v>11023.560000000005</v>
      </c>
      <c r="D26" s="59">
        <f t="shared" si="16"/>
        <v>4436.035000000002</v>
      </c>
      <c r="E26" s="56">
        <f t="shared" si="16"/>
        <v>334.32000000000005</v>
      </c>
      <c r="F26" s="56">
        <f t="shared" si="16"/>
        <v>231.68000000000006</v>
      </c>
      <c r="G26" s="56">
        <f t="shared" si="16"/>
        <v>452.0799999999999</v>
      </c>
      <c r="H26" s="56">
        <f t="shared" si="16"/>
        <v>314.48</v>
      </c>
      <c r="I26" s="56">
        <f t="shared" si="16"/>
        <v>1087.3999999999999</v>
      </c>
      <c r="J26" s="56">
        <f t="shared" si="16"/>
        <v>753.8399999999999</v>
      </c>
      <c r="K26" s="56">
        <f t="shared" si="16"/>
        <v>752.9200000000001</v>
      </c>
      <c r="L26" s="56">
        <f t="shared" si="16"/>
        <v>522.6400000000001</v>
      </c>
      <c r="M26" s="56">
        <f t="shared" si="16"/>
        <v>268</v>
      </c>
      <c r="N26" s="56">
        <f t="shared" si="16"/>
        <v>185.35999999999996</v>
      </c>
      <c r="O26" s="56">
        <f t="shared" si="16"/>
        <v>2894.7200000000003</v>
      </c>
      <c r="P26" s="56">
        <f t="shared" si="16"/>
        <v>2007.9999999999998</v>
      </c>
      <c r="Q26" s="60">
        <f t="shared" si="16"/>
        <v>304.89</v>
      </c>
      <c r="R26" s="60">
        <f t="shared" si="16"/>
        <v>394.72999999999996</v>
      </c>
      <c r="S26" s="60">
        <f t="shared" si="16"/>
        <v>988.26</v>
      </c>
      <c r="T26" s="60">
        <f t="shared" si="16"/>
        <v>686.66</v>
      </c>
      <c r="U26" s="60">
        <f t="shared" si="16"/>
        <v>243.92</v>
      </c>
      <c r="V26" s="60">
        <f t="shared" si="16"/>
        <v>2618.46</v>
      </c>
      <c r="W26" s="60">
        <f t="shared" si="16"/>
        <v>9062.495000000003</v>
      </c>
      <c r="X26" s="90">
        <f t="shared" si="16"/>
        <v>0</v>
      </c>
      <c r="Y26" s="18">
        <f t="shared" si="16"/>
        <v>739.1520000000002</v>
      </c>
      <c r="Z26" s="18">
        <f t="shared" si="16"/>
        <v>247.49187840000005</v>
      </c>
      <c r="AA26" s="18">
        <f t="shared" si="16"/>
        <v>1037.7060066</v>
      </c>
      <c r="AB26" s="18">
        <f t="shared" si="16"/>
        <v>186.78708118800003</v>
      </c>
      <c r="AC26" s="18">
        <f t="shared" si="16"/>
        <v>1015.93201176</v>
      </c>
      <c r="AD26" s="18">
        <f t="shared" si="16"/>
        <v>182.86776211679995</v>
      </c>
      <c r="AE26" s="18">
        <f t="shared" si="16"/>
        <v>2337.82707312</v>
      </c>
      <c r="AF26" s="18">
        <f t="shared" si="16"/>
        <v>420.8088731615999</v>
      </c>
      <c r="AG26" s="18">
        <f t="shared" si="16"/>
        <v>0</v>
      </c>
      <c r="AH26" s="18">
        <f t="shared" si="16"/>
        <v>0</v>
      </c>
      <c r="AI26" s="18">
        <f>SUM(AI14:AI25)</f>
        <v>0</v>
      </c>
      <c r="AJ26" s="18">
        <f>SUM(AJ14:AJ25)</f>
        <v>0</v>
      </c>
      <c r="AK26" s="18">
        <f>SUM(AK14:AK25)</f>
        <v>2301.8199999999997</v>
      </c>
      <c r="AL26" s="18">
        <f>SUM(AL14:AL25)</f>
        <v>0</v>
      </c>
      <c r="AM26" s="18">
        <f>SUM(AM14:AM25)</f>
        <v>414.32759999999996</v>
      </c>
      <c r="AN26" s="18"/>
      <c r="AO26" s="18"/>
      <c r="AP26" s="18">
        <f t="shared" si="16"/>
        <v>0</v>
      </c>
      <c r="AQ26" s="18">
        <f t="shared" si="16"/>
        <v>0</v>
      </c>
      <c r="AR26" s="18">
        <f t="shared" si="16"/>
        <v>0</v>
      </c>
      <c r="AS26" s="18">
        <f t="shared" si="16"/>
        <v>8884.7202863464</v>
      </c>
      <c r="AT26" s="18">
        <f t="shared" si="16"/>
        <v>0</v>
      </c>
      <c r="AU26" s="18">
        <f>SUM(AU14:AU25)</f>
        <v>177.77471365360157</v>
      </c>
      <c r="AV26" s="19">
        <f>SUM(AV14:AV25)</f>
        <v>-276.25999999999993</v>
      </c>
    </row>
    <row r="27" spans="1:48" ht="12.75" hidden="1">
      <c r="A27" s="11"/>
      <c r="B27" s="12"/>
      <c r="C27" s="13"/>
      <c r="D27" s="1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7"/>
      <c r="P27" s="47"/>
      <c r="Q27" s="51"/>
      <c r="R27" s="51"/>
      <c r="S27" s="51"/>
      <c r="T27" s="51"/>
      <c r="U27" s="51"/>
      <c r="V27" s="51"/>
      <c r="W27" s="91"/>
      <c r="X27" s="92"/>
      <c r="Y27" s="16"/>
      <c r="Z27" s="16"/>
      <c r="AA27" s="16"/>
      <c r="AB27" s="16"/>
      <c r="AC27" s="16"/>
      <c r="AD27" s="16"/>
      <c r="AE27" s="16"/>
      <c r="AF27" s="16"/>
      <c r="AG27" s="15"/>
      <c r="AH27" s="15"/>
      <c r="AI27" s="15"/>
      <c r="AJ27" s="15"/>
      <c r="AK27" s="86"/>
      <c r="AL27" s="86"/>
      <c r="AM27" s="87"/>
      <c r="AN27" s="87"/>
      <c r="AO27" s="87"/>
      <c r="AP27" s="21"/>
      <c r="AQ27" s="15"/>
      <c r="AR27" s="16"/>
      <c r="AS27" s="16"/>
      <c r="AT27" s="16"/>
      <c r="AU27" s="16"/>
      <c r="AV27" s="10"/>
    </row>
    <row r="28" spans="1:48" s="20" customFormat="1" ht="13.5" hidden="1" thickBot="1">
      <c r="A28" s="22" t="s">
        <v>48</v>
      </c>
      <c r="B28" s="23"/>
      <c r="C28" s="23">
        <f>C12+C26</f>
        <v>13779.450000000004</v>
      </c>
      <c r="D28" s="23">
        <f>D12+D26</f>
        <v>5098.386909300002</v>
      </c>
      <c r="E28" s="49">
        <f aca="true" t="shared" si="17" ref="E28:AT28">E12+E26</f>
        <v>413.43000000000006</v>
      </c>
      <c r="F28" s="49">
        <f t="shared" si="17"/>
        <v>285.14000000000004</v>
      </c>
      <c r="G28" s="49">
        <f t="shared" si="17"/>
        <v>523.28</v>
      </c>
      <c r="H28" s="49">
        <f t="shared" si="17"/>
        <v>362.6</v>
      </c>
      <c r="I28" s="49">
        <f t="shared" si="17"/>
        <v>1344.5</v>
      </c>
      <c r="J28" s="49">
        <f t="shared" si="17"/>
        <v>927.5999999999999</v>
      </c>
      <c r="K28" s="49">
        <f t="shared" si="17"/>
        <v>930.9100000000001</v>
      </c>
      <c r="L28" s="49">
        <f t="shared" si="17"/>
        <v>642.94</v>
      </c>
      <c r="M28" s="49">
        <f t="shared" si="17"/>
        <v>331.27</v>
      </c>
      <c r="N28" s="49">
        <f>N12+N26</f>
        <v>228.13999999999996</v>
      </c>
      <c r="O28" s="49">
        <f t="shared" si="17"/>
        <v>3543.3900000000003</v>
      </c>
      <c r="P28" s="49">
        <f t="shared" si="17"/>
        <v>2446.4199999999996</v>
      </c>
      <c r="Q28" s="52">
        <f t="shared" si="17"/>
        <v>328.90999999999997</v>
      </c>
      <c r="R28" s="52">
        <f t="shared" si="17"/>
        <v>410.74999999999994</v>
      </c>
      <c r="S28" s="52">
        <f t="shared" si="17"/>
        <v>1066.32</v>
      </c>
      <c r="T28" s="52">
        <f t="shared" si="17"/>
        <v>740.6999999999999</v>
      </c>
      <c r="U28" s="52">
        <f t="shared" si="17"/>
        <v>263.13</v>
      </c>
      <c r="V28" s="52">
        <f t="shared" si="17"/>
        <v>2809.81</v>
      </c>
      <c r="W28" s="52">
        <f t="shared" si="17"/>
        <v>10354.616909300003</v>
      </c>
      <c r="X28" s="52">
        <f t="shared" si="17"/>
        <v>0</v>
      </c>
      <c r="Y28" s="23">
        <f t="shared" si="17"/>
        <v>930.3120000000001</v>
      </c>
      <c r="Z28" s="23">
        <f t="shared" si="17"/>
        <v>313.0916184</v>
      </c>
      <c r="AA28" s="23">
        <f t="shared" si="17"/>
        <v>1307.7513666</v>
      </c>
      <c r="AB28" s="23">
        <f t="shared" si="17"/>
        <v>235.39524598800003</v>
      </c>
      <c r="AC28" s="23">
        <f t="shared" si="17"/>
        <v>1266.57718056</v>
      </c>
      <c r="AD28" s="23">
        <f t="shared" si="17"/>
        <v>227.98389250079995</v>
      </c>
      <c r="AE28" s="23">
        <f t="shared" si="17"/>
        <v>2798.14656582</v>
      </c>
      <c r="AF28" s="23">
        <f t="shared" si="17"/>
        <v>503.66638184759984</v>
      </c>
      <c r="AG28" s="23">
        <f t="shared" si="17"/>
        <v>0</v>
      </c>
      <c r="AH28" s="23">
        <f t="shared" si="17"/>
        <v>0</v>
      </c>
      <c r="AI28" s="23">
        <f t="shared" si="17"/>
        <v>0</v>
      </c>
      <c r="AJ28" s="23">
        <f t="shared" si="17"/>
        <v>0</v>
      </c>
      <c r="AK28" s="23">
        <f t="shared" si="17"/>
        <v>2539.8199999999997</v>
      </c>
      <c r="AL28" s="23">
        <f t="shared" si="17"/>
        <v>0</v>
      </c>
      <c r="AM28" s="23">
        <f t="shared" si="17"/>
        <v>457.16759999999994</v>
      </c>
      <c r="AN28" s="23"/>
      <c r="AO28" s="23"/>
      <c r="AP28" s="23">
        <f t="shared" si="17"/>
        <v>0</v>
      </c>
      <c r="AQ28" s="23">
        <f t="shared" si="17"/>
        <v>0</v>
      </c>
      <c r="AR28" s="23">
        <f t="shared" si="17"/>
        <v>0</v>
      </c>
      <c r="AS28" s="23">
        <f t="shared" si="17"/>
        <v>10579.9118517164</v>
      </c>
      <c r="AT28" s="23">
        <f t="shared" si="17"/>
        <v>0</v>
      </c>
      <c r="AU28" s="23">
        <f>AU12+AU26</f>
        <v>-225.29494241639838</v>
      </c>
      <c r="AV28" s="24">
        <f>AV12+AV26</f>
        <v>-733.5799999999999</v>
      </c>
    </row>
    <row r="29" spans="1:48" ht="15" customHeight="1" hidden="1">
      <c r="A29" s="5" t="s">
        <v>85</v>
      </c>
      <c r="B29" s="57"/>
      <c r="C29" s="58"/>
      <c r="D29" s="5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/>
      <c r="P29" s="54"/>
      <c r="Q29" s="61"/>
      <c r="R29" s="61"/>
      <c r="S29" s="61"/>
      <c r="T29" s="61"/>
      <c r="U29" s="61"/>
      <c r="V29" s="53"/>
      <c r="W29" s="88"/>
      <c r="X29" s="89"/>
      <c r="Y29" s="14"/>
      <c r="Z29" s="14"/>
      <c r="AA29" s="14"/>
      <c r="AB29" s="14"/>
      <c r="AC29" s="14"/>
      <c r="AD29" s="14"/>
      <c r="AE29" s="14"/>
      <c r="AF29" s="14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14"/>
      <c r="AS29" s="14"/>
      <c r="AT29" s="14"/>
      <c r="AU29" s="14"/>
      <c r="AV29" s="30"/>
    </row>
    <row r="30" spans="1:48" ht="12.75" hidden="1">
      <c r="A30" s="11" t="s">
        <v>39</v>
      </c>
      <c r="B30" s="149">
        <v>106.2</v>
      </c>
      <c r="C30" s="121">
        <f aca="true" t="shared" si="18" ref="C30:C41">B30*8.65</f>
        <v>918.6300000000001</v>
      </c>
      <c r="D30" s="122">
        <f>C30-E30-F30-G30-H30-I30-J30-K30-L30-M30-N30</f>
        <v>497.17000000000013</v>
      </c>
      <c r="E30" s="95">
        <v>28.6</v>
      </c>
      <c r="F30" s="95">
        <v>20.05</v>
      </c>
      <c r="G30" s="95">
        <v>38.71</v>
      </c>
      <c r="H30" s="95">
        <v>27.18</v>
      </c>
      <c r="I30" s="95">
        <v>93.05</v>
      </c>
      <c r="J30" s="95">
        <v>65.27</v>
      </c>
      <c r="K30" s="95">
        <v>64.45</v>
      </c>
      <c r="L30" s="95">
        <v>45.23</v>
      </c>
      <c r="M30" s="95">
        <v>22.88</v>
      </c>
      <c r="N30" s="123">
        <v>16.04</v>
      </c>
      <c r="O30" s="84">
        <f aca="true" t="shared" si="19" ref="O30:O41">E30+G30+I30+K30+M30</f>
        <v>247.69</v>
      </c>
      <c r="P30" s="153">
        <f aca="true" t="shared" si="20" ref="P30:P41">N30+L30+J30+H30+F30</f>
        <v>173.77</v>
      </c>
      <c r="Q30" s="124">
        <v>29.37</v>
      </c>
      <c r="R30" s="125">
        <v>39.34</v>
      </c>
      <c r="S30" s="125">
        <v>96.28</v>
      </c>
      <c r="T30" s="125">
        <v>66.15</v>
      </c>
      <c r="U30" s="125">
        <v>23.48</v>
      </c>
      <c r="V30" s="120">
        <f>SUM(Q30:U30)</f>
        <v>254.62</v>
      </c>
      <c r="W30" s="126">
        <f aca="true" t="shared" si="21" ref="W30:W41">D30+P30+V30</f>
        <v>925.5600000000002</v>
      </c>
      <c r="X30" s="97"/>
      <c r="Y30" s="16">
        <f aca="true" t="shared" si="22" ref="Y30:Y41">0.6*B30</f>
        <v>63.72</v>
      </c>
      <c r="Z30" s="16">
        <f aca="true" t="shared" si="23" ref="Z30:Z41">B30*0.2</f>
        <v>21.240000000000002</v>
      </c>
      <c r="AA30" s="16">
        <f aca="true" t="shared" si="24" ref="AA30:AA41">1*B30</f>
        <v>106.2</v>
      </c>
      <c r="AB30" s="16">
        <v>0</v>
      </c>
      <c r="AC30" s="16">
        <f>0.98*B30</f>
        <v>104.07600000000001</v>
      </c>
      <c r="AD30" s="16">
        <v>0</v>
      </c>
      <c r="AE30" s="16">
        <f aca="true" t="shared" si="25" ref="AE30:AE41">2.25*B30</f>
        <v>238.95000000000002</v>
      </c>
      <c r="AF30" s="16">
        <v>0</v>
      </c>
      <c r="AG30" s="16">
        <v>0</v>
      </c>
      <c r="AH30" s="16">
        <f>AG30*0.18</f>
        <v>0</v>
      </c>
      <c r="AI30" s="99"/>
      <c r="AJ30" s="99"/>
      <c r="AK30" s="87"/>
      <c r="AL30" s="87"/>
      <c r="AM30" s="87"/>
      <c r="AN30" s="128">
        <v>508</v>
      </c>
      <c r="AO30" s="109">
        <v>0</v>
      </c>
      <c r="AP30" s="16">
        <f aca="true" t="shared" si="26" ref="AP30:AP41">AN30*AO30*1.4</f>
        <v>0</v>
      </c>
      <c r="AQ30" s="103"/>
      <c r="AR30" s="103">
        <f aca="true" t="shared" si="27" ref="AR30:AR41">AQ30*0.18</f>
        <v>0</v>
      </c>
      <c r="AS30" s="103">
        <f>SUM(Y30:AR30)-AN30-AO30</f>
        <v>534.1860000000001</v>
      </c>
      <c r="AT30" s="106"/>
      <c r="AU30" s="14">
        <f aca="true" t="shared" si="28" ref="AU30:AU41">W30+X30-AS30-AT30</f>
        <v>391.374</v>
      </c>
      <c r="AV30" s="30">
        <f aca="true" t="shared" si="29" ref="AV30:AV41">V30-O30</f>
        <v>6.930000000000007</v>
      </c>
    </row>
    <row r="31" spans="1:48" ht="12.75" hidden="1">
      <c r="A31" s="11" t="s">
        <v>40</v>
      </c>
      <c r="B31" s="149">
        <v>106.2</v>
      </c>
      <c r="C31" s="121">
        <f t="shared" si="18"/>
        <v>918.6300000000001</v>
      </c>
      <c r="D31" s="122">
        <f>C31-E31-F31-G31-H31-I31-J31-K31-L31-M31-N31</f>
        <v>497.17000000000013</v>
      </c>
      <c r="E31" s="95">
        <v>28.6</v>
      </c>
      <c r="F31" s="95">
        <v>20.05</v>
      </c>
      <c r="G31" s="95">
        <v>38.71</v>
      </c>
      <c r="H31" s="95">
        <v>27.18</v>
      </c>
      <c r="I31" s="95">
        <v>93.05</v>
      </c>
      <c r="J31" s="95">
        <v>65.27</v>
      </c>
      <c r="K31" s="95">
        <v>64.45</v>
      </c>
      <c r="L31" s="95">
        <v>45.23</v>
      </c>
      <c r="M31" s="95">
        <v>22.88</v>
      </c>
      <c r="N31" s="123">
        <v>16.04</v>
      </c>
      <c r="O31" s="84">
        <f t="shared" si="19"/>
        <v>247.69</v>
      </c>
      <c r="P31" s="96">
        <f t="shared" si="20"/>
        <v>173.77</v>
      </c>
      <c r="Q31" s="125">
        <v>29.27</v>
      </c>
      <c r="R31" s="125">
        <v>39.31</v>
      </c>
      <c r="S31" s="125">
        <v>95.81</v>
      </c>
      <c r="T31" s="125">
        <v>65.95</v>
      </c>
      <c r="U31" s="125">
        <v>23.42</v>
      </c>
      <c r="V31" s="120">
        <f>SUM(Q31:U31)</f>
        <v>253.76</v>
      </c>
      <c r="W31" s="97">
        <f t="shared" si="21"/>
        <v>924.7000000000002</v>
      </c>
      <c r="X31" s="97"/>
      <c r="Y31" s="16">
        <f t="shared" si="22"/>
        <v>63.72</v>
      </c>
      <c r="Z31" s="16">
        <f t="shared" si="23"/>
        <v>21.240000000000002</v>
      </c>
      <c r="AA31" s="16">
        <f t="shared" si="24"/>
        <v>106.2</v>
      </c>
      <c r="AB31" s="16">
        <v>0</v>
      </c>
      <c r="AC31" s="16">
        <f>0.98*B31</f>
        <v>104.07600000000001</v>
      </c>
      <c r="AD31" s="16">
        <v>0</v>
      </c>
      <c r="AE31" s="16">
        <f t="shared" si="25"/>
        <v>238.95000000000002</v>
      </c>
      <c r="AF31" s="16">
        <v>0</v>
      </c>
      <c r="AG31" s="16">
        <v>0</v>
      </c>
      <c r="AH31" s="16">
        <f>AG31*0.18</f>
        <v>0</v>
      </c>
      <c r="AI31" s="99"/>
      <c r="AJ31" s="99"/>
      <c r="AK31" s="87"/>
      <c r="AL31" s="87"/>
      <c r="AM31" s="87"/>
      <c r="AN31" s="128">
        <v>407</v>
      </c>
      <c r="AO31" s="109">
        <v>0</v>
      </c>
      <c r="AP31" s="16">
        <f t="shared" si="26"/>
        <v>0</v>
      </c>
      <c r="AQ31" s="103"/>
      <c r="AR31" s="103">
        <f t="shared" si="27"/>
        <v>0</v>
      </c>
      <c r="AS31" s="103">
        <f>SUM(Y31:AR31)-AN31-AO31</f>
        <v>534.186</v>
      </c>
      <c r="AT31" s="106"/>
      <c r="AU31" s="14">
        <f t="shared" si="28"/>
        <v>390.5140000000001</v>
      </c>
      <c r="AV31" s="30">
        <f t="shared" si="29"/>
        <v>6.069999999999993</v>
      </c>
    </row>
    <row r="32" spans="1:48" ht="12.75" hidden="1">
      <c r="A32" s="11" t="s">
        <v>41</v>
      </c>
      <c r="B32" s="149">
        <v>106.2</v>
      </c>
      <c r="C32" s="121">
        <f t="shared" si="18"/>
        <v>918.6300000000001</v>
      </c>
      <c r="D32" s="122">
        <f>C32-E32-F32-G32-H32-I32-J32-K32-L32-M32-N32</f>
        <v>497.17000000000013</v>
      </c>
      <c r="E32" s="95">
        <v>28.6</v>
      </c>
      <c r="F32" s="95">
        <v>20.05</v>
      </c>
      <c r="G32" s="95">
        <v>38.71</v>
      </c>
      <c r="H32" s="95">
        <v>27.18</v>
      </c>
      <c r="I32" s="95">
        <v>93.05</v>
      </c>
      <c r="J32" s="95">
        <v>65.27</v>
      </c>
      <c r="K32" s="95">
        <v>64.45</v>
      </c>
      <c r="L32" s="95">
        <v>45.23</v>
      </c>
      <c r="M32" s="95">
        <v>22.88</v>
      </c>
      <c r="N32" s="123">
        <v>16.04</v>
      </c>
      <c r="O32" s="84">
        <f t="shared" si="19"/>
        <v>247.69</v>
      </c>
      <c r="P32" s="96">
        <f t="shared" si="20"/>
        <v>173.77</v>
      </c>
      <c r="Q32" s="125">
        <v>29.21</v>
      </c>
      <c r="R32" s="125">
        <v>39.29</v>
      </c>
      <c r="S32" s="125">
        <v>95.48</v>
      </c>
      <c r="T32" s="125">
        <v>65.81</v>
      </c>
      <c r="U32" s="125">
        <v>23.37</v>
      </c>
      <c r="V32" s="120">
        <f>SUM(Q32:U32)</f>
        <v>253.16000000000003</v>
      </c>
      <c r="W32" s="97">
        <f t="shared" si="21"/>
        <v>924.1000000000001</v>
      </c>
      <c r="X32" s="97"/>
      <c r="Y32" s="16">
        <f t="shared" si="22"/>
        <v>63.72</v>
      </c>
      <c r="Z32" s="16">
        <f t="shared" si="23"/>
        <v>21.240000000000002</v>
      </c>
      <c r="AA32" s="16">
        <f t="shared" si="24"/>
        <v>106.2</v>
      </c>
      <c r="AB32" s="16">
        <v>0</v>
      </c>
      <c r="AC32" s="16">
        <f>0.98*B32</f>
        <v>104.07600000000001</v>
      </c>
      <c r="AD32" s="16">
        <v>0</v>
      </c>
      <c r="AE32" s="16">
        <f t="shared" si="25"/>
        <v>238.95000000000002</v>
      </c>
      <c r="AF32" s="16">
        <v>0</v>
      </c>
      <c r="AG32" s="16"/>
      <c r="AH32" s="16"/>
      <c r="AI32" s="99"/>
      <c r="AJ32" s="99"/>
      <c r="AK32" s="87"/>
      <c r="AL32" s="87"/>
      <c r="AM32" s="87"/>
      <c r="AN32" s="128">
        <v>383</v>
      </c>
      <c r="AO32" s="109">
        <v>0</v>
      </c>
      <c r="AP32" s="16">
        <f t="shared" si="26"/>
        <v>0</v>
      </c>
      <c r="AQ32" s="103"/>
      <c r="AR32" s="103">
        <f t="shared" si="27"/>
        <v>0</v>
      </c>
      <c r="AS32" s="103">
        <f>SUM(Y32:AR32)-AN32-AO32</f>
        <v>534.186</v>
      </c>
      <c r="AT32" s="106"/>
      <c r="AU32" s="14">
        <f t="shared" si="28"/>
        <v>389.9140000000001</v>
      </c>
      <c r="AV32" s="30">
        <f t="shared" si="29"/>
        <v>5.470000000000027</v>
      </c>
    </row>
    <row r="33" spans="1:48" ht="12.75" hidden="1">
      <c r="A33" s="11" t="s">
        <v>42</v>
      </c>
      <c r="B33" s="149">
        <v>106.2</v>
      </c>
      <c r="C33" s="121">
        <f t="shared" si="18"/>
        <v>918.6300000000001</v>
      </c>
      <c r="D33" s="122">
        <f>C33-E33-F33-G33-H33-I33-J33-K33-L33-M33-N33</f>
        <v>497.17000000000013</v>
      </c>
      <c r="E33" s="95">
        <v>28.6</v>
      </c>
      <c r="F33" s="95">
        <v>20.05</v>
      </c>
      <c r="G33" s="95">
        <v>38.71</v>
      </c>
      <c r="H33" s="95">
        <v>27.18</v>
      </c>
      <c r="I33" s="95">
        <v>93.05</v>
      </c>
      <c r="J33" s="95">
        <v>65.27</v>
      </c>
      <c r="K33" s="95">
        <v>64.45</v>
      </c>
      <c r="L33" s="95">
        <v>45.23</v>
      </c>
      <c r="M33" s="95">
        <v>22.88</v>
      </c>
      <c r="N33" s="123">
        <v>16.04</v>
      </c>
      <c r="O33" s="84">
        <f t="shared" si="19"/>
        <v>247.69</v>
      </c>
      <c r="P33" s="96">
        <f t="shared" si="20"/>
        <v>173.77</v>
      </c>
      <c r="Q33" s="125">
        <v>29.22</v>
      </c>
      <c r="R33" s="125">
        <v>39.38</v>
      </c>
      <c r="S33" s="125">
        <v>95.46</v>
      </c>
      <c r="T33" s="125">
        <v>65.88</v>
      </c>
      <c r="U33" s="125">
        <v>23.39</v>
      </c>
      <c r="V33" s="120">
        <f aca="true" t="shared" si="30" ref="V33:V41">SUM(Q33:U33)</f>
        <v>253.32999999999998</v>
      </c>
      <c r="W33" s="97">
        <f t="shared" si="21"/>
        <v>924.2700000000002</v>
      </c>
      <c r="X33" s="97"/>
      <c r="Y33" s="16">
        <f t="shared" si="22"/>
        <v>63.72</v>
      </c>
      <c r="Z33" s="16">
        <f t="shared" si="23"/>
        <v>21.240000000000002</v>
      </c>
      <c r="AA33" s="16">
        <f t="shared" si="24"/>
        <v>106.2</v>
      </c>
      <c r="AB33" s="16">
        <v>0</v>
      </c>
      <c r="AC33" s="16">
        <f aca="true" t="shared" si="31" ref="AC33:AC41">(0.98*B33)</f>
        <v>104.07600000000001</v>
      </c>
      <c r="AD33" s="16">
        <v>0</v>
      </c>
      <c r="AE33" s="16">
        <f t="shared" si="25"/>
        <v>238.95000000000002</v>
      </c>
      <c r="AF33" s="16">
        <v>0</v>
      </c>
      <c r="AG33" s="16"/>
      <c r="AH33" s="16"/>
      <c r="AI33" s="99"/>
      <c r="AJ33" s="99"/>
      <c r="AK33" s="87"/>
      <c r="AL33" s="87"/>
      <c r="AM33" s="87"/>
      <c r="AN33" s="128">
        <v>307</v>
      </c>
      <c r="AO33" s="109">
        <v>0</v>
      </c>
      <c r="AP33" s="16">
        <f t="shared" si="26"/>
        <v>0</v>
      </c>
      <c r="AQ33" s="103"/>
      <c r="AR33" s="103">
        <f t="shared" si="27"/>
        <v>0</v>
      </c>
      <c r="AS33" s="103">
        <f>SUM(Y33:AR33)-AN33-AO33</f>
        <v>534.186</v>
      </c>
      <c r="AT33" s="106"/>
      <c r="AU33" s="14">
        <f t="shared" si="28"/>
        <v>390.0840000000002</v>
      </c>
      <c r="AV33" s="30">
        <f t="shared" si="29"/>
        <v>5.639999999999986</v>
      </c>
    </row>
    <row r="34" spans="1:48" ht="12.75" hidden="1">
      <c r="A34" s="11" t="s">
        <v>43</v>
      </c>
      <c r="B34" s="120">
        <v>106.2</v>
      </c>
      <c r="C34" s="121">
        <f t="shared" si="18"/>
        <v>918.6300000000001</v>
      </c>
      <c r="D34" s="122">
        <f>C34-E34-F34-G34-H34-I34-J34-K34-L34-M34-N34</f>
        <v>497.15000000000015</v>
      </c>
      <c r="E34" s="95">
        <v>28.6</v>
      </c>
      <c r="F34" s="95">
        <v>20.05</v>
      </c>
      <c r="G34" s="95">
        <v>38.71</v>
      </c>
      <c r="H34" s="95">
        <v>27.18</v>
      </c>
      <c r="I34" s="95">
        <v>93.05</v>
      </c>
      <c r="J34" s="95">
        <v>65.27</v>
      </c>
      <c r="K34" s="95">
        <v>64.45</v>
      </c>
      <c r="L34" s="95">
        <v>45.23</v>
      </c>
      <c r="M34" s="95">
        <v>22.9</v>
      </c>
      <c r="N34" s="123">
        <v>16.04</v>
      </c>
      <c r="O34" s="84">
        <f t="shared" si="19"/>
        <v>247.71</v>
      </c>
      <c r="P34" s="96">
        <f t="shared" si="20"/>
        <v>173.77</v>
      </c>
      <c r="Q34" s="125">
        <v>29.22</v>
      </c>
      <c r="R34" s="125">
        <v>39.37</v>
      </c>
      <c r="S34" s="125">
        <v>95.26</v>
      </c>
      <c r="T34" s="125">
        <v>65.78</v>
      </c>
      <c r="U34" s="125">
        <v>23.35</v>
      </c>
      <c r="V34" s="120">
        <f t="shared" si="30"/>
        <v>252.98000000000002</v>
      </c>
      <c r="W34" s="97">
        <f t="shared" si="21"/>
        <v>923.9000000000002</v>
      </c>
      <c r="X34" s="97"/>
      <c r="Y34" s="16">
        <f t="shared" si="22"/>
        <v>63.72</v>
      </c>
      <c r="Z34" s="16">
        <f t="shared" si="23"/>
        <v>21.240000000000002</v>
      </c>
      <c r="AA34" s="16">
        <f t="shared" si="24"/>
        <v>106.2</v>
      </c>
      <c r="AB34" s="16">
        <v>0</v>
      </c>
      <c r="AC34" s="16">
        <f t="shared" si="31"/>
        <v>104.07600000000001</v>
      </c>
      <c r="AD34" s="16">
        <v>0</v>
      </c>
      <c r="AE34" s="16">
        <f t="shared" si="25"/>
        <v>238.95000000000002</v>
      </c>
      <c r="AF34" s="16">
        <v>0</v>
      </c>
      <c r="AG34" s="16"/>
      <c r="AH34" s="16"/>
      <c r="AI34" s="99"/>
      <c r="AJ34" s="99"/>
      <c r="AK34" s="87"/>
      <c r="AL34" s="87"/>
      <c r="AM34" s="87"/>
      <c r="AN34" s="128">
        <v>263</v>
      </c>
      <c r="AO34" s="109">
        <v>0</v>
      </c>
      <c r="AP34" s="16">
        <f t="shared" si="26"/>
        <v>0</v>
      </c>
      <c r="AQ34" s="103"/>
      <c r="AR34" s="103">
        <f t="shared" si="27"/>
        <v>0</v>
      </c>
      <c r="AS34" s="103">
        <f>SUM(Y34:AR34)-AN34-AO34</f>
        <v>534.186</v>
      </c>
      <c r="AT34" s="106"/>
      <c r="AU34" s="14">
        <f t="shared" si="28"/>
        <v>389.71400000000017</v>
      </c>
      <c r="AV34" s="30">
        <f t="shared" si="29"/>
        <v>5.27000000000001</v>
      </c>
    </row>
    <row r="35" spans="1:48" ht="12.75" hidden="1">
      <c r="A35" s="11" t="s">
        <v>44</v>
      </c>
      <c r="B35" s="120">
        <v>106.2</v>
      </c>
      <c r="C35" s="121">
        <f t="shared" si="18"/>
        <v>918.6300000000001</v>
      </c>
      <c r="D35" s="122">
        <f>(C35-E35-F35-G35-H35-I35-J35-K35-L35-M35-N35)*0.80125</f>
        <v>398.3574625000001</v>
      </c>
      <c r="E35" s="95">
        <v>28.6</v>
      </c>
      <c r="F35" s="95">
        <v>20.05</v>
      </c>
      <c r="G35" s="95">
        <v>38.71</v>
      </c>
      <c r="H35" s="95">
        <v>27.18</v>
      </c>
      <c r="I35" s="95">
        <v>93.05</v>
      </c>
      <c r="J35" s="95">
        <v>65.27</v>
      </c>
      <c r="K35" s="95">
        <v>64.45</v>
      </c>
      <c r="L35" s="95">
        <v>45.23</v>
      </c>
      <c r="M35" s="95">
        <v>22.88</v>
      </c>
      <c r="N35" s="123">
        <v>16.04</v>
      </c>
      <c r="O35" s="84">
        <f t="shared" si="19"/>
        <v>247.69</v>
      </c>
      <c r="P35" s="96">
        <f t="shared" si="20"/>
        <v>173.77</v>
      </c>
      <c r="Q35" s="125">
        <v>28.88</v>
      </c>
      <c r="R35" s="125">
        <v>38.99</v>
      </c>
      <c r="S35" s="125">
        <v>94.19</v>
      </c>
      <c r="T35" s="125">
        <v>65.09</v>
      </c>
      <c r="U35" s="125">
        <v>23.1</v>
      </c>
      <c r="V35" s="120">
        <f t="shared" si="30"/>
        <v>250.25</v>
      </c>
      <c r="W35" s="97">
        <f t="shared" si="21"/>
        <v>822.3774625000001</v>
      </c>
      <c r="X35" s="97"/>
      <c r="Y35" s="16">
        <f t="shared" si="22"/>
        <v>63.72</v>
      </c>
      <c r="Z35" s="16">
        <f t="shared" si="23"/>
        <v>21.240000000000002</v>
      </c>
      <c r="AA35" s="16">
        <f t="shared" si="24"/>
        <v>106.2</v>
      </c>
      <c r="AB35" s="16">
        <v>0</v>
      </c>
      <c r="AC35" s="16">
        <f t="shared" si="31"/>
        <v>104.07600000000001</v>
      </c>
      <c r="AD35" s="16">
        <v>0</v>
      </c>
      <c r="AE35" s="16">
        <f t="shared" si="25"/>
        <v>238.95000000000002</v>
      </c>
      <c r="AF35" s="16">
        <v>0</v>
      </c>
      <c r="AG35" s="16"/>
      <c r="AH35" s="16"/>
      <c r="AI35" s="99"/>
      <c r="AJ35" s="99"/>
      <c r="AK35" s="87"/>
      <c r="AL35" s="87"/>
      <c r="AM35" s="87"/>
      <c r="AN35" s="128">
        <v>233</v>
      </c>
      <c r="AO35" s="109">
        <v>0</v>
      </c>
      <c r="AP35" s="16">
        <f t="shared" si="26"/>
        <v>0</v>
      </c>
      <c r="AQ35" s="103"/>
      <c r="AR35" s="103">
        <f t="shared" si="27"/>
        <v>0</v>
      </c>
      <c r="AS35" s="103">
        <f aca="true" t="shared" si="32" ref="AS35:AS41">SUM(Y35:AM35)+AP35</f>
        <v>534.186</v>
      </c>
      <c r="AT35" s="106"/>
      <c r="AU35" s="14">
        <f t="shared" si="28"/>
        <v>288.19146250000006</v>
      </c>
      <c r="AV35" s="30">
        <f t="shared" si="29"/>
        <v>2.5600000000000023</v>
      </c>
    </row>
    <row r="36" spans="1:48" ht="12.75" hidden="1">
      <c r="A36" s="11" t="s">
        <v>45</v>
      </c>
      <c r="B36" s="154">
        <v>106.2</v>
      </c>
      <c r="C36" s="121">
        <f t="shared" si="18"/>
        <v>918.6300000000001</v>
      </c>
      <c r="D36" s="122">
        <f>(C36-E36-F36-G36-H36-I36-J36-K36-L36-M36-N36)*0.805915</f>
        <v>398.92792500000013</v>
      </c>
      <c r="E36" s="95">
        <v>48.9</v>
      </c>
      <c r="F36" s="95">
        <v>0</v>
      </c>
      <c r="G36" s="95">
        <v>66.23</v>
      </c>
      <c r="H36" s="95">
        <v>0</v>
      </c>
      <c r="I36" s="95">
        <v>159.14</v>
      </c>
      <c r="J36" s="95">
        <v>0</v>
      </c>
      <c r="K36" s="95">
        <v>110.24</v>
      </c>
      <c r="L36" s="95">
        <v>0</v>
      </c>
      <c r="M36" s="95">
        <v>39.12</v>
      </c>
      <c r="N36" s="123">
        <v>0</v>
      </c>
      <c r="O36" s="84">
        <f t="shared" si="19"/>
        <v>423.63</v>
      </c>
      <c r="P36" s="96">
        <f t="shared" si="20"/>
        <v>0</v>
      </c>
      <c r="Q36" s="125">
        <v>26.65</v>
      </c>
      <c r="R36" s="125">
        <v>36.02</v>
      </c>
      <c r="S36" s="125">
        <v>86.89</v>
      </c>
      <c r="T36" s="125">
        <v>60.09</v>
      </c>
      <c r="U36" s="125">
        <v>21.33</v>
      </c>
      <c r="V36" s="120">
        <f t="shared" si="30"/>
        <v>230.98000000000002</v>
      </c>
      <c r="W36" s="97">
        <f t="shared" si="21"/>
        <v>629.9079250000002</v>
      </c>
      <c r="X36" s="97"/>
      <c r="Y36" s="16">
        <f t="shared" si="22"/>
        <v>63.72</v>
      </c>
      <c r="Z36" s="16">
        <f t="shared" si="23"/>
        <v>21.240000000000002</v>
      </c>
      <c r="AA36" s="16">
        <f t="shared" si="24"/>
        <v>106.2</v>
      </c>
      <c r="AB36" s="16">
        <v>0</v>
      </c>
      <c r="AC36" s="16">
        <f t="shared" si="31"/>
        <v>104.07600000000001</v>
      </c>
      <c r="AD36" s="16">
        <v>0</v>
      </c>
      <c r="AE36" s="16">
        <f t="shared" si="25"/>
        <v>238.95000000000002</v>
      </c>
      <c r="AF36" s="16">
        <v>0</v>
      </c>
      <c r="AG36" s="16"/>
      <c r="AH36" s="16"/>
      <c r="AI36" s="99"/>
      <c r="AJ36" s="99"/>
      <c r="AK36" s="87"/>
      <c r="AL36" s="87"/>
      <c r="AM36" s="87"/>
      <c r="AN36" s="128">
        <v>248</v>
      </c>
      <c r="AO36" s="109">
        <v>0</v>
      </c>
      <c r="AP36" s="16">
        <f t="shared" si="26"/>
        <v>0</v>
      </c>
      <c r="AQ36" s="103"/>
      <c r="AR36" s="103">
        <f t="shared" si="27"/>
        <v>0</v>
      </c>
      <c r="AS36" s="103">
        <f t="shared" si="32"/>
        <v>534.186</v>
      </c>
      <c r="AT36" s="106"/>
      <c r="AU36" s="14">
        <f t="shared" si="28"/>
        <v>95.72192500000017</v>
      </c>
      <c r="AV36" s="30">
        <f t="shared" si="29"/>
        <v>-192.64999999999998</v>
      </c>
    </row>
    <row r="37" spans="1:48" ht="12.75" hidden="1">
      <c r="A37" s="11" t="s">
        <v>46</v>
      </c>
      <c r="B37" s="120">
        <v>106.2</v>
      </c>
      <c r="C37" s="121">
        <f t="shared" si="18"/>
        <v>918.6300000000001</v>
      </c>
      <c r="D37" s="122">
        <f>(C37-E37-F37-G37-H37-I37-J37-K37-L37-M37-N37)*0.857717</f>
        <v>424.5699150000001</v>
      </c>
      <c r="E37" s="95">
        <v>48.9</v>
      </c>
      <c r="F37" s="95">
        <v>0</v>
      </c>
      <c r="G37" s="95">
        <v>66.23</v>
      </c>
      <c r="H37" s="95">
        <v>0</v>
      </c>
      <c r="I37" s="95">
        <v>159.14</v>
      </c>
      <c r="J37" s="95">
        <v>0</v>
      </c>
      <c r="K37" s="95">
        <v>110.24</v>
      </c>
      <c r="L37" s="95">
        <v>0</v>
      </c>
      <c r="M37" s="95">
        <v>39.12</v>
      </c>
      <c r="N37" s="123">
        <v>0</v>
      </c>
      <c r="O37" s="84">
        <f t="shared" si="19"/>
        <v>423.63</v>
      </c>
      <c r="P37" s="96">
        <f t="shared" si="20"/>
        <v>0</v>
      </c>
      <c r="Q37" s="125">
        <v>47.03</v>
      </c>
      <c r="R37" s="125">
        <v>63.57</v>
      </c>
      <c r="S37" s="125">
        <v>153.14</v>
      </c>
      <c r="T37" s="125">
        <v>105.97</v>
      </c>
      <c r="U37" s="125">
        <v>37.61</v>
      </c>
      <c r="V37" s="120">
        <f t="shared" si="30"/>
        <v>407.32000000000005</v>
      </c>
      <c r="W37" s="97">
        <f t="shared" si="21"/>
        <v>831.8899150000002</v>
      </c>
      <c r="X37" s="97"/>
      <c r="Y37" s="16">
        <f t="shared" si="22"/>
        <v>63.72</v>
      </c>
      <c r="Z37" s="16">
        <f t="shared" si="23"/>
        <v>21.240000000000002</v>
      </c>
      <c r="AA37" s="16">
        <f t="shared" si="24"/>
        <v>106.2</v>
      </c>
      <c r="AB37" s="16">
        <v>0</v>
      </c>
      <c r="AC37" s="16">
        <f t="shared" si="31"/>
        <v>104.07600000000001</v>
      </c>
      <c r="AD37" s="16">
        <v>0</v>
      </c>
      <c r="AE37" s="16">
        <f t="shared" si="25"/>
        <v>238.95000000000002</v>
      </c>
      <c r="AF37" s="16">
        <v>0</v>
      </c>
      <c r="AG37" s="16"/>
      <c r="AH37" s="16"/>
      <c r="AI37" s="99"/>
      <c r="AJ37" s="99"/>
      <c r="AK37" s="87"/>
      <c r="AL37" s="87">
        <f>47.8</f>
        <v>47.8</v>
      </c>
      <c r="AM37" s="87"/>
      <c r="AN37" s="128">
        <v>293</v>
      </c>
      <c r="AO37" s="109">
        <v>0</v>
      </c>
      <c r="AP37" s="16">
        <f t="shared" si="26"/>
        <v>0</v>
      </c>
      <c r="AQ37" s="103"/>
      <c r="AR37" s="103">
        <f t="shared" si="27"/>
        <v>0</v>
      </c>
      <c r="AS37" s="103">
        <f t="shared" si="32"/>
        <v>581.986</v>
      </c>
      <c r="AT37" s="106"/>
      <c r="AU37" s="14">
        <f t="shared" si="28"/>
        <v>249.9039150000002</v>
      </c>
      <c r="AV37" s="30">
        <f t="shared" si="29"/>
        <v>-16.309999999999945</v>
      </c>
    </row>
    <row r="38" spans="1:48" ht="12.75" hidden="1">
      <c r="A38" s="11" t="s">
        <v>47</v>
      </c>
      <c r="B38" s="120">
        <v>106.2</v>
      </c>
      <c r="C38" s="121">
        <f t="shared" si="18"/>
        <v>918.6300000000001</v>
      </c>
      <c r="D38" s="122">
        <f>(C38-E38-F38-G38-H38-I38-J38-K38-L38-M38-N38)*0.87553</f>
        <v>433.38735000000014</v>
      </c>
      <c r="E38" s="95">
        <v>48.9</v>
      </c>
      <c r="F38" s="95">
        <v>0</v>
      </c>
      <c r="G38" s="95">
        <v>66.23</v>
      </c>
      <c r="H38" s="95">
        <v>0</v>
      </c>
      <c r="I38" s="95">
        <v>159.14</v>
      </c>
      <c r="J38" s="95">
        <v>0</v>
      </c>
      <c r="K38" s="95">
        <v>110.24</v>
      </c>
      <c r="L38" s="95">
        <v>0</v>
      </c>
      <c r="M38" s="95">
        <v>39.12</v>
      </c>
      <c r="N38" s="123">
        <v>0</v>
      </c>
      <c r="O38" s="84">
        <f t="shared" si="19"/>
        <v>423.63</v>
      </c>
      <c r="P38" s="96">
        <f t="shared" si="20"/>
        <v>0</v>
      </c>
      <c r="Q38" s="125">
        <v>47.69</v>
      </c>
      <c r="R38" s="125">
        <v>64.52</v>
      </c>
      <c r="S38" s="125">
        <v>155.3</v>
      </c>
      <c r="T38" s="125">
        <v>107.49</v>
      </c>
      <c r="U38" s="125">
        <v>38.15</v>
      </c>
      <c r="V38" s="120">
        <f t="shared" si="30"/>
        <v>413.15</v>
      </c>
      <c r="W38" s="97">
        <f t="shared" si="21"/>
        <v>846.5373500000001</v>
      </c>
      <c r="X38" s="97"/>
      <c r="Y38" s="16">
        <f t="shared" si="22"/>
        <v>63.72</v>
      </c>
      <c r="Z38" s="16">
        <f t="shared" si="23"/>
        <v>21.240000000000002</v>
      </c>
      <c r="AA38" s="16">
        <f t="shared" si="24"/>
        <v>106.2</v>
      </c>
      <c r="AB38" s="16">
        <v>0</v>
      </c>
      <c r="AC38" s="16">
        <f t="shared" si="31"/>
        <v>104.07600000000001</v>
      </c>
      <c r="AD38" s="16">
        <v>0</v>
      </c>
      <c r="AE38" s="16">
        <f t="shared" si="25"/>
        <v>238.95000000000002</v>
      </c>
      <c r="AF38" s="16">
        <v>0</v>
      </c>
      <c r="AG38" s="16"/>
      <c r="AH38" s="16"/>
      <c r="AI38" s="99"/>
      <c r="AJ38" s="99"/>
      <c r="AK38" s="87"/>
      <c r="AL38" s="87"/>
      <c r="AM38" s="87"/>
      <c r="AN38" s="128">
        <v>349</v>
      </c>
      <c r="AO38" s="109">
        <v>0</v>
      </c>
      <c r="AP38" s="16">
        <f t="shared" si="26"/>
        <v>0</v>
      </c>
      <c r="AQ38" s="103"/>
      <c r="AR38" s="103">
        <f t="shared" si="27"/>
        <v>0</v>
      </c>
      <c r="AS38" s="103">
        <f t="shared" si="32"/>
        <v>534.186</v>
      </c>
      <c r="AT38" s="106"/>
      <c r="AU38" s="14">
        <f t="shared" si="28"/>
        <v>312.35135</v>
      </c>
      <c r="AV38" s="30">
        <f t="shared" si="29"/>
        <v>-10.480000000000018</v>
      </c>
    </row>
    <row r="39" spans="1:48" ht="12.75" hidden="1">
      <c r="A39" s="11" t="s">
        <v>35</v>
      </c>
      <c r="B39" s="120">
        <v>106.2</v>
      </c>
      <c r="C39" s="121">
        <f t="shared" si="18"/>
        <v>918.6300000000001</v>
      </c>
      <c r="D39" s="122">
        <f>(C39-E39-F39-G39-H39-I39-J39-K39-L39-M39-N39)*0.811308</f>
        <v>401.5974600000001</v>
      </c>
      <c r="E39" s="95">
        <v>48.9</v>
      </c>
      <c r="F39" s="95">
        <v>0</v>
      </c>
      <c r="G39" s="95">
        <v>66.23</v>
      </c>
      <c r="H39" s="95">
        <v>0</v>
      </c>
      <c r="I39" s="95">
        <v>159.14</v>
      </c>
      <c r="J39" s="95">
        <v>0</v>
      </c>
      <c r="K39" s="95">
        <v>110.24</v>
      </c>
      <c r="L39" s="95">
        <v>0</v>
      </c>
      <c r="M39" s="95">
        <v>39.12</v>
      </c>
      <c r="N39" s="123">
        <v>0</v>
      </c>
      <c r="O39" s="84">
        <f t="shared" si="19"/>
        <v>423.63</v>
      </c>
      <c r="P39" s="96">
        <f t="shared" si="20"/>
        <v>0</v>
      </c>
      <c r="Q39" s="125">
        <v>48.75</v>
      </c>
      <c r="R39" s="125">
        <v>65.98</v>
      </c>
      <c r="S39" s="125">
        <v>158.73</v>
      </c>
      <c r="T39" s="125">
        <v>109.9</v>
      </c>
      <c r="U39" s="125">
        <v>39</v>
      </c>
      <c r="V39" s="120">
        <f t="shared" si="30"/>
        <v>422.36</v>
      </c>
      <c r="W39" s="97">
        <f t="shared" si="21"/>
        <v>823.9574600000001</v>
      </c>
      <c r="X39" s="97"/>
      <c r="Y39" s="16">
        <f t="shared" si="22"/>
        <v>63.72</v>
      </c>
      <c r="Z39" s="16">
        <f t="shared" si="23"/>
        <v>21.240000000000002</v>
      </c>
      <c r="AA39" s="16">
        <f t="shared" si="24"/>
        <v>106.2</v>
      </c>
      <c r="AB39" s="16">
        <v>0</v>
      </c>
      <c r="AC39" s="16">
        <f t="shared" si="31"/>
        <v>104.07600000000001</v>
      </c>
      <c r="AD39" s="16">
        <v>0</v>
      </c>
      <c r="AE39" s="16">
        <f t="shared" si="25"/>
        <v>238.95000000000002</v>
      </c>
      <c r="AF39" s="16">
        <v>0</v>
      </c>
      <c r="AG39" s="16"/>
      <c r="AH39" s="16"/>
      <c r="AI39" s="99"/>
      <c r="AJ39" s="99"/>
      <c r="AK39" s="87"/>
      <c r="AL39" s="87"/>
      <c r="AM39" s="87"/>
      <c r="AN39" s="128">
        <v>425</v>
      </c>
      <c r="AO39" s="109">
        <v>0</v>
      </c>
      <c r="AP39" s="16">
        <f t="shared" si="26"/>
        <v>0</v>
      </c>
      <c r="AQ39" s="103"/>
      <c r="AR39" s="103">
        <f t="shared" si="27"/>
        <v>0</v>
      </c>
      <c r="AS39" s="103">
        <f t="shared" si="32"/>
        <v>534.186</v>
      </c>
      <c r="AT39" s="106"/>
      <c r="AU39" s="14">
        <f t="shared" si="28"/>
        <v>289.77146000000005</v>
      </c>
      <c r="AV39" s="30">
        <f t="shared" si="29"/>
        <v>-1.2699999999999818</v>
      </c>
    </row>
    <row r="40" spans="1:48" ht="12.75" hidden="1">
      <c r="A40" s="11" t="s">
        <v>36</v>
      </c>
      <c r="B40" s="120">
        <v>106.2</v>
      </c>
      <c r="C40" s="121">
        <f t="shared" si="18"/>
        <v>918.6300000000001</v>
      </c>
      <c r="D40" s="122">
        <f>(C40-E40-F40-G40-H40-I40-J40-K40-L40-M40-N40)*0.870679</f>
        <v>430.98610500000007</v>
      </c>
      <c r="E40" s="95">
        <v>48.9</v>
      </c>
      <c r="F40" s="95">
        <v>0</v>
      </c>
      <c r="G40" s="95">
        <v>66.23</v>
      </c>
      <c r="H40" s="95">
        <v>0</v>
      </c>
      <c r="I40" s="95">
        <v>159.14</v>
      </c>
      <c r="J40" s="95">
        <v>0</v>
      </c>
      <c r="K40" s="95">
        <v>110.24</v>
      </c>
      <c r="L40" s="95">
        <v>0</v>
      </c>
      <c r="M40" s="95">
        <v>39.12</v>
      </c>
      <c r="N40" s="123">
        <v>0</v>
      </c>
      <c r="O40" s="84">
        <f t="shared" si="19"/>
        <v>423.63</v>
      </c>
      <c r="P40" s="96">
        <f t="shared" si="20"/>
        <v>0</v>
      </c>
      <c r="Q40" s="125">
        <v>52.64</v>
      </c>
      <c r="R40" s="125">
        <v>71.25</v>
      </c>
      <c r="S40" s="125">
        <v>171.36</v>
      </c>
      <c r="T40" s="125">
        <v>118.65</v>
      </c>
      <c r="U40" s="125">
        <v>42.11</v>
      </c>
      <c r="V40" s="120">
        <f t="shared" si="30"/>
        <v>456.01</v>
      </c>
      <c r="W40" s="97">
        <f t="shared" si="21"/>
        <v>886.9961050000001</v>
      </c>
      <c r="X40" s="97"/>
      <c r="Y40" s="16">
        <f t="shared" si="22"/>
        <v>63.72</v>
      </c>
      <c r="Z40" s="16">
        <f t="shared" si="23"/>
        <v>21.240000000000002</v>
      </c>
      <c r="AA40" s="16">
        <f t="shared" si="24"/>
        <v>106.2</v>
      </c>
      <c r="AB40" s="16">
        <v>0</v>
      </c>
      <c r="AC40" s="16">
        <f t="shared" si="31"/>
        <v>104.07600000000001</v>
      </c>
      <c r="AD40" s="16">
        <v>0</v>
      </c>
      <c r="AE40" s="16">
        <f t="shared" si="25"/>
        <v>238.95000000000002</v>
      </c>
      <c r="AF40" s="16">
        <v>0</v>
      </c>
      <c r="AG40" s="16"/>
      <c r="AH40" s="16"/>
      <c r="AI40" s="99"/>
      <c r="AJ40" s="99"/>
      <c r="AK40" s="87"/>
      <c r="AL40" s="87"/>
      <c r="AM40" s="87"/>
      <c r="AN40" s="128">
        <v>470</v>
      </c>
      <c r="AO40" s="109">
        <v>0</v>
      </c>
      <c r="AP40" s="16">
        <f t="shared" si="26"/>
        <v>0</v>
      </c>
      <c r="AQ40" s="103"/>
      <c r="AR40" s="103">
        <f t="shared" si="27"/>
        <v>0</v>
      </c>
      <c r="AS40" s="103">
        <f t="shared" si="32"/>
        <v>534.186</v>
      </c>
      <c r="AT40" s="106"/>
      <c r="AU40" s="14">
        <f t="shared" si="28"/>
        <v>352.810105</v>
      </c>
      <c r="AV40" s="30">
        <f t="shared" si="29"/>
        <v>32.379999999999995</v>
      </c>
    </row>
    <row r="41" spans="1:48" ht="12.75" hidden="1">
      <c r="A41" s="11" t="s">
        <v>37</v>
      </c>
      <c r="B41" s="120">
        <v>106.2</v>
      </c>
      <c r="C41" s="121">
        <f t="shared" si="18"/>
        <v>918.6300000000001</v>
      </c>
      <c r="D41" s="122">
        <f>(C41-E41-F41-G41-H41-I41-J41-K41-L41-M41-N41)*0.91496</f>
        <v>452.9052000000001</v>
      </c>
      <c r="E41" s="95">
        <v>48.9</v>
      </c>
      <c r="F41" s="95">
        <v>0</v>
      </c>
      <c r="G41" s="95">
        <v>66.23</v>
      </c>
      <c r="H41" s="95">
        <v>0</v>
      </c>
      <c r="I41" s="95">
        <v>159.14</v>
      </c>
      <c r="J41" s="95">
        <v>0</v>
      </c>
      <c r="K41" s="95">
        <v>110.24</v>
      </c>
      <c r="L41" s="95">
        <v>0</v>
      </c>
      <c r="M41" s="95">
        <v>39.12</v>
      </c>
      <c r="N41" s="123">
        <v>0</v>
      </c>
      <c r="O41" s="84">
        <f t="shared" si="19"/>
        <v>423.63</v>
      </c>
      <c r="P41" s="96">
        <f t="shared" si="20"/>
        <v>0</v>
      </c>
      <c r="Q41" s="125">
        <v>51.27</v>
      </c>
      <c r="R41" s="125">
        <v>69.43</v>
      </c>
      <c r="S41" s="125">
        <v>166.93</v>
      </c>
      <c r="T41" s="125">
        <v>115.6</v>
      </c>
      <c r="U41" s="125">
        <v>41.03</v>
      </c>
      <c r="V41" s="120">
        <f t="shared" si="30"/>
        <v>444.26</v>
      </c>
      <c r="W41" s="97">
        <f t="shared" si="21"/>
        <v>897.1652000000001</v>
      </c>
      <c r="X41" s="97"/>
      <c r="Y41" s="16">
        <f t="shared" si="22"/>
        <v>63.72</v>
      </c>
      <c r="Z41" s="16">
        <f t="shared" si="23"/>
        <v>21.240000000000002</v>
      </c>
      <c r="AA41" s="16">
        <f t="shared" si="24"/>
        <v>106.2</v>
      </c>
      <c r="AB41" s="16">
        <v>0</v>
      </c>
      <c r="AC41" s="16">
        <f t="shared" si="31"/>
        <v>104.07600000000001</v>
      </c>
      <c r="AD41" s="16">
        <v>0</v>
      </c>
      <c r="AE41" s="16">
        <f t="shared" si="25"/>
        <v>238.95000000000002</v>
      </c>
      <c r="AF41" s="16">
        <v>0</v>
      </c>
      <c r="AG41" s="16"/>
      <c r="AH41" s="16"/>
      <c r="AI41" s="99"/>
      <c r="AJ41" s="99"/>
      <c r="AK41" s="87"/>
      <c r="AL41" s="87"/>
      <c r="AM41" s="87"/>
      <c r="AN41" s="128">
        <v>514</v>
      </c>
      <c r="AO41" s="109">
        <v>0</v>
      </c>
      <c r="AP41" s="16">
        <f t="shared" si="26"/>
        <v>0</v>
      </c>
      <c r="AQ41" s="103"/>
      <c r="AR41" s="103">
        <f t="shared" si="27"/>
        <v>0</v>
      </c>
      <c r="AS41" s="103">
        <f t="shared" si="32"/>
        <v>534.186</v>
      </c>
      <c r="AT41" s="106"/>
      <c r="AU41" s="14">
        <f t="shared" si="28"/>
        <v>362.9792000000001</v>
      </c>
      <c r="AV41" s="30">
        <f t="shared" si="29"/>
        <v>20.629999999999995</v>
      </c>
    </row>
    <row r="42" spans="1:48" s="20" customFormat="1" ht="12.75" hidden="1">
      <c r="A42" s="17" t="s">
        <v>5</v>
      </c>
      <c r="B42" s="59"/>
      <c r="C42" s="59">
        <f aca="true" t="shared" si="33" ref="C42:AM42">SUM(C30:C41)</f>
        <v>11023.560000000005</v>
      </c>
      <c r="D42" s="59">
        <f t="shared" si="33"/>
        <v>5426.561417500001</v>
      </c>
      <c r="E42" s="56">
        <f t="shared" si="33"/>
        <v>464.9999999999999</v>
      </c>
      <c r="F42" s="56">
        <f t="shared" si="33"/>
        <v>120.3</v>
      </c>
      <c r="G42" s="56">
        <f t="shared" si="33"/>
        <v>629.6400000000001</v>
      </c>
      <c r="H42" s="56">
        <f t="shared" si="33"/>
        <v>163.08</v>
      </c>
      <c r="I42" s="56">
        <f t="shared" si="33"/>
        <v>1513.1399999999994</v>
      </c>
      <c r="J42" s="56">
        <f t="shared" si="33"/>
        <v>391.61999999999995</v>
      </c>
      <c r="K42" s="56">
        <f t="shared" si="33"/>
        <v>1048.1399999999999</v>
      </c>
      <c r="L42" s="56">
        <f t="shared" si="33"/>
        <v>271.38</v>
      </c>
      <c r="M42" s="56">
        <f t="shared" si="33"/>
        <v>372.02</v>
      </c>
      <c r="N42" s="56">
        <f t="shared" si="33"/>
        <v>96.23999999999998</v>
      </c>
      <c r="O42" s="56">
        <f t="shared" si="33"/>
        <v>4027.9400000000005</v>
      </c>
      <c r="P42" s="56">
        <f t="shared" si="33"/>
        <v>1042.6200000000001</v>
      </c>
      <c r="Q42" s="60">
        <f t="shared" si="33"/>
        <v>449.19999999999993</v>
      </c>
      <c r="R42" s="60">
        <f t="shared" si="33"/>
        <v>606.45</v>
      </c>
      <c r="S42" s="60">
        <f t="shared" si="33"/>
        <v>1464.8300000000002</v>
      </c>
      <c r="T42" s="60">
        <f t="shared" si="33"/>
        <v>1012.3600000000001</v>
      </c>
      <c r="U42" s="60">
        <f t="shared" si="33"/>
        <v>359.34000000000003</v>
      </c>
      <c r="V42" s="60">
        <f t="shared" si="33"/>
        <v>3892.1800000000003</v>
      </c>
      <c r="W42" s="60">
        <f t="shared" si="33"/>
        <v>10361.361417500002</v>
      </c>
      <c r="X42" s="90">
        <f t="shared" si="33"/>
        <v>0</v>
      </c>
      <c r="Y42" s="18">
        <f t="shared" si="33"/>
        <v>764.6400000000002</v>
      </c>
      <c r="Z42" s="18">
        <f t="shared" si="33"/>
        <v>254.88000000000008</v>
      </c>
      <c r="AA42" s="18">
        <f t="shared" si="33"/>
        <v>1274.4000000000003</v>
      </c>
      <c r="AB42" s="18">
        <f t="shared" si="33"/>
        <v>0</v>
      </c>
      <c r="AC42" s="18">
        <f t="shared" si="33"/>
        <v>1248.912</v>
      </c>
      <c r="AD42" s="18">
        <f t="shared" si="33"/>
        <v>0</v>
      </c>
      <c r="AE42" s="18">
        <f t="shared" si="33"/>
        <v>2867.3999999999996</v>
      </c>
      <c r="AF42" s="18">
        <f t="shared" si="33"/>
        <v>0</v>
      </c>
      <c r="AG42" s="18">
        <f t="shared" si="33"/>
        <v>0</v>
      </c>
      <c r="AH42" s="18">
        <f t="shared" si="33"/>
        <v>0</v>
      </c>
      <c r="AI42" s="18">
        <f t="shared" si="33"/>
        <v>0</v>
      </c>
      <c r="AJ42" s="18">
        <f t="shared" si="33"/>
        <v>0</v>
      </c>
      <c r="AK42" s="18">
        <f t="shared" si="33"/>
        <v>0</v>
      </c>
      <c r="AL42" s="18">
        <f t="shared" si="33"/>
        <v>47.8</v>
      </c>
      <c r="AM42" s="18">
        <f t="shared" si="33"/>
        <v>0</v>
      </c>
      <c r="AN42" s="18"/>
      <c r="AO42" s="18"/>
      <c r="AP42" s="18">
        <f aca="true" t="shared" si="34" ref="AP42:AV42">SUM(AP30:AP41)</f>
        <v>0</v>
      </c>
      <c r="AQ42" s="18">
        <f t="shared" si="34"/>
        <v>0</v>
      </c>
      <c r="AR42" s="18">
        <f t="shared" si="34"/>
        <v>0</v>
      </c>
      <c r="AS42" s="18">
        <f t="shared" si="34"/>
        <v>6458.032</v>
      </c>
      <c r="AT42" s="18">
        <f t="shared" si="34"/>
        <v>0</v>
      </c>
      <c r="AU42" s="18">
        <f t="shared" si="34"/>
        <v>3903.3294175000015</v>
      </c>
      <c r="AV42" s="19">
        <f t="shared" si="34"/>
        <v>-135.7599999999999</v>
      </c>
    </row>
    <row r="43" spans="1:48" ht="12.75">
      <c r="A43" s="11"/>
      <c r="B43" s="12"/>
      <c r="C43" s="13"/>
      <c r="D43" s="1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7"/>
      <c r="P43" s="47"/>
      <c r="Q43" s="51"/>
      <c r="R43" s="51"/>
      <c r="S43" s="51"/>
      <c r="T43" s="51"/>
      <c r="U43" s="51"/>
      <c r="V43" s="51"/>
      <c r="W43" s="91"/>
      <c r="X43" s="92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5"/>
      <c r="AJ43" s="15"/>
      <c r="AK43" s="86"/>
      <c r="AL43" s="86"/>
      <c r="AM43" s="87"/>
      <c r="AN43" s="87"/>
      <c r="AO43" s="87"/>
      <c r="AP43" s="21"/>
      <c r="AQ43" s="15"/>
      <c r="AR43" s="16"/>
      <c r="AS43" s="16"/>
      <c r="AT43" s="16"/>
      <c r="AU43" s="16"/>
      <c r="AV43" s="10"/>
    </row>
    <row r="44" spans="1:48" s="20" customFormat="1" ht="13.5" thickBot="1">
      <c r="A44" s="22" t="s">
        <v>48</v>
      </c>
      <c r="B44" s="23"/>
      <c r="C44" s="23">
        <f aca="true" t="shared" si="35" ref="C44:N44">C28+C42</f>
        <v>24803.01000000001</v>
      </c>
      <c r="D44" s="23">
        <f t="shared" si="35"/>
        <v>10524.948326800004</v>
      </c>
      <c r="E44" s="49">
        <f t="shared" si="35"/>
        <v>878.43</v>
      </c>
      <c r="F44" s="49">
        <f t="shared" si="35"/>
        <v>405.44000000000005</v>
      </c>
      <c r="G44" s="49">
        <f t="shared" si="35"/>
        <v>1152.92</v>
      </c>
      <c r="H44" s="49">
        <f t="shared" si="35"/>
        <v>525.6800000000001</v>
      </c>
      <c r="I44" s="49">
        <f t="shared" si="35"/>
        <v>2857.6399999999994</v>
      </c>
      <c r="J44" s="49">
        <f t="shared" si="35"/>
        <v>1319.2199999999998</v>
      </c>
      <c r="K44" s="49">
        <f t="shared" si="35"/>
        <v>1979.05</v>
      </c>
      <c r="L44" s="49">
        <f t="shared" si="35"/>
        <v>914.32</v>
      </c>
      <c r="M44" s="49">
        <f t="shared" si="35"/>
        <v>703.29</v>
      </c>
      <c r="N44" s="49">
        <f t="shared" si="35"/>
        <v>324.37999999999994</v>
      </c>
      <c r="O44" s="49">
        <f aca="true" t="shared" si="36" ref="O44:AM44">O28+O42</f>
        <v>7571.330000000001</v>
      </c>
      <c r="P44" s="49">
        <f t="shared" si="36"/>
        <v>3489.04</v>
      </c>
      <c r="Q44" s="52">
        <f t="shared" si="36"/>
        <v>778.1099999999999</v>
      </c>
      <c r="R44" s="52">
        <f t="shared" si="36"/>
        <v>1017.2</v>
      </c>
      <c r="S44" s="52">
        <f t="shared" si="36"/>
        <v>2531.15</v>
      </c>
      <c r="T44" s="52">
        <f t="shared" si="36"/>
        <v>1753.06</v>
      </c>
      <c r="U44" s="52">
        <f t="shared" si="36"/>
        <v>622.47</v>
      </c>
      <c r="V44" s="52">
        <f t="shared" si="36"/>
        <v>6701.99</v>
      </c>
      <c r="W44" s="52">
        <f t="shared" si="36"/>
        <v>20715.978326800003</v>
      </c>
      <c r="X44" s="52">
        <f t="shared" si="36"/>
        <v>0</v>
      </c>
      <c r="Y44" s="23">
        <f t="shared" si="36"/>
        <v>1694.9520000000002</v>
      </c>
      <c r="Z44" s="23">
        <f t="shared" si="36"/>
        <v>567.9716184000001</v>
      </c>
      <c r="AA44" s="23">
        <f t="shared" si="36"/>
        <v>2582.1513666</v>
      </c>
      <c r="AB44" s="23">
        <f t="shared" si="36"/>
        <v>235.39524598800003</v>
      </c>
      <c r="AC44" s="23">
        <f t="shared" si="36"/>
        <v>2515.48918056</v>
      </c>
      <c r="AD44" s="23">
        <f t="shared" si="36"/>
        <v>227.98389250079995</v>
      </c>
      <c r="AE44" s="23">
        <f t="shared" si="36"/>
        <v>5665.546565819999</v>
      </c>
      <c r="AF44" s="23">
        <f t="shared" si="36"/>
        <v>503.66638184759984</v>
      </c>
      <c r="AG44" s="23">
        <f t="shared" si="36"/>
        <v>0</v>
      </c>
      <c r="AH44" s="23">
        <f t="shared" si="36"/>
        <v>0</v>
      </c>
      <c r="AI44" s="23">
        <f t="shared" si="36"/>
        <v>0</v>
      </c>
      <c r="AJ44" s="23">
        <f t="shared" si="36"/>
        <v>0</v>
      </c>
      <c r="AK44" s="23">
        <f t="shared" si="36"/>
        <v>2539.8199999999997</v>
      </c>
      <c r="AL44" s="23">
        <f t="shared" si="36"/>
        <v>47.8</v>
      </c>
      <c r="AM44" s="23">
        <f t="shared" si="36"/>
        <v>457.16759999999994</v>
      </c>
      <c r="AN44" s="23"/>
      <c r="AO44" s="23"/>
      <c r="AP44" s="23">
        <f aca="true" t="shared" si="37" ref="AP44:AV44">AP28+AP42</f>
        <v>0</v>
      </c>
      <c r="AQ44" s="23">
        <f t="shared" si="37"/>
        <v>0</v>
      </c>
      <c r="AR44" s="23">
        <f t="shared" si="37"/>
        <v>0</v>
      </c>
      <c r="AS44" s="23">
        <f t="shared" si="37"/>
        <v>17037.9438517164</v>
      </c>
      <c r="AT44" s="23">
        <f t="shared" si="37"/>
        <v>0</v>
      </c>
      <c r="AU44" s="23">
        <f t="shared" si="37"/>
        <v>3678.034475083603</v>
      </c>
      <c r="AV44" s="24">
        <f t="shared" si="37"/>
        <v>-869.3399999999998</v>
      </c>
    </row>
  </sheetData>
  <sheetProtection/>
  <mergeCells count="56">
    <mergeCell ref="T5:T6"/>
    <mergeCell ref="AR5:AR6"/>
    <mergeCell ref="AI5:AI6"/>
    <mergeCell ref="AJ5:AJ6"/>
    <mergeCell ref="AL5:AL6"/>
    <mergeCell ref="AQ5:AQ6"/>
    <mergeCell ref="U5:U6"/>
    <mergeCell ref="N5:N6"/>
    <mergeCell ref="AS5:AS6"/>
    <mergeCell ref="AM5:AM6"/>
    <mergeCell ref="Y5:Y6"/>
    <mergeCell ref="X3:X6"/>
    <mergeCell ref="Y3:AS4"/>
    <mergeCell ref="AF5:AF6"/>
    <mergeCell ref="AG5:AG6"/>
    <mergeCell ref="V5:V6"/>
    <mergeCell ref="AN5:AP5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AU3:AU6"/>
    <mergeCell ref="O3:P4"/>
    <mergeCell ref="Q3:V4"/>
    <mergeCell ref="W3:W6"/>
    <mergeCell ref="P5:P6"/>
    <mergeCell ref="Q5:Q6"/>
    <mergeCell ref="AT3:AT6"/>
    <mergeCell ref="O5:O6"/>
    <mergeCell ref="R5:R6"/>
    <mergeCell ref="S5:S6"/>
    <mergeCell ref="M4:N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22">
      <selection activeCell="C54" sqref="C54:D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04" t="s">
        <v>49</v>
      </c>
      <c r="C1" s="204"/>
      <c r="D1" s="204"/>
      <c r="E1" s="204"/>
      <c r="F1" s="204"/>
      <c r="G1" s="204"/>
      <c r="H1" s="204"/>
    </row>
    <row r="2" spans="2:8" ht="21" customHeight="1">
      <c r="B2" s="204" t="s">
        <v>50</v>
      </c>
      <c r="C2" s="204"/>
      <c r="D2" s="204"/>
      <c r="E2" s="204"/>
      <c r="F2" s="204"/>
      <c r="G2" s="204"/>
      <c r="H2" s="204"/>
    </row>
    <row r="5" spans="1:15" ht="12.75">
      <c r="A5" s="206" t="s">
        <v>83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ht="12.75">
      <c r="A6" s="207" t="s">
        <v>86</v>
      </c>
      <c r="B6" s="207"/>
      <c r="C6" s="207"/>
      <c r="D6" s="207"/>
      <c r="E6" s="207"/>
      <c r="F6" s="207"/>
      <c r="G6" s="207"/>
      <c r="H6" s="93"/>
      <c r="I6" s="93"/>
      <c r="J6" s="93"/>
      <c r="K6" s="93"/>
      <c r="L6" s="93"/>
      <c r="M6" s="93"/>
      <c r="N6" s="93"/>
      <c r="O6" s="93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05" t="s">
        <v>51</v>
      </c>
      <c r="B8" s="205"/>
      <c r="C8" s="205"/>
      <c r="D8" s="205"/>
      <c r="E8" s="205">
        <v>8.65</v>
      </c>
      <c r="F8" s="205"/>
    </row>
    <row r="9" spans="1:16" ht="12.75" customHeight="1">
      <c r="A9" s="156" t="s">
        <v>52</v>
      </c>
      <c r="B9" s="233" t="s">
        <v>1</v>
      </c>
      <c r="C9" s="236" t="s">
        <v>53</v>
      </c>
      <c r="D9" s="239" t="s">
        <v>3</v>
      </c>
      <c r="E9" s="219" t="s">
        <v>54</v>
      </c>
      <c r="F9" s="220"/>
      <c r="G9" s="223" t="s">
        <v>55</v>
      </c>
      <c r="H9" s="224"/>
      <c r="I9" s="200" t="s">
        <v>8</v>
      </c>
      <c r="J9" s="192"/>
      <c r="K9" s="192"/>
      <c r="L9" s="192"/>
      <c r="M9" s="192"/>
      <c r="N9" s="201"/>
      <c r="O9" s="208" t="s">
        <v>56</v>
      </c>
      <c r="P9" s="208" t="s">
        <v>10</v>
      </c>
    </row>
    <row r="10" spans="1:16" ht="12.75">
      <c r="A10" s="157"/>
      <c r="B10" s="234"/>
      <c r="C10" s="237"/>
      <c r="D10" s="240"/>
      <c r="E10" s="221"/>
      <c r="F10" s="222"/>
      <c r="G10" s="225"/>
      <c r="H10" s="226"/>
      <c r="I10" s="202"/>
      <c r="J10" s="167"/>
      <c r="K10" s="167"/>
      <c r="L10" s="167"/>
      <c r="M10" s="167"/>
      <c r="N10" s="203"/>
      <c r="O10" s="209"/>
      <c r="P10" s="209"/>
    </row>
    <row r="11" spans="1:16" ht="26.25" customHeight="1">
      <c r="A11" s="157"/>
      <c r="B11" s="234"/>
      <c r="C11" s="237"/>
      <c r="D11" s="240"/>
      <c r="E11" s="211" t="s">
        <v>57</v>
      </c>
      <c r="F11" s="212"/>
      <c r="G11" s="83" t="s">
        <v>58</v>
      </c>
      <c r="H11" s="213" t="s">
        <v>7</v>
      </c>
      <c r="I11" s="215" t="s">
        <v>59</v>
      </c>
      <c r="J11" s="217" t="s">
        <v>26</v>
      </c>
      <c r="K11" s="217" t="s">
        <v>60</v>
      </c>
      <c r="L11" s="217" t="s">
        <v>31</v>
      </c>
      <c r="M11" s="217" t="s">
        <v>61</v>
      </c>
      <c r="N11" s="213" t="s">
        <v>33</v>
      </c>
      <c r="O11" s="209"/>
      <c r="P11" s="209"/>
    </row>
    <row r="12" spans="1:16" ht="66.75" customHeight="1" thickBot="1">
      <c r="A12" s="232"/>
      <c r="B12" s="235"/>
      <c r="C12" s="238"/>
      <c r="D12" s="241"/>
      <c r="E12" s="62" t="s">
        <v>62</v>
      </c>
      <c r="F12" s="65" t="s">
        <v>17</v>
      </c>
      <c r="G12" s="80" t="s">
        <v>82</v>
      </c>
      <c r="H12" s="214"/>
      <c r="I12" s="216"/>
      <c r="J12" s="218"/>
      <c r="K12" s="218"/>
      <c r="L12" s="218"/>
      <c r="M12" s="218"/>
      <c r="N12" s="214"/>
      <c r="O12" s="210"/>
      <c r="P12" s="210"/>
    </row>
    <row r="13" spans="1:16" ht="13.5" thickBot="1">
      <c r="A13" s="63">
        <v>1</v>
      </c>
      <c r="B13" s="64">
        <v>2</v>
      </c>
      <c r="C13" s="63">
        <v>3</v>
      </c>
      <c r="D13" s="64">
        <v>4</v>
      </c>
      <c r="E13" s="63">
        <v>5</v>
      </c>
      <c r="F13" s="64">
        <v>6</v>
      </c>
      <c r="G13" s="63">
        <v>7</v>
      </c>
      <c r="H13" s="64">
        <v>8</v>
      </c>
      <c r="I13" s="63">
        <v>9</v>
      </c>
      <c r="J13" s="64">
        <v>10</v>
      </c>
      <c r="K13" s="63">
        <v>11</v>
      </c>
      <c r="L13" s="64">
        <v>12</v>
      </c>
      <c r="M13" s="63">
        <v>13</v>
      </c>
      <c r="N13" s="64">
        <v>14</v>
      </c>
      <c r="O13" s="63">
        <v>15</v>
      </c>
      <c r="P13" s="64">
        <v>16</v>
      </c>
    </row>
    <row r="14" spans="1:16" ht="12.75">
      <c r="A14" s="7" t="s">
        <v>34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5"/>
      <c r="P14" s="72"/>
    </row>
    <row r="15" spans="1:16" ht="12.75">
      <c r="A15" s="11" t="s">
        <v>35</v>
      </c>
      <c r="B15" s="81">
        <f>Лист1!B9</f>
        <v>106.2</v>
      </c>
      <c r="C15" s="27">
        <f>B15*8.65</f>
        <v>918.6300000000001</v>
      </c>
      <c r="D15" s="28">
        <f>Лист1!D9</f>
        <v>220.27959440000004</v>
      </c>
      <c r="E15" s="14">
        <f>Лист1!O9</f>
        <v>385.01</v>
      </c>
      <c r="F15" s="30">
        <f>Лист1!P9</f>
        <v>260.17</v>
      </c>
      <c r="G15" s="29">
        <f>Лист1!V9</f>
        <v>0</v>
      </c>
      <c r="H15" s="30">
        <f>Лист1!W9</f>
        <v>480.4495944</v>
      </c>
      <c r="I15" s="29">
        <f>Лист1!Y9</f>
        <v>63.72</v>
      </c>
      <c r="J15" s="14">
        <f>Лист1!AA9+Лист1!AB9</f>
        <v>106.21784160000001</v>
      </c>
      <c r="K15" s="14">
        <f>Лист1!Z9+Лист1!AC9+Лист1!AD9+Лист1!AE9+Лист1!AF9+Лист1!AG9+Лист1!AH9</f>
        <v>302.12354258999994</v>
      </c>
      <c r="L15" s="31">
        <f>Лист1!AK9+Лист1!AM9</f>
        <v>0</v>
      </c>
      <c r="M15" s="31">
        <f>Лист1!AP9</f>
        <v>0</v>
      </c>
      <c r="N15" s="30">
        <f>Лист1!AS9</f>
        <v>472.06138419</v>
      </c>
      <c r="O15" s="73">
        <f>Лист1!AU9</f>
        <v>8.388210210000011</v>
      </c>
      <c r="P15" s="73">
        <f>Лист1!AV9</f>
        <v>-385.01</v>
      </c>
    </row>
    <row r="16" spans="1:16" ht="12.75">
      <c r="A16" s="11" t="s">
        <v>36</v>
      </c>
      <c r="B16" s="81">
        <f>Лист1!B10</f>
        <v>106.2</v>
      </c>
      <c r="C16" s="27">
        <f aca="true" t="shared" si="0" ref="C16:C31">B16*8.65</f>
        <v>918.6300000000001</v>
      </c>
      <c r="D16" s="28">
        <f>Лист1!D10</f>
        <v>220.27959440000004</v>
      </c>
      <c r="E16" s="14">
        <f>Лист1!O10</f>
        <v>35.57000000000001</v>
      </c>
      <c r="F16" s="30">
        <f>Лист1!P10</f>
        <v>24.09</v>
      </c>
      <c r="G16" s="29">
        <f>Лист1!V10</f>
        <v>175.33</v>
      </c>
      <c r="H16" s="30">
        <f>Лист1!W10</f>
        <v>419.6995944</v>
      </c>
      <c r="I16" s="29">
        <f>Лист1!Y10</f>
        <v>63.72</v>
      </c>
      <c r="J16" s="14">
        <f>Лист1!AA10+Лист1!AB10</f>
        <v>106.21784160000001</v>
      </c>
      <c r="K16" s="14">
        <f>Лист1!Z10+Лист1!AC10+Лист1!AD10+Лист1!AE10+Лист1!AF10+Лист1!AG10+Лист1!AH10</f>
        <v>300.99230019000004</v>
      </c>
      <c r="L16" s="31">
        <f>Лист1!AK10+Лист1!AM10</f>
        <v>280.84</v>
      </c>
      <c r="M16" s="31">
        <f>Лист1!AP10</f>
        <v>0</v>
      </c>
      <c r="N16" s="30">
        <f>Лист1!AS10</f>
        <v>751.77014179</v>
      </c>
      <c r="O16" s="73">
        <f>Лист1!AU10</f>
        <v>-332.07054739</v>
      </c>
      <c r="P16" s="73">
        <f>Лист1!AV10</f>
        <v>139.76</v>
      </c>
    </row>
    <row r="17" spans="1:18" ht="13.5" thickBot="1">
      <c r="A17" s="32" t="s">
        <v>37</v>
      </c>
      <c r="B17" s="81">
        <f>Лист1!B11</f>
        <v>106.2</v>
      </c>
      <c r="C17" s="33">
        <f t="shared" si="0"/>
        <v>918.6300000000001</v>
      </c>
      <c r="D17" s="28">
        <f>Лист1!D11</f>
        <v>221.79272050000003</v>
      </c>
      <c r="E17" s="14">
        <f>Лист1!O11</f>
        <v>228.09</v>
      </c>
      <c r="F17" s="30">
        <f>Лист1!P11</f>
        <v>154.16</v>
      </c>
      <c r="G17" s="29">
        <f>Лист1!V11</f>
        <v>16.02</v>
      </c>
      <c r="H17" s="30">
        <f>Лист1!W11</f>
        <v>391.97272050000004</v>
      </c>
      <c r="I17" s="29">
        <f>Лист1!Y11</f>
        <v>63.72</v>
      </c>
      <c r="J17" s="14">
        <f>Лист1!AA11+Лист1!AB11</f>
        <v>106.21784160000001</v>
      </c>
      <c r="K17" s="14">
        <f>Лист1!Z11+Лист1!AC11+Лист1!AD11+Лист1!AE11+Лист1!AF11+Лист1!AG11+Лист1!AH11</f>
        <v>301.42219779000004</v>
      </c>
      <c r="L17" s="31">
        <f>Лист1!AK11+Лист1!AM11</f>
        <v>0</v>
      </c>
      <c r="M17" s="31">
        <f>Лист1!AP11</f>
        <v>0</v>
      </c>
      <c r="N17" s="30">
        <f>Лист1!AS11</f>
        <v>471.36003939</v>
      </c>
      <c r="O17" s="73">
        <f>Лист1!AU11</f>
        <v>-79.38731888999996</v>
      </c>
      <c r="P17" s="73">
        <f>Лист1!AV11</f>
        <v>-212.07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2755.8900000000003</v>
      </c>
      <c r="D18" s="66">
        <f aca="true" t="shared" si="1" ref="D18:I18">SUM(D15:D17)</f>
        <v>662.3519093000001</v>
      </c>
      <c r="E18" s="36">
        <f t="shared" si="1"/>
        <v>648.67</v>
      </c>
      <c r="F18" s="67">
        <f t="shared" si="1"/>
        <v>438.41999999999996</v>
      </c>
      <c r="G18" s="66">
        <f t="shared" si="1"/>
        <v>191.35000000000002</v>
      </c>
      <c r="H18" s="67">
        <f t="shared" si="1"/>
        <v>1292.1219093</v>
      </c>
      <c r="I18" s="66">
        <f t="shared" si="1"/>
        <v>191.16</v>
      </c>
      <c r="J18" s="36">
        <f aca="true" t="shared" si="2" ref="J18:P18">SUM(J15:J17)</f>
        <v>318.6535248</v>
      </c>
      <c r="K18" s="36">
        <f t="shared" si="2"/>
        <v>904.53804057</v>
      </c>
      <c r="L18" s="36">
        <f t="shared" si="2"/>
        <v>280.84</v>
      </c>
      <c r="M18" s="36">
        <f t="shared" si="2"/>
        <v>0</v>
      </c>
      <c r="N18" s="67">
        <f t="shared" si="2"/>
        <v>1695.1915653700003</v>
      </c>
      <c r="O18" s="74">
        <f t="shared" si="2"/>
        <v>-403.06965606999995</v>
      </c>
      <c r="P18" s="74">
        <f t="shared" si="2"/>
        <v>-457.32</v>
      </c>
      <c r="Q18" s="69"/>
      <c r="R18" s="70"/>
    </row>
    <row r="19" spans="1:18" ht="12.75">
      <c r="A19" s="7" t="s">
        <v>38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8"/>
      <c r="N19" s="30"/>
      <c r="O19" s="73"/>
      <c r="P19" s="73"/>
      <c r="Q19" s="1"/>
      <c r="R19" s="1"/>
    </row>
    <row r="20" spans="1:18" ht="12.75">
      <c r="A20" s="11" t="s">
        <v>39</v>
      </c>
      <c r="B20" s="81">
        <f>Лист1!B14</f>
        <v>106.2</v>
      </c>
      <c r="C20" s="27">
        <f t="shared" si="0"/>
        <v>918.6300000000001</v>
      </c>
      <c r="D20" s="28">
        <f>Лист1!D14</f>
        <v>114.82875000000001</v>
      </c>
      <c r="E20" s="14">
        <f>Лист1!O14</f>
        <v>228.69</v>
      </c>
      <c r="F20" s="30">
        <f>Лист1!P14</f>
        <v>154.16</v>
      </c>
      <c r="G20" s="29">
        <f>Лист1!V14</f>
        <v>113.41000000000001</v>
      </c>
      <c r="H20" s="30">
        <f>Лист1!W14</f>
        <v>382.39875</v>
      </c>
      <c r="I20" s="29">
        <f>Лист1!Y14</f>
        <v>57.348</v>
      </c>
      <c r="J20" s="14">
        <f>Лист1!AA14+Лист1!AB14</f>
        <v>94.30206472</v>
      </c>
      <c r="K20" s="14">
        <f>Лист1!Z14+Лист1!AC14+Лист1!AD14+Лист1!AE14+Лист1!AF14+Лист1!AG14+Лист1!AH14+Лист1!AI14+Лист1!AJ14</f>
        <v>323.49671207999995</v>
      </c>
      <c r="L20" s="31">
        <f>Лист1!AK14+Лист1!AL14+Лист1!AM14+Лист1!AQ14+Лист1!AR14</f>
        <v>1098.58</v>
      </c>
      <c r="M20" s="31">
        <f>Лист1!AP14</f>
        <v>0</v>
      </c>
      <c r="N20" s="30">
        <f>Лист1!AS14</f>
        <v>1573.7267768</v>
      </c>
      <c r="O20" s="73">
        <f>Лист1!AU14</f>
        <v>-1191.3280267999999</v>
      </c>
      <c r="P20" s="73">
        <f>Лист1!AV14</f>
        <v>-115.27999999999999</v>
      </c>
      <c r="Q20" s="1"/>
      <c r="R20" s="1"/>
    </row>
    <row r="21" spans="1:18" ht="12.75">
      <c r="A21" s="11" t="s">
        <v>40</v>
      </c>
      <c r="B21" s="81">
        <f>Лист1!B15</f>
        <v>106.2</v>
      </c>
      <c r="C21" s="27">
        <f t="shared" si="0"/>
        <v>918.6300000000001</v>
      </c>
      <c r="D21" s="28">
        <f>Лист1!D15</f>
        <v>114.82875000000001</v>
      </c>
      <c r="E21" s="14">
        <f>Лист1!O15</f>
        <v>228.09</v>
      </c>
      <c r="F21" s="30">
        <f>Лист1!P15</f>
        <v>154.95999999999998</v>
      </c>
      <c r="G21" s="29">
        <f>Лист1!V15</f>
        <v>183.91000000000003</v>
      </c>
      <c r="H21" s="30">
        <f>Лист1!W15</f>
        <v>453.69875</v>
      </c>
      <c r="I21" s="29">
        <f>Лист1!Y15</f>
        <v>57.348</v>
      </c>
      <c r="J21" s="14">
        <f>Лист1!AA15+Лист1!AB15</f>
        <v>94.28911657999998</v>
      </c>
      <c r="K21" s="14">
        <f>Лист1!Z15+Лист1!AC15+Лист1!AD15+Лист1!AE15+Лист1!AF15+Лист1!AG15+Лист1!AH15+Лист1!AI15+Лист1!AJ15</f>
        <v>328.46810400000004</v>
      </c>
      <c r="L21" s="31">
        <f>Лист1!AK15+Лист1!AL15+Лист1!AM15+Лист1!AQ15+Лист1!AR15</f>
        <v>0</v>
      </c>
      <c r="M21" s="31">
        <f>Лист1!AP15</f>
        <v>0</v>
      </c>
      <c r="N21" s="30">
        <f>Лист1!AS15</f>
        <v>480.10522058000004</v>
      </c>
      <c r="O21" s="73">
        <f>Лист1!AU15</f>
        <v>-26.40647058000002</v>
      </c>
      <c r="P21" s="73">
        <f>Лист1!AV15</f>
        <v>-44.17999999999998</v>
      </c>
      <c r="Q21" s="1"/>
      <c r="R21" s="1"/>
    </row>
    <row r="22" spans="1:18" ht="12.75">
      <c r="A22" s="11" t="s">
        <v>41</v>
      </c>
      <c r="B22" s="81">
        <f>Лист1!B16</f>
        <v>106.2</v>
      </c>
      <c r="C22" s="27">
        <f t="shared" si="0"/>
        <v>918.6300000000001</v>
      </c>
      <c r="D22" s="28">
        <f>Лист1!D16</f>
        <v>114.82875000000001</v>
      </c>
      <c r="E22" s="14">
        <f>Лист1!O16</f>
        <v>228.09</v>
      </c>
      <c r="F22" s="30">
        <f>Лист1!P16</f>
        <v>154.16</v>
      </c>
      <c r="G22" s="29">
        <f>Лист1!V16</f>
        <v>195.17000000000002</v>
      </c>
      <c r="H22" s="30">
        <f>Лист1!W16</f>
        <v>464.15875</v>
      </c>
      <c r="I22" s="29">
        <f>Лист1!Y16</f>
        <v>57.348</v>
      </c>
      <c r="J22" s="14">
        <f>Лист1!AA16+Лист1!AB16</f>
        <v>94.9080726</v>
      </c>
      <c r="K22" s="14">
        <f>Лист1!Z16+Лист1!AC16+Лист1!AD16+Лист1!AE16+Лист1!AF16+Лист1!AG16+Лист1!AH16+Лист1!AI16+Лист1!AJ16</f>
        <v>325.821130596</v>
      </c>
      <c r="L22" s="31">
        <f>Лист1!AK16+Лист1!AL16+Лист1!AM16+Лист1!AQ16+Лист1!AR16</f>
        <v>0</v>
      </c>
      <c r="M22" s="31">
        <f>Лист1!AP16</f>
        <v>0</v>
      </c>
      <c r="N22" s="30">
        <f>Лист1!AS16</f>
        <v>478.07720319599997</v>
      </c>
      <c r="O22" s="73">
        <f>Лист1!AU16</f>
        <v>-13.918453195999973</v>
      </c>
      <c r="P22" s="73">
        <f>Лист1!AV16</f>
        <v>-32.91999999999999</v>
      </c>
      <c r="Q22" s="1"/>
      <c r="R22" s="1"/>
    </row>
    <row r="23" spans="1:18" ht="12.75">
      <c r="A23" s="11" t="s">
        <v>42</v>
      </c>
      <c r="B23" s="81">
        <f>Лист1!B17</f>
        <v>106.2</v>
      </c>
      <c r="C23" s="27">
        <f t="shared" si="0"/>
        <v>918.6300000000001</v>
      </c>
      <c r="D23" s="28">
        <f>Лист1!D17</f>
        <v>114.82875000000001</v>
      </c>
      <c r="E23" s="14">
        <f>Лист1!O17</f>
        <v>228.09</v>
      </c>
      <c r="F23" s="30">
        <f>Лист1!P17</f>
        <v>154.16</v>
      </c>
      <c r="G23" s="29">
        <f>Лист1!V17</f>
        <v>103.21000000000001</v>
      </c>
      <c r="H23" s="30">
        <f>Лист1!W17</f>
        <v>372.19875</v>
      </c>
      <c r="I23" s="29">
        <f>Лист1!Y17</f>
        <v>57.348</v>
      </c>
      <c r="J23" s="14">
        <f>Лист1!AA17+Лист1!AB17</f>
        <v>94.9080726</v>
      </c>
      <c r="K23" s="14">
        <f>Лист1!Z17+Лист1!AC17+Лист1!AD17+Лист1!AE17+Лист1!AF17+Лист1!AG17+Лист1!AH17+Лист1!AI17+Лист1!AJ17</f>
        <v>326.146102596</v>
      </c>
      <c r="L23" s="31">
        <f>Лист1!AK17+Лист1!AL17+Лист1!AM17+Лист1!AQ17+Лист1!AR17</f>
        <v>0</v>
      </c>
      <c r="M23" s="31">
        <f>Лист1!AP17</f>
        <v>0</v>
      </c>
      <c r="N23" s="30">
        <f>Лист1!AS17</f>
        <v>478.402175196</v>
      </c>
      <c r="O23" s="73">
        <f>Лист1!AU17</f>
        <v>-106.20342519599996</v>
      </c>
      <c r="P23" s="73">
        <f>Лист1!AV17</f>
        <v>-124.88</v>
      </c>
      <c r="Q23" s="1"/>
      <c r="R23" s="1"/>
    </row>
    <row r="24" spans="1:18" ht="12.75">
      <c r="A24" s="11" t="s">
        <v>43</v>
      </c>
      <c r="B24" s="81">
        <f>Лист1!B18</f>
        <v>106.2</v>
      </c>
      <c r="C24" s="27">
        <f t="shared" si="0"/>
        <v>918.6300000000001</v>
      </c>
      <c r="D24" s="28">
        <f>Лист1!D18</f>
        <v>496.77000000000015</v>
      </c>
      <c r="E24" s="14">
        <f>Лист1!O18</f>
        <v>247.69</v>
      </c>
      <c r="F24" s="30">
        <f>Лист1!P18</f>
        <v>174.17000000000002</v>
      </c>
      <c r="G24" s="29">
        <f>Лист1!V18</f>
        <v>320.76000000000005</v>
      </c>
      <c r="H24" s="30">
        <f>Лист1!W18</f>
        <v>991.7000000000003</v>
      </c>
      <c r="I24" s="29">
        <f>Лист1!Y18</f>
        <v>63.72</v>
      </c>
      <c r="J24" s="14">
        <f>Лист1!AA18+Лист1!AB18</f>
        <v>105.453414</v>
      </c>
      <c r="K24" s="14">
        <f>Лист1!Z18+Лист1!AC18+Лист1!AD18+Лист1!AE18+Лист1!AF18+Лист1!AG18+Лист1!AH18+Лист1!AI18+Лист1!AJ18</f>
        <v>362.09255327999995</v>
      </c>
      <c r="L24" s="31">
        <f>Лист1!AK18+Лист1!AL18+Лист1!AM18+Лист1!AQ18+Лист1!AR18</f>
        <v>0</v>
      </c>
      <c r="M24" s="31">
        <f>Лист1!AP18</f>
        <v>0</v>
      </c>
      <c r="N24" s="30">
        <f>Лист1!AS18</f>
        <v>531.2659672799999</v>
      </c>
      <c r="O24" s="73">
        <f>Лист1!AU18</f>
        <v>460.43403272000035</v>
      </c>
      <c r="P24" s="73">
        <f>Лист1!AV18</f>
        <v>73.07000000000005</v>
      </c>
      <c r="Q24" s="1"/>
      <c r="R24" s="1"/>
    </row>
    <row r="25" spans="1:18" ht="12.75">
      <c r="A25" s="11" t="s">
        <v>44</v>
      </c>
      <c r="B25" s="81">
        <f>Лист1!B19</f>
        <v>106.2</v>
      </c>
      <c r="C25" s="27">
        <f t="shared" si="0"/>
        <v>918.6300000000001</v>
      </c>
      <c r="D25" s="28">
        <f>Лист1!D19</f>
        <v>234.05000000000018</v>
      </c>
      <c r="E25" s="14">
        <f>Лист1!O19</f>
        <v>402.34000000000003</v>
      </c>
      <c r="F25" s="30">
        <f>Лист1!P19</f>
        <v>282.24</v>
      </c>
      <c r="G25" s="29">
        <f>Лист1!V19</f>
        <v>238.92000000000002</v>
      </c>
      <c r="H25" s="30">
        <f>Лист1!W19</f>
        <v>755.2100000000003</v>
      </c>
      <c r="I25" s="29">
        <f>Лист1!Y19</f>
        <v>63.72</v>
      </c>
      <c r="J25" s="14">
        <f>Лист1!AA19+Лист1!AB19</f>
        <v>105.265941264</v>
      </c>
      <c r="K25" s="14">
        <f>Лист1!Z19+Лист1!AC19+Лист1!AD19+Лист1!AE19+Лист1!AF19+Лист1!AG19+Лист1!AH19+Лист1!AI19+Лист1!AJ19</f>
        <v>361.4731137432</v>
      </c>
      <c r="L25" s="31">
        <f>Лист1!AK19+Лист1!AL19+Лист1!AM19+Лист1!AQ19+Лист1!AR19</f>
        <v>0</v>
      </c>
      <c r="M25" s="31">
        <f>Лист1!AP19</f>
        <v>0</v>
      </c>
      <c r="N25" s="30">
        <f>Лист1!AS19</f>
        <v>530.4590550072</v>
      </c>
      <c r="O25" s="73">
        <f>Лист1!AU19</f>
        <v>224.7509449928002</v>
      </c>
      <c r="P25" s="73">
        <f>Лист1!AV19</f>
        <v>-163.42000000000002</v>
      </c>
      <c r="Q25" s="1"/>
      <c r="R25" s="1"/>
    </row>
    <row r="26" spans="1:18" ht="12.75">
      <c r="A26" s="11" t="s">
        <v>45</v>
      </c>
      <c r="B26" s="81">
        <f>Лист1!B20</f>
        <v>106.2</v>
      </c>
      <c r="C26" s="27">
        <f t="shared" si="0"/>
        <v>918.6300000000001</v>
      </c>
      <c r="D26" s="28">
        <f>Лист1!D20</f>
        <v>760.0900000000001</v>
      </c>
      <c r="E26" s="14">
        <f>Лист1!O20</f>
        <v>93.24</v>
      </c>
      <c r="F26" s="30">
        <f>Лист1!P20</f>
        <v>65.3</v>
      </c>
      <c r="G26" s="29">
        <f>Лист1!V20</f>
        <v>323.01</v>
      </c>
      <c r="H26" s="30">
        <f>Лист1!W20</f>
        <v>1148.4</v>
      </c>
      <c r="I26" s="29">
        <f>Лист1!Y20</f>
        <v>63.72</v>
      </c>
      <c r="J26" s="14">
        <f>Лист1!AA20+Лист1!AB20</f>
        <v>105.265941264</v>
      </c>
      <c r="K26" s="14">
        <f>Лист1!Z20+Лист1!AC20+Лист1!AD20+Лист1!AE20+Лист1!AF20+Лист1!AG20+Лист1!AH20+Лист1!AI20+Лист1!AJ20</f>
        <v>361.12923814320004</v>
      </c>
      <c r="L26" s="31">
        <f>Лист1!AK20+Лист1!AL20+Лист1!AM20+Лист1!AQ20+Лист1!AR20</f>
        <v>329.22</v>
      </c>
      <c r="M26" s="31">
        <f>Лист1!AP20</f>
        <v>0</v>
      </c>
      <c r="N26" s="30">
        <f>Лист1!AS20</f>
        <v>859.3351794072</v>
      </c>
      <c r="O26" s="73">
        <f>Лист1!AU20</f>
        <v>289.06482059280006</v>
      </c>
      <c r="P26" s="73">
        <f>Лист1!AV20</f>
        <v>229.76999999999998</v>
      </c>
      <c r="Q26" s="1"/>
      <c r="R26" s="1"/>
    </row>
    <row r="27" spans="1:18" ht="12.75">
      <c r="A27" s="11" t="s">
        <v>46</v>
      </c>
      <c r="B27" s="81">
        <f>Лист1!B21</f>
        <v>106.2</v>
      </c>
      <c r="C27" s="27">
        <f t="shared" si="0"/>
        <v>918.6300000000001</v>
      </c>
      <c r="D27" s="28">
        <f>Лист1!D21</f>
        <v>497.13000000000017</v>
      </c>
      <c r="E27" s="14">
        <f>Лист1!O21</f>
        <v>247.72999999999996</v>
      </c>
      <c r="F27" s="30">
        <f>Лист1!P21</f>
        <v>173.77</v>
      </c>
      <c r="G27" s="29">
        <f>Лист1!V21</f>
        <v>148.05</v>
      </c>
      <c r="H27" s="30">
        <f>Лист1!W21</f>
        <v>818.9500000000003</v>
      </c>
      <c r="I27" s="29">
        <f>Лист1!Y21</f>
        <v>63.72</v>
      </c>
      <c r="J27" s="14">
        <f>Лист1!AA21+Лист1!AB21</f>
        <v>105.27233237999998</v>
      </c>
      <c r="K27" s="14">
        <f>Лист1!Z21+Лист1!AC21+Лист1!AD21+Лист1!AE21+Лист1!AF21+Лист1!AG21+Лист1!AH21+Лист1!AI21+Лист1!AJ21</f>
        <v>361.22470599599995</v>
      </c>
      <c r="L27" s="31">
        <f>Лист1!AK21+Лист1!AL21+Лист1!AM21+Лист1!AQ21+Лист1!AR21</f>
        <v>0</v>
      </c>
      <c r="M27" s="31">
        <f>Лист1!AP21</f>
        <v>0</v>
      </c>
      <c r="N27" s="30">
        <f>Лист1!AS21</f>
        <v>530.217038376</v>
      </c>
      <c r="O27" s="73">
        <f>Лист1!AU21</f>
        <v>288.73296162400027</v>
      </c>
      <c r="P27" s="73">
        <f>Лист1!AV21</f>
        <v>-99.67999999999995</v>
      </c>
      <c r="Q27" s="1"/>
      <c r="R27" s="1"/>
    </row>
    <row r="28" spans="1:18" ht="12.75">
      <c r="A28" s="11" t="s">
        <v>47</v>
      </c>
      <c r="B28" s="81">
        <f>Лист1!B22</f>
        <v>106.2</v>
      </c>
      <c r="C28" s="27">
        <f t="shared" si="0"/>
        <v>918.6300000000001</v>
      </c>
      <c r="D28" s="28">
        <f>Лист1!D22</f>
        <v>497.17000000000013</v>
      </c>
      <c r="E28" s="14">
        <f>Лист1!O22</f>
        <v>247.69</v>
      </c>
      <c r="F28" s="30">
        <f>Лист1!P22</f>
        <v>173.77</v>
      </c>
      <c r="G28" s="29">
        <f>Лист1!V22</f>
        <v>231.82</v>
      </c>
      <c r="H28" s="30">
        <f>Лист1!W22</f>
        <v>902.7600000000002</v>
      </c>
      <c r="I28" s="29">
        <f>Лист1!Y22</f>
        <v>63.72</v>
      </c>
      <c r="J28" s="14">
        <f>Лист1!AA22+Лист1!AB22</f>
        <v>105.27233237999998</v>
      </c>
      <c r="K28" s="14">
        <f>Лист1!Z22+Лист1!AC22+Лист1!AD22+Лист1!AE22+Лист1!AF22+Лист1!AG22+Лист1!AH22+Лист1!AI22+Лист1!AJ22</f>
        <v>361.25841812399995</v>
      </c>
      <c r="L28" s="31">
        <f>Лист1!AK22+Лист1!AL22+Лист1!AM22+Лист1!AQ22+Лист1!AR22</f>
        <v>0</v>
      </c>
      <c r="M28" s="31">
        <f>Лист1!AP22</f>
        <v>0</v>
      </c>
      <c r="N28" s="30">
        <f>Лист1!AS22</f>
        <v>530.2507505039999</v>
      </c>
      <c r="O28" s="73">
        <f>Лист1!AU22</f>
        <v>372.5092494960003</v>
      </c>
      <c r="P28" s="73">
        <f>Лист1!AV22</f>
        <v>-15.870000000000005</v>
      </c>
      <c r="Q28" s="1"/>
      <c r="R28" s="1"/>
    </row>
    <row r="29" spans="1:18" ht="12.75">
      <c r="A29" s="11" t="s">
        <v>35</v>
      </c>
      <c r="B29" s="81">
        <f>Лист1!B23</f>
        <v>106.2</v>
      </c>
      <c r="C29" s="27">
        <f>B29*8.65</f>
        <v>918.6300000000001</v>
      </c>
      <c r="D29" s="28">
        <f>Лист1!D23</f>
        <v>497.1700000000001</v>
      </c>
      <c r="E29" s="14">
        <f>Лист1!O23</f>
        <v>247.69</v>
      </c>
      <c r="F29" s="30">
        <f>Лист1!P23</f>
        <v>173.77</v>
      </c>
      <c r="G29" s="29">
        <f>Лист1!V23</f>
        <v>246.58</v>
      </c>
      <c r="H29" s="30">
        <f>Лист1!W23</f>
        <v>917.5200000000001</v>
      </c>
      <c r="I29" s="29">
        <f>Лист1!Y23</f>
        <v>63.72</v>
      </c>
      <c r="J29" s="14">
        <f>Лист1!AA23+Лист1!AB23</f>
        <v>106.51859999999999</v>
      </c>
      <c r="K29" s="14">
        <f>Лист1!Z23+Лист1!AC23+Лист1!AD23+Лист1!AE23+Лист1!AF23+Лист1!AG23+Лист1!AH23+Лист1!AI23+Лист1!AJ23</f>
        <v>364.60583999999994</v>
      </c>
      <c r="L29" s="31">
        <f>Лист1!AK23+Лист1!AL23+Лист1!AM23+Лист1!AQ23+Лист1!AR23</f>
        <v>0</v>
      </c>
      <c r="M29" s="31">
        <f>Лист1!AP23</f>
        <v>0</v>
      </c>
      <c r="N29" s="30">
        <f>Лист1!AS23</f>
        <v>534.8444400000001</v>
      </c>
      <c r="O29" s="73">
        <f>Лист1!AU23</f>
        <v>382.67556</v>
      </c>
      <c r="P29" s="73">
        <f>Лист1!AV23</f>
        <v>-1.1099999999999852</v>
      </c>
      <c r="Q29" s="1"/>
      <c r="R29" s="1"/>
    </row>
    <row r="30" spans="1:18" ht="12.75">
      <c r="A30" s="11" t="s">
        <v>36</v>
      </c>
      <c r="B30" s="81">
        <f>Лист1!B24</f>
        <v>106.2</v>
      </c>
      <c r="C30" s="27">
        <f t="shared" si="0"/>
        <v>918.6300000000001</v>
      </c>
      <c r="D30" s="28">
        <f>Лист1!D24</f>
        <v>497.1700000000001</v>
      </c>
      <c r="E30" s="14">
        <f>Лист1!O24</f>
        <v>247.69</v>
      </c>
      <c r="F30" s="30">
        <f>Лист1!P24</f>
        <v>173.77</v>
      </c>
      <c r="G30" s="29">
        <f>Лист1!V24</f>
        <v>257.71999999999997</v>
      </c>
      <c r="H30" s="30">
        <f>Лист1!W24</f>
        <v>928.6600000000001</v>
      </c>
      <c r="I30" s="29">
        <f>Лист1!Y24</f>
        <v>63.72</v>
      </c>
      <c r="J30" s="14">
        <f>Лист1!AA24+Лист1!AB24</f>
        <v>106.51859999999999</v>
      </c>
      <c r="K30" s="14">
        <f>Лист1!Z24+Лист1!AC24+Лист1!AD24+Лист1!AE24+Лист1!AF24+Лист1!AG24+Лист1!AH24+Лист1!AI24+Лист1!AJ24</f>
        <v>364.60583999999994</v>
      </c>
      <c r="L30" s="31">
        <f>Лист1!AK24+Лист1!AL24+Лист1!AM24+Лист1!AQ24+Лист1!AR24</f>
        <v>1288.3475999999998</v>
      </c>
      <c r="M30" s="31">
        <f>Лист1!AP24</f>
        <v>0</v>
      </c>
      <c r="N30" s="30">
        <f>Лист1!AS24</f>
        <v>1823.19204</v>
      </c>
      <c r="O30" s="73">
        <f>Лист1!AU24</f>
        <v>-894.5320399999998</v>
      </c>
      <c r="P30" s="73">
        <f>Лист1!AV24</f>
        <v>10.029999999999973</v>
      </c>
      <c r="Q30" s="1"/>
      <c r="R30" s="1"/>
    </row>
    <row r="31" spans="1:18" ht="13.5" thickBot="1">
      <c r="A31" s="32" t="s">
        <v>37</v>
      </c>
      <c r="B31" s="81">
        <f>Лист1!B25</f>
        <v>106.2</v>
      </c>
      <c r="C31" s="33">
        <f t="shared" si="0"/>
        <v>918.6300000000001</v>
      </c>
      <c r="D31" s="28">
        <f>Лист1!D25</f>
        <v>497.17000000000013</v>
      </c>
      <c r="E31" s="14">
        <f>Лист1!O25</f>
        <v>247.69</v>
      </c>
      <c r="F31" s="30">
        <f>Лист1!P25</f>
        <v>173.77</v>
      </c>
      <c r="G31" s="29">
        <f>Лист1!V25</f>
        <v>255.89999999999998</v>
      </c>
      <c r="H31" s="30">
        <f>Лист1!W25</f>
        <v>926.8400000000001</v>
      </c>
      <c r="I31" s="29">
        <f>Лист1!Y25</f>
        <v>63.72</v>
      </c>
      <c r="J31" s="14">
        <f>Лист1!AA25+Лист1!AB25</f>
        <v>106.51859999999999</v>
      </c>
      <c r="K31" s="14">
        <f>Лист1!Z25+Лист1!AC25+Лист1!AD25+Лист1!AE25+Лист1!AF25+Лист1!AG25+Лист1!AH25+Лист1!AI25+Лист1!AJ25</f>
        <v>364.60583999999994</v>
      </c>
      <c r="L31" s="31">
        <f>Лист1!AK25+Лист1!AL25+Лист1!AM25+Лист1!AQ25+Лист1!AR25</f>
        <v>0</v>
      </c>
      <c r="M31" s="31">
        <f>Лист1!AP25</f>
        <v>0</v>
      </c>
      <c r="N31" s="30">
        <f>Лист1!AS25</f>
        <v>534.8444400000001</v>
      </c>
      <c r="O31" s="73">
        <f>Лист1!AU25</f>
        <v>391.99556000000007</v>
      </c>
      <c r="P31" s="73">
        <f>Лист1!AV25</f>
        <v>8.20999999999998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11023.560000000005</v>
      </c>
      <c r="D32" s="66">
        <f t="shared" si="3"/>
        <v>4436.035000000002</v>
      </c>
      <c r="E32" s="36">
        <f t="shared" si="3"/>
        <v>2894.7200000000003</v>
      </c>
      <c r="F32" s="67">
        <f t="shared" si="3"/>
        <v>2007.9999999999998</v>
      </c>
      <c r="G32" s="66">
        <f t="shared" si="3"/>
        <v>2618.46</v>
      </c>
      <c r="H32" s="67">
        <f t="shared" si="3"/>
        <v>9062.495000000003</v>
      </c>
      <c r="I32" s="66">
        <f t="shared" si="3"/>
        <v>739.1520000000002</v>
      </c>
      <c r="J32" s="36">
        <f t="shared" si="3"/>
        <v>1224.4930877879997</v>
      </c>
      <c r="K32" s="36">
        <f t="shared" si="3"/>
        <v>4204.9275985584</v>
      </c>
      <c r="L32" s="36">
        <f>SUM(L20:L31)</f>
        <v>2716.1476</v>
      </c>
      <c r="M32" s="36">
        <f t="shared" si="3"/>
        <v>0</v>
      </c>
      <c r="N32" s="67">
        <f t="shared" si="3"/>
        <v>8884.7202863464</v>
      </c>
      <c r="O32" s="74">
        <f t="shared" si="3"/>
        <v>177.77471365360157</v>
      </c>
      <c r="P32" s="74">
        <f t="shared" si="3"/>
        <v>-276.25999999999993</v>
      </c>
      <c r="Q32" s="70"/>
      <c r="R32" s="70"/>
    </row>
    <row r="33" spans="1:18" ht="13.5" thickBot="1">
      <c r="A33" s="227" t="s">
        <v>63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78"/>
      <c r="Q33" s="1"/>
      <c r="R33" s="1"/>
    </row>
    <row r="34" spans="1:18" s="20" customFormat="1" ht="13.5" thickBot="1">
      <c r="A34" s="79" t="s">
        <v>48</v>
      </c>
      <c r="B34" s="38"/>
      <c r="C34" s="39">
        <f>C18+C32</f>
        <v>13779.450000000004</v>
      </c>
      <c r="D34" s="37">
        <f aca="true" t="shared" si="4" ref="D34:P34">D18+D32</f>
        <v>5098.386909300002</v>
      </c>
      <c r="E34" s="38">
        <f t="shared" si="4"/>
        <v>3543.3900000000003</v>
      </c>
      <c r="F34" s="39">
        <f t="shared" si="4"/>
        <v>2446.4199999999996</v>
      </c>
      <c r="G34" s="37">
        <f t="shared" si="4"/>
        <v>2809.81</v>
      </c>
      <c r="H34" s="39">
        <f t="shared" si="4"/>
        <v>10354.616909300003</v>
      </c>
      <c r="I34" s="37">
        <f t="shared" si="4"/>
        <v>930.3120000000001</v>
      </c>
      <c r="J34" s="38">
        <f t="shared" si="4"/>
        <v>1543.1466125879997</v>
      </c>
      <c r="K34" s="38">
        <f t="shared" si="4"/>
        <v>5109.4656391284</v>
      </c>
      <c r="L34" s="38">
        <f t="shared" si="4"/>
        <v>2996.9876</v>
      </c>
      <c r="M34" s="38">
        <f t="shared" si="4"/>
        <v>0</v>
      </c>
      <c r="N34" s="77">
        <f t="shared" si="4"/>
        <v>10579.9118517164</v>
      </c>
      <c r="O34" s="76">
        <f>O18+O32</f>
        <v>-225.29494241639838</v>
      </c>
      <c r="P34" s="76">
        <f t="shared" si="4"/>
        <v>-733.5799999999999</v>
      </c>
      <c r="Q34" s="71"/>
      <c r="R34" s="70"/>
    </row>
    <row r="35" spans="1:18" ht="12.75">
      <c r="A35" s="7" t="s">
        <v>85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8"/>
      <c r="N35" s="30"/>
      <c r="O35" s="73"/>
      <c r="P35" s="73"/>
      <c r="Q35" s="1"/>
      <c r="R35" s="1"/>
    </row>
    <row r="36" spans="1:18" ht="12.75">
      <c r="A36" s="11" t="s">
        <v>39</v>
      </c>
      <c r="B36" s="81">
        <f>Лист1!B30</f>
        <v>106.2</v>
      </c>
      <c r="C36" s="27">
        <f aca="true" t="shared" si="5" ref="C36:C47">B36*8.65</f>
        <v>918.6300000000001</v>
      </c>
      <c r="D36" s="28">
        <f>Лист1!D30</f>
        <v>497.17000000000013</v>
      </c>
      <c r="E36" s="14">
        <f>Лист1!O30</f>
        <v>247.69</v>
      </c>
      <c r="F36" s="30">
        <f>Лист1!P30</f>
        <v>173.77</v>
      </c>
      <c r="G36" s="29">
        <f>Лист1!V30</f>
        <v>254.62</v>
      </c>
      <c r="H36" s="30">
        <f>Лист1!W30</f>
        <v>925.5600000000002</v>
      </c>
      <c r="I36" s="29">
        <f>Лист1!Y30</f>
        <v>63.72</v>
      </c>
      <c r="J36" s="14">
        <f>Лист1!AA30+Лист1!AB30</f>
        <v>106.2</v>
      </c>
      <c r="K36" s="14">
        <f>Лист1!Z30+Лист1!AC30+Лист1!AD30+Лист1!AE30+Лист1!AF30+Лист1!AG30+Лист1!AH30+Лист1!AI30+Лист1!AJ30</f>
        <v>364.266</v>
      </c>
      <c r="L36" s="31">
        <f>Лист1!AK30+Лист1!AL30+Лист1!AM30+Лист1!AQ30+Лист1!AR30</f>
        <v>0</v>
      </c>
      <c r="M36" s="31">
        <f>Лист1!AP30</f>
        <v>0</v>
      </c>
      <c r="N36" s="30">
        <f>Лист1!AS30</f>
        <v>534.1860000000001</v>
      </c>
      <c r="O36" s="73">
        <f>Лист1!AU30</f>
        <v>391.374</v>
      </c>
      <c r="P36" s="73">
        <f>Лист1!AV30</f>
        <v>6.930000000000007</v>
      </c>
      <c r="Q36" s="1"/>
      <c r="R36" s="1"/>
    </row>
    <row r="37" spans="1:18" ht="12.75">
      <c r="A37" s="11" t="s">
        <v>40</v>
      </c>
      <c r="B37" s="81">
        <f>Лист1!B31</f>
        <v>106.2</v>
      </c>
      <c r="C37" s="27">
        <f t="shared" si="5"/>
        <v>918.6300000000001</v>
      </c>
      <c r="D37" s="28">
        <f>Лист1!D31</f>
        <v>497.17000000000013</v>
      </c>
      <c r="E37" s="14">
        <f>Лист1!O31</f>
        <v>247.69</v>
      </c>
      <c r="F37" s="30">
        <f>Лист1!P31</f>
        <v>173.77</v>
      </c>
      <c r="G37" s="29">
        <f>Лист1!V31</f>
        <v>253.76</v>
      </c>
      <c r="H37" s="30">
        <f>Лист1!W31</f>
        <v>924.7000000000002</v>
      </c>
      <c r="I37" s="29">
        <f>Лист1!Y31</f>
        <v>63.72</v>
      </c>
      <c r="J37" s="14">
        <f>Лист1!AA31+Лист1!AB31</f>
        <v>106.2</v>
      </c>
      <c r="K37" s="14">
        <f>Лист1!Z31+Лист1!AC31+Лист1!AD31+Лист1!AE31+Лист1!AF31+Лист1!AG31+Лист1!AH31+Лист1!AI31+Лист1!AJ31</f>
        <v>364.266</v>
      </c>
      <c r="L37" s="31">
        <f>Лист1!AK31+Лист1!AL31+Лист1!AM31+Лист1!AQ31+Лист1!AR31</f>
        <v>0</v>
      </c>
      <c r="M37" s="31">
        <f>Лист1!AP31</f>
        <v>0</v>
      </c>
      <c r="N37" s="30">
        <f>Лист1!AS31</f>
        <v>534.186</v>
      </c>
      <c r="O37" s="73">
        <f>Лист1!AU31</f>
        <v>390.5140000000001</v>
      </c>
      <c r="P37" s="73">
        <f>Лист1!AV31</f>
        <v>6.069999999999993</v>
      </c>
      <c r="Q37" s="1"/>
      <c r="R37" s="1"/>
    </row>
    <row r="38" spans="1:18" ht="12.75">
      <c r="A38" s="11" t="s">
        <v>41</v>
      </c>
      <c r="B38" s="81">
        <f>Лист1!B32</f>
        <v>106.2</v>
      </c>
      <c r="C38" s="27">
        <f t="shared" si="5"/>
        <v>918.6300000000001</v>
      </c>
      <c r="D38" s="28">
        <f>Лист1!D32</f>
        <v>497.17000000000013</v>
      </c>
      <c r="E38" s="14">
        <f>Лист1!O32</f>
        <v>247.69</v>
      </c>
      <c r="F38" s="30">
        <f>Лист1!P32</f>
        <v>173.77</v>
      </c>
      <c r="G38" s="29">
        <f>Лист1!V32</f>
        <v>253.16000000000003</v>
      </c>
      <c r="H38" s="30">
        <f>Лист1!W32</f>
        <v>924.1000000000001</v>
      </c>
      <c r="I38" s="29">
        <f>Лист1!Y32</f>
        <v>63.72</v>
      </c>
      <c r="J38" s="14">
        <f>Лист1!AA32+Лист1!AB32</f>
        <v>106.2</v>
      </c>
      <c r="K38" s="14">
        <f>Лист1!Z32+Лист1!AC32+Лист1!AD32+Лист1!AE32+Лист1!AF32+Лист1!AG32+Лист1!AH32+Лист1!AI32+Лист1!AJ32</f>
        <v>364.266</v>
      </c>
      <c r="L38" s="31">
        <f>Лист1!AK32+Лист1!AL32+Лист1!AM32+Лист1!AQ32+Лист1!AR32</f>
        <v>0</v>
      </c>
      <c r="M38" s="31">
        <f>Лист1!AP32</f>
        <v>0</v>
      </c>
      <c r="N38" s="30">
        <f>Лист1!AS32</f>
        <v>534.186</v>
      </c>
      <c r="O38" s="73">
        <f>Лист1!AU32</f>
        <v>389.9140000000001</v>
      </c>
      <c r="P38" s="73">
        <f>Лист1!AV32</f>
        <v>5.470000000000027</v>
      </c>
      <c r="Q38" s="1"/>
      <c r="R38" s="1"/>
    </row>
    <row r="39" spans="1:18" ht="12.75">
      <c r="A39" s="11" t="s">
        <v>42</v>
      </c>
      <c r="B39" s="81">
        <f>Лист1!B33</f>
        <v>106.2</v>
      </c>
      <c r="C39" s="27">
        <f t="shared" si="5"/>
        <v>918.6300000000001</v>
      </c>
      <c r="D39" s="28">
        <f>Лист1!D33</f>
        <v>497.17000000000013</v>
      </c>
      <c r="E39" s="14">
        <f>Лист1!O33</f>
        <v>247.69</v>
      </c>
      <c r="F39" s="30">
        <f>Лист1!P33</f>
        <v>173.77</v>
      </c>
      <c r="G39" s="29">
        <f>Лист1!V33</f>
        <v>253.32999999999998</v>
      </c>
      <c r="H39" s="30">
        <f>Лист1!W33</f>
        <v>924.2700000000002</v>
      </c>
      <c r="I39" s="29">
        <f>Лист1!Y33</f>
        <v>63.72</v>
      </c>
      <c r="J39" s="14">
        <f>Лист1!AA33+Лист1!AB33</f>
        <v>106.2</v>
      </c>
      <c r="K39" s="14">
        <f>Лист1!Z33+Лист1!AC33+Лист1!AD33+Лист1!AE33+Лист1!AF33+Лист1!AG33+Лист1!AH33+Лист1!AI33+Лист1!AJ33</f>
        <v>364.266</v>
      </c>
      <c r="L39" s="31">
        <f>Лист1!AK33+Лист1!AL33+Лист1!AM33+Лист1!AQ33+Лист1!AR33</f>
        <v>0</v>
      </c>
      <c r="M39" s="31">
        <f>Лист1!AP33</f>
        <v>0</v>
      </c>
      <c r="N39" s="30">
        <f>Лист1!AS33</f>
        <v>534.186</v>
      </c>
      <c r="O39" s="73">
        <f>Лист1!AU33</f>
        <v>390.0840000000002</v>
      </c>
      <c r="P39" s="73">
        <f>Лист1!AV33</f>
        <v>5.639999999999986</v>
      </c>
      <c r="Q39" s="1"/>
      <c r="R39" s="1"/>
    </row>
    <row r="40" spans="1:18" ht="12.75">
      <c r="A40" s="11" t="s">
        <v>43</v>
      </c>
      <c r="B40" s="81">
        <f>Лист1!B34</f>
        <v>106.2</v>
      </c>
      <c r="C40" s="27">
        <f t="shared" si="5"/>
        <v>918.6300000000001</v>
      </c>
      <c r="D40" s="28">
        <f>Лист1!D34</f>
        <v>497.15000000000015</v>
      </c>
      <c r="E40" s="14">
        <f>Лист1!O34</f>
        <v>247.71</v>
      </c>
      <c r="F40" s="30">
        <f>Лист1!P34</f>
        <v>173.77</v>
      </c>
      <c r="G40" s="29">
        <f>Лист1!V34</f>
        <v>252.98000000000002</v>
      </c>
      <c r="H40" s="30">
        <f>Лист1!W34</f>
        <v>923.9000000000002</v>
      </c>
      <c r="I40" s="29">
        <f>Лист1!Y34</f>
        <v>63.72</v>
      </c>
      <c r="J40" s="14">
        <f>Лист1!AA34+Лист1!AB34</f>
        <v>106.2</v>
      </c>
      <c r="K40" s="14">
        <f>Лист1!Z34+Лист1!AC34+Лист1!AD34+Лист1!AE34+Лист1!AF34+Лист1!AG34+Лист1!AH34+Лист1!AI34+Лист1!AJ34</f>
        <v>364.266</v>
      </c>
      <c r="L40" s="31">
        <f>Лист1!AK34+Лист1!AL34+Лист1!AM34+Лист1!AQ34+Лист1!AR34</f>
        <v>0</v>
      </c>
      <c r="M40" s="31">
        <f>Лист1!AP34</f>
        <v>0</v>
      </c>
      <c r="N40" s="30">
        <f>Лист1!AS34</f>
        <v>534.186</v>
      </c>
      <c r="O40" s="73">
        <f>Лист1!AU34</f>
        <v>389.71400000000017</v>
      </c>
      <c r="P40" s="73">
        <f>Лист1!AV34</f>
        <v>5.27000000000001</v>
      </c>
      <c r="Q40" s="1"/>
      <c r="R40" s="1"/>
    </row>
    <row r="41" spans="1:18" ht="12.75">
      <c r="A41" s="11" t="s">
        <v>44</v>
      </c>
      <c r="B41" s="81">
        <f>Лист1!B35</f>
        <v>106.2</v>
      </c>
      <c r="C41" s="27">
        <f t="shared" si="5"/>
        <v>918.6300000000001</v>
      </c>
      <c r="D41" s="28">
        <f>Лист1!D35</f>
        <v>398.3574625000001</v>
      </c>
      <c r="E41" s="14">
        <f>Лист1!O35</f>
        <v>247.69</v>
      </c>
      <c r="F41" s="30">
        <f>Лист1!P35</f>
        <v>173.77</v>
      </c>
      <c r="G41" s="29">
        <f>Лист1!V35</f>
        <v>250.25</v>
      </c>
      <c r="H41" s="30">
        <f>Лист1!W35</f>
        <v>822.3774625000001</v>
      </c>
      <c r="I41" s="29">
        <f>Лист1!Y35</f>
        <v>63.72</v>
      </c>
      <c r="J41" s="14">
        <f>Лист1!AA35+Лист1!AB35</f>
        <v>106.2</v>
      </c>
      <c r="K41" s="14">
        <f>Лист1!Z35+Лист1!AC35+Лист1!AD35+Лист1!AE35+Лист1!AF35+Лист1!AG35+Лист1!AH35+Лист1!AI35+Лист1!AJ35</f>
        <v>364.266</v>
      </c>
      <c r="L41" s="31">
        <f>Лист1!AK35+Лист1!AL35+Лист1!AM35+Лист1!AQ35+Лист1!AR35</f>
        <v>0</v>
      </c>
      <c r="M41" s="31">
        <f>Лист1!AP35</f>
        <v>0</v>
      </c>
      <c r="N41" s="30">
        <f>Лист1!AS35</f>
        <v>534.186</v>
      </c>
      <c r="O41" s="73">
        <f>Лист1!AU35</f>
        <v>288.19146250000006</v>
      </c>
      <c r="P41" s="73">
        <f>Лист1!AV35</f>
        <v>2.5600000000000023</v>
      </c>
      <c r="Q41" s="1"/>
      <c r="R41" s="1"/>
    </row>
    <row r="42" spans="1:18" ht="12.75">
      <c r="A42" s="11" t="s">
        <v>45</v>
      </c>
      <c r="B42" s="81">
        <f>Лист1!B36</f>
        <v>106.2</v>
      </c>
      <c r="C42" s="27">
        <f t="shared" si="5"/>
        <v>918.6300000000001</v>
      </c>
      <c r="D42" s="28">
        <f>Лист1!D36</f>
        <v>398.92792500000013</v>
      </c>
      <c r="E42" s="14">
        <f>Лист1!O36</f>
        <v>423.63</v>
      </c>
      <c r="F42" s="30">
        <f>Лист1!P36</f>
        <v>0</v>
      </c>
      <c r="G42" s="29">
        <f>Лист1!V36</f>
        <v>230.98000000000002</v>
      </c>
      <c r="H42" s="30">
        <f>Лист1!W36</f>
        <v>629.9079250000002</v>
      </c>
      <c r="I42" s="29">
        <f>Лист1!Y36</f>
        <v>63.72</v>
      </c>
      <c r="J42" s="14">
        <f>Лист1!AA36+Лист1!AB36</f>
        <v>106.2</v>
      </c>
      <c r="K42" s="14">
        <f>Лист1!Z36+Лист1!AC36+Лист1!AD36+Лист1!AE36+Лист1!AF36+Лист1!AG36+Лист1!AH36+Лист1!AI36+Лист1!AJ36</f>
        <v>364.266</v>
      </c>
      <c r="L42" s="31">
        <f>Лист1!AK36+Лист1!AL36+Лист1!AM36+Лист1!AQ36+Лист1!AR36</f>
        <v>0</v>
      </c>
      <c r="M42" s="31">
        <f>Лист1!AP36</f>
        <v>0</v>
      </c>
      <c r="N42" s="30">
        <f>Лист1!AS36</f>
        <v>534.186</v>
      </c>
      <c r="O42" s="73">
        <f>Лист1!AU36</f>
        <v>95.72192500000017</v>
      </c>
      <c r="P42" s="73">
        <f>Лист1!AV36</f>
        <v>-192.64999999999998</v>
      </c>
      <c r="Q42" s="1"/>
      <c r="R42" s="1"/>
    </row>
    <row r="43" spans="1:18" ht="12.75">
      <c r="A43" s="11" t="s">
        <v>46</v>
      </c>
      <c r="B43" s="81">
        <f>Лист1!B37</f>
        <v>106.2</v>
      </c>
      <c r="C43" s="27">
        <f t="shared" si="5"/>
        <v>918.6300000000001</v>
      </c>
      <c r="D43" s="28">
        <f>Лист1!D37</f>
        <v>424.5699150000001</v>
      </c>
      <c r="E43" s="14">
        <f>Лист1!O37</f>
        <v>423.63</v>
      </c>
      <c r="F43" s="30">
        <f>Лист1!P37</f>
        <v>0</v>
      </c>
      <c r="G43" s="29">
        <f>Лист1!V37</f>
        <v>407.32000000000005</v>
      </c>
      <c r="H43" s="30">
        <f>Лист1!W37</f>
        <v>831.8899150000002</v>
      </c>
      <c r="I43" s="29">
        <f>Лист1!Y37</f>
        <v>63.72</v>
      </c>
      <c r="J43" s="14">
        <f>Лист1!AA37+Лист1!AB37</f>
        <v>106.2</v>
      </c>
      <c r="K43" s="14">
        <f>Лист1!Z37+Лист1!AC37+Лист1!AD37+Лист1!AE37+Лист1!AF37+Лист1!AG37+Лист1!AH37+Лист1!AI37+Лист1!AJ37</f>
        <v>364.266</v>
      </c>
      <c r="L43" s="31">
        <f>Лист1!AK37+Лист1!AL37+Лист1!AM37+Лист1!AQ37+Лист1!AR37</f>
        <v>47.8</v>
      </c>
      <c r="M43" s="31">
        <f>Лист1!AP37</f>
        <v>0</v>
      </c>
      <c r="N43" s="30">
        <f>Лист1!AS37</f>
        <v>581.986</v>
      </c>
      <c r="O43" s="73">
        <f>Лист1!AU37</f>
        <v>249.9039150000002</v>
      </c>
      <c r="P43" s="73">
        <f>Лист1!AV37</f>
        <v>-16.309999999999945</v>
      </c>
      <c r="Q43" s="1"/>
      <c r="R43" s="1"/>
    </row>
    <row r="44" spans="1:18" ht="12.75">
      <c r="A44" s="11" t="s">
        <v>47</v>
      </c>
      <c r="B44" s="81">
        <f>Лист1!B38</f>
        <v>106.2</v>
      </c>
      <c r="C44" s="27">
        <f t="shared" si="5"/>
        <v>918.6300000000001</v>
      </c>
      <c r="D44" s="28">
        <f>Лист1!D38</f>
        <v>433.38735000000014</v>
      </c>
      <c r="E44" s="14">
        <f>Лист1!O38</f>
        <v>423.63</v>
      </c>
      <c r="F44" s="30">
        <f>Лист1!P38</f>
        <v>0</v>
      </c>
      <c r="G44" s="29">
        <f>Лист1!V38</f>
        <v>413.15</v>
      </c>
      <c r="H44" s="30">
        <f>Лист1!W38</f>
        <v>846.5373500000001</v>
      </c>
      <c r="I44" s="29">
        <f>Лист1!Y38</f>
        <v>63.72</v>
      </c>
      <c r="J44" s="14">
        <f>Лист1!AA38+Лист1!AB38</f>
        <v>106.2</v>
      </c>
      <c r="K44" s="14">
        <f>Лист1!Z38+Лист1!AC38+Лист1!AD38+Лист1!AE38+Лист1!AF38+Лист1!AG38+Лист1!AH38+Лист1!AI38+Лист1!AJ38</f>
        <v>364.266</v>
      </c>
      <c r="L44" s="31">
        <f>Лист1!AK38+Лист1!AL38+Лист1!AM38+Лист1!AQ38+Лист1!AR38</f>
        <v>0</v>
      </c>
      <c r="M44" s="31">
        <f>Лист1!AP38</f>
        <v>0</v>
      </c>
      <c r="N44" s="30">
        <f>Лист1!AS38</f>
        <v>534.186</v>
      </c>
      <c r="O44" s="73">
        <f>Лист1!AU38</f>
        <v>312.35135</v>
      </c>
      <c r="P44" s="73">
        <f>Лист1!AV38</f>
        <v>-10.480000000000018</v>
      </c>
      <c r="Q44" s="1"/>
      <c r="R44" s="1"/>
    </row>
    <row r="45" spans="1:18" ht="12.75">
      <c r="A45" s="11" t="s">
        <v>35</v>
      </c>
      <c r="B45" s="81">
        <f>Лист1!B39</f>
        <v>106.2</v>
      </c>
      <c r="C45" s="27">
        <f>B45*8.65</f>
        <v>918.6300000000001</v>
      </c>
      <c r="D45" s="28">
        <f>Лист1!D39</f>
        <v>401.5974600000001</v>
      </c>
      <c r="E45" s="14">
        <f>Лист1!O39</f>
        <v>423.63</v>
      </c>
      <c r="F45" s="30">
        <f>Лист1!P39</f>
        <v>0</v>
      </c>
      <c r="G45" s="29">
        <f>Лист1!V39</f>
        <v>422.36</v>
      </c>
      <c r="H45" s="30">
        <f>Лист1!W39</f>
        <v>823.9574600000001</v>
      </c>
      <c r="I45" s="29">
        <f>Лист1!Y39</f>
        <v>63.72</v>
      </c>
      <c r="J45" s="14">
        <f>Лист1!AA39+Лист1!AB39</f>
        <v>106.2</v>
      </c>
      <c r="K45" s="14">
        <f>Лист1!Z39+Лист1!AC39+Лист1!AD39+Лист1!AE39+Лист1!AF39+Лист1!AG39+Лист1!AH39+Лист1!AI39+Лист1!AJ39</f>
        <v>364.266</v>
      </c>
      <c r="L45" s="31">
        <f>Лист1!AK39+Лист1!AL39+Лист1!AM39+Лист1!AQ39+Лист1!AR39</f>
        <v>0</v>
      </c>
      <c r="M45" s="31">
        <f>Лист1!AP39</f>
        <v>0</v>
      </c>
      <c r="N45" s="30">
        <f>Лист1!AS39</f>
        <v>534.186</v>
      </c>
      <c r="O45" s="73">
        <f>Лист1!AU39</f>
        <v>289.77146000000005</v>
      </c>
      <c r="P45" s="73">
        <f>Лист1!AV39</f>
        <v>-1.2699999999999818</v>
      </c>
      <c r="Q45" s="1"/>
      <c r="R45" s="1"/>
    </row>
    <row r="46" spans="1:18" ht="12.75">
      <c r="A46" s="11" t="s">
        <v>36</v>
      </c>
      <c r="B46" s="81">
        <f>Лист1!B40</f>
        <v>106.2</v>
      </c>
      <c r="C46" s="27">
        <f t="shared" si="5"/>
        <v>918.6300000000001</v>
      </c>
      <c r="D46" s="28">
        <f>Лист1!D40</f>
        <v>430.98610500000007</v>
      </c>
      <c r="E46" s="14">
        <f>Лист1!O40</f>
        <v>423.63</v>
      </c>
      <c r="F46" s="30">
        <f>Лист1!P40</f>
        <v>0</v>
      </c>
      <c r="G46" s="29">
        <f>Лист1!V40</f>
        <v>456.01</v>
      </c>
      <c r="H46" s="30">
        <f>Лист1!W40</f>
        <v>886.9961050000001</v>
      </c>
      <c r="I46" s="29">
        <f>Лист1!Y40</f>
        <v>63.72</v>
      </c>
      <c r="J46" s="14">
        <f>Лист1!AA40+Лист1!AB40</f>
        <v>106.2</v>
      </c>
      <c r="K46" s="14">
        <f>Лист1!Z40+Лист1!AC40+Лист1!AD40+Лист1!AE40+Лист1!AF40+Лист1!AG40+Лист1!AH40+Лист1!AI40+Лист1!AJ40</f>
        <v>364.266</v>
      </c>
      <c r="L46" s="31">
        <f>Лист1!AK40+Лист1!AL40+Лист1!AM40+Лист1!AQ40+Лист1!AR40</f>
        <v>0</v>
      </c>
      <c r="M46" s="31">
        <f>Лист1!AP40</f>
        <v>0</v>
      </c>
      <c r="N46" s="30">
        <f>Лист1!AS40</f>
        <v>534.186</v>
      </c>
      <c r="O46" s="73">
        <f>Лист1!AU40</f>
        <v>352.810105</v>
      </c>
      <c r="P46" s="73">
        <f>Лист1!AV40</f>
        <v>32.379999999999995</v>
      </c>
      <c r="Q46" s="1"/>
      <c r="R46" s="1"/>
    </row>
    <row r="47" spans="1:18" ht="13.5" thickBot="1">
      <c r="A47" s="32" t="s">
        <v>37</v>
      </c>
      <c r="B47" s="81">
        <f>Лист1!B41</f>
        <v>106.2</v>
      </c>
      <c r="C47" s="33">
        <f t="shared" si="5"/>
        <v>918.6300000000001</v>
      </c>
      <c r="D47" s="28">
        <f>Лист1!D41</f>
        <v>452.9052000000001</v>
      </c>
      <c r="E47" s="14">
        <f>Лист1!O41</f>
        <v>423.63</v>
      </c>
      <c r="F47" s="30">
        <f>Лист1!P41</f>
        <v>0</v>
      </c>
      <c r="G47" s="29">
        <f>Лист1!V41</f>
        <v>444.26</v>
      </c>
      <c r="H47" s="30">
        <f>Лист1!W41</f>
        <v>897.1652000000001</v>
      </c>
      <c r="I47" s="29">
        <f>Лист1!Y41</f>
        <v>63.72</v>
      </c>
      <c r="J47" s="14">
        <f>Лист1!AA41+Лист1!AB41</f>
        <v>106.2</v>
      </c>
      <c r="K47" s="14">
        <f>Лист1!Z41+Лист1!AC41+Лист1!AD41+Лист1!AE41+Лист1!AF41+Лист1!AG41+Лист1!AH41+Лист1!AI41+Лист1!AJ41</f>
        <v>364.266</v>
      </c>
      <c r="L47" s="31">
        <f>Лист1!AK41+Лист1!AL41+Лист1!AM41+Лист1!AQ41+Лист1!AR41</f>
        <v>0</v>
      </c>
      <c r="M47" s="31">
        <f>Лист1!AP41</f>
        <v>0</v>
      </c>
      <c r="N47" s="30">
        <f>Лист1!AS41</f>
        <v>534.186</v>
      </c>
      <c r="O47" s="73">
        <f>Лист1!AU41</f>
        <v>362.9792000000001</v>
      </c>
      <c r="P47" s="73">
        <f>Лист1!AV41</f>
        <v>20.629999999999995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11023.560000000005</v>
      </c>
      <c r="D48" s="66">
        <f t="shared" si="6"/>
        <v>5426.561417500001</v>
      </c>
      <c r="E48" s="36">
        <f t="shared" si="6"/>
        <v>4027.9400000000005</v>
      </c>
      <c r="F48" s="67">
        <f t="shared" si="6"/>
        <v>1042.6200000000001</v>
      </c>
      <c r="G48" s="66">
        <f t="shared" si="6"/>
        <v>3892.1800000000003</v>
      </c>
      <c r="H48" s="67">
        <f t="shared" si="6"/>
        <v>10361.361417500002</v>
      </c>
      <c r="I48" s="66">
        <f t="shared" si="6"/>
        <v>764.6400000000002</v>
      </c>
      <c r="J48" s="36">
        <f t="shared" si="6"/>
        <v>1274.4000000000003</v>
      </c>
      <c r="K48" s="36">
        <f t="shared" si="6"/>
        <v>4371.192</v>
      </c>
      <c r="L48" s="36">
        <f t="shared" si="6"/>
        <v>47.8</v>
      </c>
      <c r="M48" s="36">
        <f t="shared" si="6"/>
        <v>0</v>
      </c>
      <c r="N48" s="67">
        <f t="shared" si="6"/>
        <v>6458.032</v>
      </c>
      <c r="O48" s="74">
        <f t="shared" si="6"/>
        <v>3903.3294175000015</v>
      </c>
      <c r="P48" s="74">
        <f t="shared" si="6"/>
        <v>-135.7599999999999</v>
      </c>
      <c r="Q48" s="70"/>
      <c r="R48" s="70"/>
    </row>
    <row r="49" spans="1:18" ht="13.5" thickBot="1">
      <c r="A49" s="227" t="s">
        <v>63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78"/>
      <c r="Q49" s="1"/>
      <c r="R49" s="1"/>
    </row>
    <row r="50" spans="1:18" s="20" customFormat="1" ht="13.5" thickBot="1">
      <c r="A50" s="79" t="s">
        <v>48</v>
      </c>
      <c r="B50" s="38"/>
      <c r="C50" s="39">
        <f>C34+C48</f>
        <v>24803.01000000001</v>
      </c>
      <c r="D50" s="37">
        <f aca="true" t="shared" si="7" ref="D50:N50">D34+D48</f>
        <v>10524.948326800004</v>
      </c>
      <c r="E50" s="38">
        <f t="shared" si="7"/>
        <v>7571.330000000001</v>
      </c>
      <c r="F50" s="39">
        <f t="shared" si="7"/>
        <v>3489.04</v>
      </c>
      <c r="G50" s="37">
        <f t="shared" si="7"/>
        <v>6701.99</v>
      </c>
      <c r="H50" s="39">
        <f t="shared" si="7"/>
        <v>20715.978326800003</v>
      </c>
      <c r="I50" s="37">
        <f t="shared" si="7"/>
        <v>1694.9520000000002</v>
      </c>
      <c r="J50" s="38">
        <f t="shared" si="7"/>
        <v>2817.5466125880002</v>
      </c>
      <c r="K50" s="38">
        <f t="shared" si="7"/>
        <v>9480.6576391284</v>
      </c>
      <c r="L50" s="38">
        <f t="shared" si="7"/>
        <v>3044.7876</v>
      </c>
      <c r="M50" s="38">
        <f t="shared" si="7"/>
        <v>0</v>
      </c>
      <c r="N50" s="77">
        <f t="shared" si="7"/>
        <v>17037.9438517164</v>
      </c>
      <c r="O50" s="76">
        <f>O34+O48</f>
        <v>3678.034475083603</v>
      </c>
      <c r="P50" s="76">
        <f>P34+P48</f>
        <v>-869.3399999999998</v>
      </c>
      <c r="Q50" s="71"/>
      <c r="R50" s="70"/>
    </row>
    <row r="52" spans="1:18" ht="12.75">
      <c r="A52" s="20" t="s">
        <v>81</v>
      </c>
      <c r="D52" s="82" t="s">
        <v>87</v>
      </c>
      <c r="Q52" s="1"/>
      <c r="R52" s="1"/>
    </row>
    <row r="53" spans="1:18" ht="12.75">
      <c r="A53" s="21" t="s">
        <v>64</v>
      </c>
      <c r="B53" s="21" t="s">
        <v>65</v>
      </c>
      <c r="C53" s="231" t="s">
        <v>66</v>
      </c>
      <c r="D53" s="231"/>
      <c r="Q53" s="1"/>
      <c r="R53" s="1"/>
    </row>
    <row r="54" spans="1:18" ht="12.75">
      <c r="A54" s="108">
        <v>5017.64</v>
      </c>
      <c r="B54" s="108">
        <v>7790</v>
      </c>
      <c r="C54" s="229">
        <f>A54-B54</f>
        <v>-2772.3599999999997</v>
      </c>
      <c r="D54" s="230"/>
      <c r="Q54" s="1"/>
      <c r="R54" s="1"/>
    </row>
    <row r="55" spans="17:18" ht="12.75">
      <c r="Q55" s="1"/>
      <c r="R55" s="1"/>
    </row>
    <row r="56" spans="1:18" ht="12.75">
      <c r="A56" s="2" t="s">
        <v>69</v>
      </c>
      <c r="G56" s="2" t="s">
        <v>70</v>
      </c>
      <c r="Q56" s="1"/>
      <c r="R56" s="1"/>
    </row>
    <row r="57" ht="12.75">
      <c r="A57" s="1"/>
    </row>
    <row r="58" ht="12.75">
      <c r="A58" s="1"/>
    </row>
    <row r="59" ht="12.75">
      <c r="A59" s="2" t="s">
        <v>80</v>
      </c>
    </row>
    <row r="60" ht="12.75">
      <c r="A60" s="2" t="s">
        <v>71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2" topLeftCell="P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0" sqref="AC10:AC21"/>
    </sheetView>
  </sheetViews>
  <sheetFormatPr defaultColWidth="9.00390625" defaultRowHeight="12.75"/>
  <cols>
    <col min="1" max="1" width="8.75390625" style="243" bestFit="1" customWidth="1"/>
    <col min="2" max="2" width="9.125" style="243" customWidth="1"/>
    <col min="3" max="3" width="10.125" style="243" customWidth="1"/>
    <col min="4" max="4" width="10.375" style="243" customWidth="1"/>
    <col min="5" max="5" width="11.125" style="243" customWidth="1"/>
    <col min="6" max="6" width="10.875" style="243" customWidth="1"/>
    <col min="7" max="8" width="12.125" style="243" customWidth="1"/>
    <col min="9" max="9" width="12.00390625" style="243" customWidth="1"/>
    <col min="10" max="10" width="11.125" style="243" customWidth="1"/>
    <col min="11" max="11" width="11.00390625" style="243" customWidth="1"/>
    <col min="12" max="12" width="12.375" style="243" customWidth="1"/>
    <col min="13" max="13" width="10.125" style="243" bestFit="1" customWidth="1"/>
    <col min="14" max="14" width="15.625" style="243" customWidth="1"/>
    <col min="15" max="15" width="16.375" style="243" customWidth="1"/>
    <col min="16" max="16" width="14.625" style="243" customWidth="1"/>
    <col min="17" max="17" width="11.625" style="243" customWidth="1"/>
    <col min="18" max="18" width="11.25390625" style="243" customWidth="1"/>
    <col min="19" max="19" width="10.625" style="243" customWidth="1"/>
    <col min="20" max="20" width="9.25390625" style="243" customWidth="1"/>
    <col min="21" max="21" width="10.125" style="243" bestFit="1" customWidth="1"/>
    <col min="22" max="22" width="10.125" style="243" customWidth="1"/>
    <col min="23" max="23" width="12.625" style="243" customWidth="1"/>
    <col min="24" max="24" width="9.25390625" style="243" bestFit="1" customWidth="1"/>
    <col min="25" max="25" width="11.625" style="243" customWidth="1"/>
    <col min="26" max="26" width="9.25390625" style="243" customWidth="1"/>
    <col min="27" max="27" width="10.625" style="243" customWidth="1"/>
    <col min="28" max="28" width="10.75390625" style="243" customWidth="1"/>
    <col min="29" max="29" width="12.125" style="243" customWidth="1"/>
    <col min="30" max="30" width="11.75390625" style="243" customWidth="1"/>
    <col min="31" max="32" width="10.375" style="243" customWidth="1"/>
    <col min="33" max="33" width="10.75390625" style="243" customWidth="1"/>
    <col min="34" max="34" width="9.125" style="243" customWidth="1"/>
    <col min="35" max="35" width="10.125" style="243" bestFit="1" customWidth="1"/>
    <col min="36" max="36" width="9.125" style="243" customWidth="1"/>
    <col min="37" max="37" width="9.75390625" style="243" bestFit="1" customWidth="1"/>
    <col min="38" max="16384" width="9.125" style="243" customWidth="1"/>
  </cols>
  <sheetData>
    <row r="1" spans="1:16" ht="21" customHeight="1">
      <c r="A1" s="155" t="s">
        <v>104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242"/>
    </row>
    <row r="2" spans="1:16" ht="15" customHeight="1">
      <c r="A2" s="242"/>
      <c r="B2" s="244"/>
      <c r="C2" s="245"/>
      <c r="D2" s="245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13.5" thickBot="1"/>
    <row r="4" spans="1:29" ht="31.5" customHeight="1" thickBot="1">
      <c r="A4" s="156" t="s">
        <v>0</v>
      </c>
      <c r="B4" s="246" t="s">
        <v>1</v>
      </c>
      <c r="C4" s="247" t="s">
        <v>2</v>
      </c>
      <c r="D4" s="248" t="s">
        <v>3</v>
      </c>
      <c r="E4" s="249" t="s">
        <v>88</v>
      </c>
      <c r="F4" s="250"/>
      <c r="G4" s="220"/>
      <c r="H4" s="220" t="s">
        <v>89</v>
      </c>
      <c r="I4" s="251" t="s">
        <v>5</v>
      </c>
      <c r="J4" s="252" t="s">
        <v>6</v>
      </c>
      <c r="K4" s="253"/>
      <c r="L4" s="254"/>
      <c r="M4" s="255" t="s">
        <v>23</v>
      </c>
      <c r="N4" s="177" t="s">
        <v>90</v>
      </c>
      <c r="O4" s="256" t="s">
        <v>67</v>
      </c>
      <c r="P4" s="257" t="s">
        <v>8</v>
      </c>
      <c r="Q4" s="258"/>
      <c r="R4" s="258"/>
      <c r="S4" s="258"/>
      <c r="T4" s="258"/>
      <c r="U4" s="258"/>
      <c r="V4" s="258"/>
      <c r="W4" s="258"/>
      <c r="X4" s="258"/>
      <c r="Y4" s="259"/>
      <c r="Z4" s="193" t="s">
        <v>91</v>
      </c>
      <c r="AA4" s="195"/>
      <c r="AB4" s="260" t="s">
        <v>9</v>
      </c>
      <c r="AC4" s="260" t="s">
        <v>10</v>
      </c>
    </row>
    <row r="5" spans="1:29" ht="20.25" customHeight="1" thickBot="1">
      <c r="A5" s="157"/>
      <c r="B5" s="261"/>
      <c r="C5" s="262"/>
      <c r="D5" s="263"/>
      <c r="E5" s="264"/>
      <c r="F5" s="265"/>
      <c r="G5" s="266"/>
      <c r="H5" s="212"/>
      <c r="I5" s="267"/>
      <c r="J5" s="268"/>
      <c r="K5" s="269"/>
      <c r="L5" s="270"/>
      <c r="M5" s="271"/>
      <c r="N5" s="178"/>
      <c r="O5" s="272"/>
      <c r="P5" s="273"/>
      <c r="Q5" s="274"/>
      <c r="R5" s="274"/>
      <c r="S5" s="274"/>
      <c r="T5" s="274"/>
      <c r="U5" s="274"/>
      <c r="V5" s="274"/>
      <c r="W5" s="274"/>
      <c r="X5" s="274"/>
      <c r="Y5" s="275"/>
      <c r="Z5" s="276" t="s">
        <v>68</v>
      </c>
      <c r="AA5" s="256" t="s">
        <v>92</v>
      </c>
      <c r="AB5" s="277"/>
      <c r="AC5" s="277"/>
    </row>
    <row r="6" spans="1:29" ht="27" customHeight="1">
      <c r="A6" s="157"/>
      <c r="B6" s="261"/>
      <c r="C6" s="262"/>
      <c r="D6" s="263"/>
      <c r="E6" s="249" t="s">
        <v>93</v>
      </c>
      <c r="F6" s="251" t="s">
        <v>13</v>
      </c>
      <c r="G6" s="251" t="s">
        <v>15</v>
      </c>
      <c r="H6" s="212"/>
      <c r="I6" s="267"/>
      <c r="J6" s="278" t="s">
        <v>93</v>
      </c>
      <c r="K6" s="267" t="s">
        <v>13</v>
      </c>
      <c r="L6" s="279" t="s">
        <v>15</v>
      </c>
      <c r="M6" s="271"/>
      <c r="N6" s="178"/>
      <c r="O6" s="272"/>
      <c r="P6" s="280" t="s">
        <v>24</v>
      </c>
      <c r="Q6" s="281" t="s">
        <v>25</v>
      </c>
      <c r="R6" s="281" t="s">
        <v>93</v>
      </c>
      <c r="S6" s="169" t="s">
        <v>94</v>
      </c>
      <c r="T6" s="187" t="s">
        <v>95</v>
      </c>
      <c r="U6" s="187" t="s">
        <v>96</v>
      </c>
      <c r="V6" s="256" t="s">
        <v>97</v>
      </c>
      <c r="W6" s="256" t="s">
        <v>32</v>
      </c>
      <c r="X6" s="256" t="s">
        <v>27</v>
      </c>
      <c r="Y6" s="282" t="s">
        <v>33</v>
      </c>
      <c r="Z6" s="283"/>
      <c r="AA6" s="272"/>
      <c r="AB6" s="277"/>
      <c r="AC6" s="277"/>
    </row>
    <row r="7" spans="1:29" ht="26.25" customHeight="1" thickBot="1">
      <c r="A7" s="232"/>
      <c r="B7" s="261"/>
      <c r="C7" s="262"/>
      <c r="D7" s="263"/>
      <c r="E7" s="284"/>
      <c r="F7" s="267"/>
      <c r="G7" s="285"/>
      <c r="H7" s="222"/>
      <c r="I7" s="267"/>
      <c r="J7" s="284"/>
      <c r="K7" s="267"/>
      <c r="L7" s="279"/>
      <c r="M7" s="271"/>
      <c r="N7" s="178"/>
      <c r="O7" s="272"/>
      <c r="P7" s="286"/>
      <c r="Q7" s="287"/>
      <c r="R7" s="287"/>
      <c r="S7" s="288"/>
      <c r="T7" s="289"/>
      <c r="U7" s="289"/>
      <c r="V7" s="290"/>
      <c r="W7" s="272"/>
      <c r="X7" s="272"/>
      <c r="Y7" s="291"/>
      <c r="Z7" s="283"/>
      <c r="AA7" s="272"/>
      <c r="AB7" s="277"/>
      <c r="AC7" s="277"/>
    </row>
    <row r="8" spans="1:51" s="20" customFormat="1" ht="13.5" thickBot="1">
      <c r="A8" s="292" t="s">
        <v>48</v>
      </c>
      <c r="B8" s="23"/>
      <c r="C8" s="23">
        <f>Лист1!C44</f>
        <v>24803.01000000001</v>
      </c>
      <c r="D8" s="23">
        <f>Лист1!D44</f>
        <v>10524.948326800004</v>
      </c>
      <c r="E8" s="49">
        <f>Лист1!E44+Лист1!G44+Лист1!K44</f>
        <v>4010.3999999999996</v>
      </c>
      <c r="F8" s="49">
        <f>Лист1!I44</f>
        <v>2857.6399999999994</v>
      </c>
      <c r="G8" s="293">
        <f>Лист1!M44</f>
        <v>703.29</v>
      </c>
      <c r="H8" s="49">
        <f>Лист1!P44</f>
        <v>3489.04</v>
      </c>
      <c r="I8" s="49">
        <f>Лист1!O44</f>
        <v>7571.330000000001</v>
      </c>
      <c r="J8" s="49">
        <f>Лист1!Q44+Лист1!R44+Лист1!T44</f>
        <v>3548.37</v>
      </c>
      <c r="K8" s="49">
        <f>Лист1!S44</f>
        <v>2531.15</v>
      </c>
      <c r="L8" s="49">
        <f>Лист1!U44</f>
        <v>622.47</v>
      </c>
      <c r="M8" s="49">
        <f>Лист1!V44</f>
        <v>6701.99</v>
      </c>
      <c r="N8" s="49">
        <f>Лист1!W44</f>
        <v>20715.978326800003</v>
      </c>
      <c r="O8" s="49">
        <f>'[2]Лист1'!X37</f>
        <v>0</v>
      </c>
      <c r="P8" s="49">
        <f>Лист1!Y44</f>
        <v>1694.9520000000002</v>
      </c>
      <c r="Q8" s="49">
        <f>Лист1!Z44</f>
        <v>567.9716184000001</v>
      </c>
      <c r="R8" s="52">
        <f>Лист1!AA44+Лист1!AB44+Лист1!AC44+Лист1!AD44+Лист1!AE44+Лист1!AF44</f>
        <v>11730.232633316398</v>
      </c>
      <c r="S8" s="52">
        <f>Лист1!AK44+Лист1!AM44</f>
        <v>2996.9875999999995</v>
      </c>
      <c r="T8" s="52">
        <f>Лист1!AL44</f>
        <v>47.8</v>
      </c>
      <c r="U8" s="52">
        <f>Лист1!AI44+Лист1!AJ44</f>
        <v>0</v>
      </c>
      <c r="V8" s="52">
        <f>0</f>
        <v>0</v>
      </c>
      <c r="W8" s="52">
        <v>0</v>
      </c>
      <c r="X8" s="52">
        <v>0</v>
      </c>
      <c r="Y8" s="52">
        <f>Лист1!AS44</f>
        <v>17037.9438517164</v>
      </c>
      <c r="Z8" s="52">
        <f>'[3]Лист1'!$BC$39</f>
        <v>0</v>
      </c>
      <c r="AA8" s="23">
        <f>Y8</f>
        <v>17037.9438517164</v>
      </c>
      <c r="AB8" s="23">
        <f>Лист1!AU44</f>
        <v>3678.034475083603</v>
      </c>
      <c r="AC8" s="23">
        <f>Лист1!AV44</f>
        <v>-869.3399999999998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0"/>
    </row>
    <row r="9" spans="1:36" ht="12.75">
      <c r="A9" s="294" t="s">
        <v>98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42"/>
      <c r="AD9" s="242"/>
      <c r="AE9" s="242"/>
      <c r="AF9" s="242"/>
      <c r="AG9" s="242"/>
      <c r="AH9" s="242"/>
      <c r="AI9" s="242"/>
      <c r="AJ9" s="242"/>
    </row>
    <row r="10" spans="1:43" ht="12.75">
      <c r="A10" s="295" t="s">
        <v>39</v>
      </c>
      <c r="B10" s="120">
        <v>106.2</v>
      </c>
      <c r="C10" s="121">
        <f>B10*8.55*0.5</f>
        <v>454.00500000000005</v>
      </c>
      <c r="D10" s="122">
        <v>0</v>
      </c>
      <c r="E10" s="296">
        <v>561.71</v>
      </c>
      <c r="F10" s="296">
        <v>136.39</v>
      </c>
      <c r="G10" s="296">
        <v>47.31</v>
      </c>
      <c r="H10" s="296"/>
      <c r="I10" s="297">
        <f>E10+F10+G10</f>
        <v>745.4100000000001</v>
      </c>
      <c r="J10" s="125">
        <v>0</v>
      </c>
      <c r="K10" s="125">
        <v>164.29</v>
      </c>
      <c r="L10" s="132">
        <v>40.38</v>
      </c>
      <c r="M10" s="120">
        <f>SUM(J10:L10)</f>
        <v>204.67</v>
      </c>
      <c r="N10" s="298">
        <f>M10+D10</f>
        <v>204.67</v>
      </c>
      <c r="O10" s="298"/>
      <c r="P10" s="299">
        <f aca="true" t="shared" si="0" ref="P10:P21">0.67*B10</f>
        <v>71.15400000000001</v>
      </c>
      <c r="Q10" s="299">
        <f aca="true" t="shared" si="1" ref="Q10:Q21">B10*0.2</f>
        <v>21.240000000000002</v>
      </c>
      <c r="R10" s="299">
        <f>(4.23*B10)</f>
        <v>449.22600000000006</v>
      </c>
      <c r="S10" s="299"/>
      <c r="T10" s="300"/>
      <c r="U10" s="300"/>
      <c r="V10" s="300"/>
      <c r="W10" s="301"/>
      <c r="X10" s="301">
        <f aca="true" t="shared" si="2" ref="X10:X21">W10*0.18</f>
        <v>0</v>
      </c>
      <c r="Y10" s="301">
        <f>SUM(P10:X10)</f>
        <v>541.6200000000001</v>
      </c>
      <c r="Z10" s="302"/>
      <c r="AA10" s="302">
        <f>Y10</f>
        <v>541.6200000000001</v>
      </c>
      <c r="AB10" s="299">
        <f>N10-AA10</f>
        <v>-336.95000000000016</v>
      </c>
      <c r="AC10" s="302">
        <f>M10-I10</f>
        <v>-540.7400000000001</v>
      </c>
      <c r="AD10" s="244"/>
      <c r="AE10" s="244"/>
      <c r="AF10" s="244"/>
      <c r="AG10" s="244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</row>
    <row r="11" spans="1:44" ht="12.75">
      <c r="A11" s="295" t="s">
        <v>40</v>
      </c>
      <c r="B11" s="303">
        <v>106.2</v>
      </c>
      <c r="C11" s="121">
        <f>B11*8.55*0.5</f>
        <v>454.00500000000005</v>
      </c>
      <c r="D11" s="122">
        <v>0</v>
      </c>
      <c r="E11" s="304">
        <v>-0.01</v>
      </c>
      <c r="F11" s="305">
        <v>136.39</v>
      </c>
      <c r="G11" s="306">
        <v>47.31</v>
      </c>
      <c r="H11" s="307"/>
      <c r="I11" s="308">
        <f>E11+F11+G11</f>
        <v>183.69</v>
      </c>
      <c r="J11" s="124">
        <v>214.09</v>
      </c>
      <c r="K11" s="305">
        <v>163.68</v>
      </c>
      <c r="L11" s="309">
        <v>50.26</v>
      </c>
      <c r="M11" s="310">
        <f>SUM(J11:L11)</f>
        <v>428.03</v>
      </c>
      <c r="N11" s="298">
        <f>M11+D11</f>
        <v>428.03</v>
      </c>
      <c r="O11" s="298"/>
      <c r="P11" s="299">
        <f t="shared" si="0"/>
        <v>71.15400000000001</v>
      </c>
      <c r="Q11" s="299">
        <f t="shared" si="1"/>
        <v>21.240000000000002</v>
      </c>
      <c r="R11" s="299">
        <f>(4.23*B11)</f>
        <v>449.22600000000006</v>
      </c>
      <c r="S11" s="311"/>
      <c r="T11" s="300"/>
      <c r="U11" s="300"/>
      <c r="V11" s="300"/>
      <c r="W11" s="301"/>
      <c r="X11" s="301">
        <f t="shared" si="2"/>
        <v>0</v>
      </c>
      <c r="Y11" s="301">
        <f>SUM(P11:X11)</f>
        <v>541.6200000000001</v>
      </c>
      <c r="Z11" s="302"/>
      <c r="AA11" s="302">
        <f aca="true" t="shared" si="3" ref="AA11:AA21">Y11</f>
        <v>541.6200000000001</v>
      </c>
      <c r="AB11" s="299">
        <f aca="true" t="shared" si="4" ref="AB11:AB21">N11-AA11</f>
        <v>-113.59000000000015</v>
      </c>
      <c r="AC11" s="302">
        <f aca="true" t="shared" si="5" ref="AC11:AC21">M11-I11</f>
        <v>244.33999999999997</v>
      </c>
      <c r="AD11" s="244"/>
      <c r="AE11" s="244"/>
      <c r="AF11" s="244"/>
      <c r="AG11" s="244"/>
      <c r="AH11" s="244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</row>
    <row r="12" spans="1:34" ht="12.75">
      <c r="A12" s="295" t="s">
        <v>41</v>
      </c>
      <c r="B12" s="312">
        <v>106.2</v>
      </c>
      <c r="C12" s="121">
        <f>B12*8.55*0.5</f>
        <v>454.00500000000005</v>
      </c>
      <c r="D12" s="122">
        <v>0</v>
      </c>
      <c r="E12" s="304">
        <v>280.85</v>
      </c>
      <c r="F12" s="296">
        <v>136.39</v>
      </c>
      <c r="G12" s="296">
        <v>47.31</v>
      </c>
      <c r="H12" s="307"/>
      <c r="I12" s="313">
        <f>E12+F12+G12</f>
        <v>464.55</v>
      </c>
      <c r="J12" s="314">
        <v>198.25</v>
      </c>
      <c r="K12" s="314">
        <v>135.08</v>
      </c>
      <c r="L12" s="314">
        <v>43.41</v>
      </c>
      <c r="M12" s="120">
        <f>SUM(J12:L12)</f>
        <v>376.74</v>
      </c>
      <c r="N12" s="298">
        <f>M12+D12</f>
        <v>376.74</v>
      </c>
      <c r="O12" s="298"/>
      <c r="P12" s="299">
        <f t="shared" si="0"/>
        <v>71.15400000000001</v>
      </c>
      <c r="Q12" s="299">
        <f t="shared" si="1"/>
        <v>21.240000000000002</v>
      </c>
      <c r="R12" s="299">
        <f>(4.23*B12)</f>
        <v>449.22600000000006</v>
      </c>
      <c r="S12" s="311"/>
      <c r="T12" s="300"/>
      <c r="U12" s="300"/>
      <c r="V12" s="300"/>
      <c r="W12" s="301"/>
      <c r="X12" s="301">
        <f t="shared" si="2"/>
        <v>0</v>
      </c>
      <c r="Y12" s="301">
        <f>SUM(P12:X12)</f>
        <v>541.6200000000001</v>
      </c>
      <c r="Z12" s="302"/>
      <c r="AA12" s="302">
        <f t="shared" si="3"/>
        <v>541.6200000000001</v>
      </c>
      <c r="AB12" s="299">
        <f t="shared" si="4"/>
        <v>-164.8800000000001</v>
      </c>
      <c r="AC12" s="302">
        <f t="shared" si="5"/>
        <v>-87.81</v>
      </c>
      <c r="AD12" s="244"/>
      <c r="AE12" s="242"/>
      <c r="AF12" s="242"/>
      <c r="AG12" s="242"/>
      <c r="AH12" s="242"/>
    </row>
    <row r="13" spans="1:42" ht="12.75">
      <c r="A13" s="315" t="s">
        <v>42</v>
      </c>
      <c r="B13" s="120">
        <v>106.2</v>
      </c>
      <c r="C13" s="121">
        <f>B13*8.55*0.5</f>
        <v>454.00500000000005</v>
      </c>
      <c r="D13" s="367">
        <v>0</v>
      </c>
      <c r="E13" s="316">
        <v>280.85</v>
      </c>
      <c r="F13" s="296">
        <v>136.39</v>
      </c>
      <c r="G13" s="296">
        <v>47.31</v>
      </c>
      <c r="H13" s="317"/>
      <c r="I13" s="318">
        <f>E13+F13+G13</f>
        <v>464.55</v>
      </c>
      <c r="J13" s="125">
        <v>245.47</v>
      </c>
      <c r="K13" s="125">
        <v>142.62</v>
      </c>
      <c r="L13" s="125">
        <v>47.1</v>
      </c>
      <c r="M13" s="319">
        <f>SUM(J13:L13)</f>
        <v>435.19000000000005</v>
      </c>
      <c r="N13" s="320">
        <f>M13+D13</f>
        <v>435.19000000000005</v>
      </c>
      <c r="O13" s="320"/>
      <c r="P13" s="321">
        <f t="shared" si="0"/>
        <v>71.15400000000001</v>
      </c>
      <c r="Q13" s="321">
        <f t="shared" si="1"/>
        <v>21.240000000000002</v>
      </c>
      <c r="R13" s="321">
        <f>(4.23*B13)</f>
        <v>449.22600000000006</v>
      </c>
      <c r="S13" s="321"/>
      <c r="T13" s="322"/>
      <c r="U13" s="322"/>
      <c r="V13" s="322"/>
      <c r="W13" s="323"/>
      <c r="X13" s="323">
        <f t="shared" si="2"/>
        <v>0</v>
      </c>
      <c r="Y13" s="323">
        <f>SUM(P13:X13)</f>
        <v>541.6200000000001</v>
      </c>
      <c r="Z13" s="324"/>
      <c r="AA13" s="302">
        <f t="shared" si="3"/>
        <v>541.6200000000001</v>
      </c>
      <c r="AB13" s="299">
        <f t="shared" si="4"/>
        <v>-106.43000000000006</v>
      </c>
      <c r="AC13" s="302">
        <f t="shared" si="5"/>
        <v>-29.359999999999957</v>
      </c>
      <c r="AD13" s="244"/>
      <c r="AE13" s="244"/>
      <c r="AF13" s="244"/>
      <c r="AG13" s="244"/>
      <c r="AH13" s="244"/>
      <c r="AI13" s="242"/>
      <c r="AJ13" s="242"/>
      <c r="AK13" s="242"/>
      <c r="AL13" s="242"/>
      <c r="AM13" s="242"/>
      <c r="AN13" s="242"/>
      <c r="AO13" s="242"/>
      <c r="AP13" s="242"/>
    </row>
    <row r="14" spans="1:42" ht="12.75">
      <c r="A14" s="315" t="s">
        <v>43</v>
      </c>
      <c r="B14" s="120">
        <v>106.2</v>
      </c>
      <c r="C14" s="121">
        <f>B14*8.55*0.5</f>
        <v>454.00500000000005</v>
      </c>
      <c r="D14" s="367">
        <v>0</v>
      </c>
      <c r="E14" s="296">
        <v>561.71</v>
      </c>
      <c r="F14" s="296">
        <v>272.78</v>
      </c>
      <c r="G14" s="317">
        <v>94.61</v>
      </c>
      <c r="H14" s="307"/>
      <c r="I14" s="325">
        <f>E14+F14+G14</f>
        <v>929.1</v>
      </c>
      <c r="J14" s="125">
        <v>258.39</v>
      </c>
      <c r="K14" s="125">
        <v>140.26</v>
      </c>
      <c r="L14" s="132">
        <v>47.16</v>
      </c>
      <c r="M14" s="326">
        <f>SUM(J14:L14)</f>
        <v>445.80999999999995</v>
      </c>
      <c r="N14" s="327">
        <f>M14+D14</f>
        <v>445.80999999999995</v>
      </c>
      <c r="O14" s="320"/>
      <c r="P14" s="321">
        <f t="shared" si="0"/>
        <v>71.15400000000001</v>
      </c>
      <c r="Q14" s="321">
        <f t="shared" si="1"/>
        <v>21.240000000000002</v>
      </c>
      <c r="R14" s="321">
        <f>(4.23*B14)</f>
        <v>449.22600000000006</v>
      </c>
      <c r="S14" s="321"/>
      <c r="T14" s="322"/>
      <c r="U14" s="322"/>
      <c r="V14" s="322"/>
      <c r="W14" s="323"/>
      <c r="X14" s="323">
        <f t="shared" si="2"/>
        <v>0</v>
      </c>
      <c r="Y14" s="323">
        <f>SUM(P14:X14)</f>
        <v>541.6200000000001</v>
      </c>
      <c r="Z14" s="324"/>
      <c r="AA14" s="302">
        <f t="shared" si="3"/>
        <v>541.6200000000001</v>
      </c>
      <c r="AB14" s="299">
        <f t="shared" si="4"/>
        <v>-95.81000000000017</v>
      </c>
      <c r="AC14" s="302">
        <f t="shared" si="5"/>
        <v>-483.2900000000001</v>
      </c>
      <c r="AD14" s="244"/>
      <c r="AE14" s="244"/>
      <c r="AF14" s="244"/>
      <c r="AG14" s="244"/>
      <c r="AH14" s="244"/>
      <c r="AI14" s="242"/>
      <c r="AJ14" s="242"/>
      <c r="AK14" s="242"/>
      <c r="AL14" s="242"/>
      <c r="AM14" s="242"/>
      <c r="AN14" s="242"/>
      <c r="AO14" s="242"/>
      <c r="AP14" s="242"/>
    </row>
    <row r="15" spans="1:42" ht="12.75">
      <c r="A15" s="315" t="s">
        <v>44</v>
      </c>
      <c r="B15" s="328">
        <v>106.2</v>
      </c>
      <c r="C15" s="121">
        <f aca="true" t="shared" si="6" ref="C15:C21">B15*8.55</f>
        <v>908.0100000000001</v>
      </c>
      <c r="D15" s="329">
        <v>0</v>
      </c>
      <c r="E15" s="296">
        <v>561.71</v>
      </c>
      <c r="F15" s="296">
        <v>272.78</v>
      </c>
      <c r="G15" s="317">
        <v>94.61</v>
      </c>
      <c r="H15" s="307"/>
      <c r="I15" s="330">
        <f aca="true" t="shared" si="7" ref="I15:I21">SUM(E15:G15)</f>
        <v>929.1</v>
      </c>
      <c r="J15" s="331">
        <v>463.12</v>
      </c>
      <c r="K15" s="331">
        <v>234.54</v>
      </c>
      <c r="L15" s="332">
        <v>80.37</v>
      </c>
      <c r="M15" s="333">
        <v>778.03</v>
      </c>
      <c r="N15" s="320">
        <f>M15+D15</f>
        <v>778.03</v>
      </c>
      <c r="O15" s="320"/>
      <c r="P15" s="321">
        <f t="shared" si="0"/>
        <v>71.15400000000001</v>
      </c>
      <c r="Q15" s="321">
        <f t="shared" si="1"/>
        <v>21.240000000000002</v>
      </c>
      <c r="R15" s="321">
        <f>(3.25*B15)</f>
        <v>345.15000000000003</v>
      </c>
      <c r="S15" s="321"/>
      <c r="T15" s="368"/>
      <c r="U15" s="368"/>
      <c r="V15" s="368"/>
      <c r="W15" s="334"/>
      <c r="X15" s="335">
        <f t="shared" si="2"/>
        <v>0</v>
      </c>
      <c r="Y15" s="336">
        <f>SUM(P15:X15)</f>
        <v>437.54400000000004</v>
      </c>
      <c r="Z15" s="369"/>
      <c r="AA15" s="302">
        <f t="shared" si="3"/>
        <v>437.54400000000004</v>
      </c>
      <c r="AB15" s="299">
        <f t="shared" si="4"/>
        <v>340.48599999999993</v>
      </c>
      <c r="AC15" s="302">
        <f t="shared" si="5"/>
        <v>-151.07000000000005</v>
      </c>
      <c r="AD15" s="244"/>
      <c r="AE15" s="244"/>
      <c r="AF15" s="244"/>
      <c r="AG15" s="244"/>
      <c r="AH15" s="244"/>
      <c r="AI15" s="242"/>
      <c r="AJ15" s="242"/>
      <c r="AK15" s="242"/>
      <c r="AL15" s="242"/>
      <c r="AM15" s="242"/>
      <c r="AN15" s="242"/>
      <c r="AO15" s="242"/>
      <c r="AP15" s="242"/>
    </row>
    <row r="16" spans="1:38" ht="12.75">
      <c r="A16" s="315" t="s">
        <v>45</v>
      </c>
      <c r="B16" s="120">
        <v>106.2</v>
      </c>
      <c r="C16" s="121">
        <f t="shared" si="6"/>
        <v>908.0100000000001</v>
      </c>
      <c r="D16" s="329">
        <v>0</v>
      </c>
      <c r="E16" s="337">
        <v>561.71</v>
      </c>
      <c r="F16" s="337">
        <v>272.78</v>
      </c>
      <c r="G16" s="338">
        <v>94.61</v>
      </c>
      <c r="H16" s="339"/>
      <c r="I16" s="330">
        <f t="shared" si="7"/>
        <v>929.1</v>
      </c>
      <c r="J16" s="125">
        <v>536.83</v>
      </c>
      <c r="K16" s="125">
        <v>266.11</v>
      </c>
      <c r="L16" s="125">
        <v>91.75</v>
      </c>
      <c r="M16" s="340">
        <f>SUM(J16:L16)</f>
        <v>894.69</v>
      </c>
      <c r="N16" s="341">
        <f>M16+D16</f>
        <v>894.69</v>
      </c>
      <c r="O16" s="320"/>
      <c r="P16" s="321">
        <f t="shared" si="0"/>
        <v>71.15400000000001</v>
      </c>
      <c r="Q16" s="321">
        <f t="shared" si="1"/>
        <v>21.240000000000002</v>
      </c>
      <c r="R16" s="321">
        <f>(3.25*B16)</f>
        <v>345.15000000000003</v>
      </c>
      <c r="S16" s="370"/>
      <c r="T16" s="368"/>
      <c r="U16" s="368"/>
      <c r="V16" s="368"/>
      <c r="W16" s="334"/>
      <c r="X16" s="335">
        <f t="shared" si="2"/>
        <v>0</v>
      </c>
      <c r="Y16" s="323">
        <f>SUM(P16:X16)</f>
        <v>437.54400000000004</v>
      </c>
      <c r="Z16" s="369"/>
      <c r="AA16" s="302">
        <f t="shared" si="3"/>
        <v>437.54400000000004</v>
      </c>
      <c r="AB16" s="299">
        <f t="shared" si="4"/>
        <v>457.146</v>
      </c>
      <c r="AC16" s="302">
        <f t="shared" si="5"/>
        <v>-34.40999999999997</v>
      </c>
      <c r="AD16" s="342"/>
      <c r="AE16" s="242"/>
      <c r="AF16" s="242"/>
      <c r="AG16" s="242"/>
      <c r="AH16" s="242"/>
      <c r="AI16" s="242"/>
      <c r="AJ16" s="242"/>
      <c r="AK16" s="242"/>
      <c r="AL16" s="242"/>
    </row>
    <row r="17" spans="1:37" ht="12.75">
      <c r="A17" s="315" t="s">
        <v>46</v>
      </c>
      <c r="B17" s="120">
        <v>106.2</v>
      </c>
      <c r="C17" s="121">
        <f t="shared" si="6"/>
        <v>908.0100000000001</v>
      </c>
      <c r="D17" s="329">
        <v>0</v>
      </c>
      <c r="E17" s="296">
        <v>561.71</v>
      </c>
      <c r="F17" s="296">
        <v>272.78</v>
      </c>
      <c r="G17" s="296">
        <v>94.61</v>
      </c>
      <c r="H17" s="307"/>
      <c r="I17" s="330">
        <f t="shared" si="7"/>
        <v>929.1</v>
      </c>
      <c r="J17" s="125">
        <v>433.54</v>
      </c>
      <c r="K17" s="125">
        <v>214.08</v>
      </c>
      <c r="L17" s="125">
        <v>73.9</v>
      </c>
      <c r="M17" s="340">
        <f>SUM(J17:L17)</f>
        <v>721.52</v>
      </c>
      <c r="N17" s="341">
        <f>M17+D17</f>
        <v>721.52</v>
      </c>
      <c r="O17" s="320"/>
      <c r="P17" s="321">
        <f t="shared" si="0"/>
        <v>71.15400000000001</v>
      </c>
      <c r="Q17" s="321">
        <f t="shared" si="1"/>
        <v>21.240000000000002</v>
      </c>
      <c r="R17" s="321">
        <f>(3.25*B17)</f>
        <v>345.15000000000003</v>
      </c>
      <c r="S17" s="370"/>
      <c r="T17" s="368"/>
      <c r="U17" s="368"/>
      <c r="V17" s="368"/>
      <c r="W17" s="334"/>
      <c r="X17" s="335">
        <f t="shared" si="2"/>
        <v>0</v>
      </c>
      <c r="Y17" s="323">
        <f>SUM(P17:X17)</f>
        <v>437.54400000000004</v>
      </c>
      <c r="Z17" s="369"/>
      <c r="AA17" s="302">
        <f t="shared" si="3"/>
        <v>437.54400000000004</v>
      </c>
      <c r="AB17" s="299">
        <f t="shared" si="4"/>
        <v>283.97599999999994</v>
      </c>
      <c r="AC17" s="302">
        <f t="shared" si="5"/>
        <v>-207.58000000000004</v>
      </c>
      <c r="AD17" s="242"/>
      <c r="AE17" s="242"/>
      <c r="AF17" s="242"/>
      <c r="AG17" s="242"/>
      <c r="AH17" s="242"/>
      <c r="AI17" s="242"/>
      <c r="AJ17" s="242"/>
      <c r="AK17" s="242"/>
    </row>
    <row r="18" spans="1:37" ht="12.75">
      <c r="A18" s="315" t="s">
        <v>47</v>
      </c>
      <c r="B18" s="120">
        <v>106.2</v>
      </c>
      <c r="C18" s="121">
        <f t="shared" si="6"/>
        <v>908.0100000000001</v>
      </c>
      <c r="D18" s="329">
        <v>0</v>
      </c>
      <c r="E18" s="296">
        <v>561.71</v>
      </c>
      <c r="F18" s="296">
        <v>272.78</v>
      </c>
      <c r="G18" s="296">
        <v>94.61</v>
      </c>
      <c r="H18" s="307"/>
      <c r="I18" s="330">
        <f t="shared" si="7"/>
        <v>929.1</v>
      </c>
      <c r="J18" s="125">
        <v>526.79</v>
      </c>
      <c r="K18" s="125">
        <v>258.14</v>
      </c>
      <c r="L18" s="125">
        <v>89.3</v>
      </c>
      <c r="M18" s="343">
        <f>SUM(J18:L18)</f>
        <v>874.2299999999999</v>
      </c>
      <c r="N18" s="341">
        <f>M18+D18</f>
        <v>874.2299999999999</v>
      </c>
      <c r="O18" s="320"/>
      <c r="P18" s="321">
        <f t="shared" si="0"/>
        <v>71.15400000000001</v>
      </c>
      <c r="Q18" s="321">
        <f t="shared" si="1"/>
        <v>21.240000000000002</v>
      </c>
      <c r="R18" s="321">
        <f>(3.25*B18)</f>
        <v>345.15000000000003</v>
      </c>
      <c r="S18" s="370"/>
      <c r="T18" s="368"/>
      <c r="U18" s="368"/>
      <c r="V18" s="368"/>
      <c r="W18" s="334"/>
      <c r="X18" s="335">
        <f t="shared" si="2"/>
        <v>0</v>
      </c>
      <c r="Y18" s="323">
        <f>SUM(P18:X18)</f>
        <v>437.54400000000004</v>
      </c>
      <c r="Z18" s="369"/>
      <c r="AA18" s="302">
        <f t="shared" si="3"/>
        <v>437.54400000000004</v>
      </c>
      <c r="AB18" s="299">
        <f t="shared" si="4"/>
        <v>436.68599999999986</v>
      </c>
      <c r="AC18" s="302">
        <f t="shared" si="5"/>
        <v>-54.87000000000012</v>
      </c>
      <c r="AD18" s="242"/>
      <c r="AE18" s="242"/>
      <c r="AF18" s="242"/>
      <c r="AG18" s="242"/>
      <c r="AH18" s="242"/>
      <c r="AI18" s="242"/>
      <c r="AJ18" s="242"/>
      <c r="AK18" s="242"/>
    </row>
    <row r="19" spans="1:37" ht="12.75">
      <c r="A19" s="315" t="s">
        <v>35</v>
      </c>
      <c r="B19" s="120">
        <v>106.2</v>
      </c>
      <c r="C19" s="121">
        <f t="shared" si="6"/>
        <v>908.0100000000001</v>
      </c>
      <c r="D19" s="329">
        <v>0</v>
      </c>
      <c r="E19" s="296">
        <v>561.71</v>
      </c>
      <c r="F19" s="296">
        <v>272.78</v>
      </c>
      <c r="G19" s="306">
        <v>94.61</v>
      </c>
      <c r="H19" s="313"/>
      <c r="I19" s="330">
        <f t="shared" si="7"/>
        <v>929.1</v>
      </c>
      <c r="J19" s="314">
        <v>561.36</v>
      </c>
      <c r="K19" s="314">
        <v>274.17</v>
      </c>
      <c r="L19" s="312">
        <v>94.93</v>
      </c>
      <c r="M19" s="343">
        <f>SUM(J19:L19)</f>
        <v>930.46</v>
      </c>
      <c r="N19" s="341">
        <f>M19+D19</f>
        <v>930.46</v>
      </c>
      <c r="O19" s="320"/>
      <c r="P19" s="321">
        <f t="shared" si="0"/>
        <v>71.15400000000001</v>
      </c>
      <c r="Q19" s="321">
        <f t="shared" si="1"/>
        <v>21.240000000000002</v>
      </c>
      <c r="R19" s="321">
        <f>(3.25*B19)</f>
        <v>345.15000000000003</v>
      </c>
      <c r="S19" s="370"/>
      <c r="T19" s="368"/>
      <c r="U19" s="368"/>
      <c r="V19" s="368"/>
      <c r="W19" s="334"/>
      <c r="X19" s="335">
        <f t="shared" si="2"/>
        <v>0</v>
      </c>
      <c r="Y19" s="323">
        <f>SUM(P19:X19)</f>
        <v>437.54400000000004</v>
      </c>
      <c r="Z19" s="369"/>
      <c r="AA19" s="302">
        <f t="shared" si="3"/>
        <v>437.54400000000004</v>
      </c>
      <c r="AB19" s="299">
        <f t="shared" si="4"/>
        <v>492.916</v>
      </c>
      <c r="AC19" s="302">
        <f t="shared" si="5"/>
        <v>1.3600000000000136</v>
      </c>
      <c r="AD19" s="242"/>
      <c r="AE19" s="242"/>
      <c r="AF19" s="242"/>
      <c r="AG19" s="242"/>
      <c r="AH19" s="242"/>
      <c r="AI19" s="242"/>
      <c r="AJ19" s="242"/>
      <c r="AK19" s="242"/>
    </row>
    <row r="20" spans="1:37" ht="12.75">
      <c r="A20" s="295" t="s">
        <v>36</v>
      </c>
      <c r="B20" s="120">
        <v>106.2</v>
      </c>
      <c r="C20" s="121">
        <f t="shared" si="6"/>
        <v>908.0100000000001</v>
      </c>
      <c r="D20" s="329">
        <v>0</v>
      </c>
      <c r="E20" s="296">
        <v>561.71</v>
      </c>
      <c r="F20" s="296">
        <v>272.78</v>
      </c>
      <c r="G20" s="296">
        <v>94.61</v>
      </c>
      <c r="H20" s="307"/>
      <c r="I20" s="330">
        <f t="shared" si="7"/>
        <v>929.1</v>
      </c>
      <c r="J20" s="314">
        <v>585.18</v>
      </c>
      <c r="K20" s="314">
        <v>285.32</v>
      </c>
      <c r="L20" s="314">
        <v>98.84</v>
      </c>
      <c r="M20" s="343">
        <f>SUM(J20:L20)</f>
        <v>969.34</v>
      </c>
      <c r="N20" s="341">
        <f>M20+D20</f>
        <v>969.34</v>
      </c>
      <c r="O20" s="320"/>
      <c r="P20" s="321">
        <f t="shared" si="0"/>
        <v>71.15400000000001</v>
      </c>
      <c r="Q20" s="321">
        <f t="shared" si="1"/>
        <v>21.240000000000002</v>
      </c>
      <c r="R20" s="321">
        <f>(3.25*B20)</f>
        <v>345.15000000000003</v>
      </c>
      <c r="S20" s="370"/>
      <c r="T20" s="368"/>
      <c r="U20" s="368"/>
      <c r="V20" s="368"/>
      <c r="W20" s="334"/>
      <c r="X20" s="335">
        <f t="shared" si="2"/>
        <v>0</v>
      </c>
      <c r="Y20" s="323">
        <f>SUM(P20:X20)</f>
        <v>437.54400000000004</v>
      </c>
      <c r="Z20" s="369"/>
      <c r="AA20" s="302">
        <f t="shared" si="3"/>
        <v>437.54400000000004</v>
      </c>
      <c r="AB20" s="299">
        <f t="shared" si="4"/>
        <v>531.796</v>
      </c>
      <c r="AC20" s="302">
        <f t="shared" si="5"/>
        <v>40.24000000000001</v>
      </c>
      <c r="AD20" s="242"/>
      <c r="AE20" s="242"/>
      <c r="AF20" s="242"/>
      <c r="AG20" s="242"/>
      <c r="AH20" s="242"/>
      <c r="AI20" s="242"/>
      <c r="AJ20" s="242"/>
      <c r="AK20" s="242"/>
    </row>
    <row r="21" spans="1:37" ht="13.5" thickBot="1">
      <c r="A21" s="344" t="s">
        <v>37</v>
      </c>
      <c r="B21" s="120">
        <v>106.2</v>
      </c>
      <c r="C21" s="121">
        <f t="shared" si="6"/>
        <v>908.0100000000001</v>
      </c>
      <c r="D21" s="329">
        <v>0</v>
      </c>
      <c r="E21" s="337">
        <v>561.71</v>
      </c>
      <c r="F21" s="337">
        <v>272.78</v>
      </c>
      <c r="G21" s="337">
        <v>94.61</v>
      </c>
      <c r="H21" s="339"/>
      <c r="I21" s="330">
        <f t="shared" si="7"/>
        <v>929.1</v>
      </c>
      <c r="J21" s="331">
        <v>576.01</v>
      </c>
      <c r="K21" s="331">
        <v>280.4</v>
      </c>
      <c r="L21" s="328">
        <v>97.19</v>
      </c>
      <c r="M21" s="343">
        <f>SUM(J21:L21)</f>
        <v>953.5999999999999</v>
      </c>
      <c r="N21" s="341">
        <f>M21+D21</f>
        <v>953.5999999999999</v>
      </c>
      <c r="O21" s="320"/>
      <c r="P21" s="321">
        <f t="shared" si="0"/>
        <v>71.15400000000001</v>
      </c>
      <c r="Q21" s="321">
        <f t="shared" si="1"/>
        <v>21.240000000000002</v>
      </c>
      <c r="R21" s="321">
        <f>(3.25*B21)</f>
        <v>345.15000000000003</v>
      </c>
      <c r="S21" s="371"/>
      <c r="T21" s="368"/>
      <c r="U21" s="368"/>
      <c r="V21" s="372"/>
      <c r="W21" s="334"/>
      <c r="X21" s="335">
        <f t="shared" si="2"/>
        <v>0</v>
      </c>
      <c r="Y21" s="323">
        <f>SUM(P21:X21)</f>
        <v>437.54400000000004</v>
      </c>
      <c r="Z21" s="369"/>
      <c r="AA21" s="302">
        <f t="shared" si="3"/>
        <v>437.54400000000004</v>
      </c>
      <c r="AB21" s="299">
        <f t="shared" si="4"/>
        <v>516.0559999999998</v>
      </c>
      <c r="AC21" s="302">
        <f t="shared" si="5"/>
        <v>24.499999999999886</v>
      </c>
      <c r="AD21" s="242"/>
      <c r="AE21" s="242"/>
      <c r="AF21" s="242"/>
      <c r="AG21" s="242"/>
      <c r="AH21" s="242"/>
      <c r="AI21" s="242"/>
      <c r="AJ21" s="242"/>
      <c r="AK21" s="242"/>
    </row>
    <row r="22" spans="1:37" s="20" customFormat="1" ht="13.5" thickBot="1">
      <c r="A22" s="345" t="s">
        <v>5</v>
      </c>
      <c r="B22" s="346"/>
      <c r="C22" s="346"/>
      <c r="D22" s="347">
        <v>1734.12</v>
      </c>
      <c r="E22" s="347">
        <v>18214.36</v>
      </c>
      <c r="F22" s="347">
        <v>8844.61</v>
      </c>
      <c r="G22" s="347">
        <v>3067.09</v>
      </c>
      <c r="H22" s="346">
        <v>0</v>
      </c>
      <c r="I22" s="347">
        <v>30126.06</v>
      </c>
      <c r="J22" s="347">
        <v>13442.91</v>
      </c>
      <c r="K22" s="347">
        <v>7960.82</v>
      </c>
      <c r="L22" s="347">
        <v>2594.66</v>
      </c>
      <c r="M22" s="347">
        <v>23998.39</v>
      </c>
      <c r="N22" s="347">
        <v>25732.51</v>
      </c>
      <c r="O22" s="346">
        <v>0</v>
      </c>
      <c r="P22" s="347">
        <v>2197.33</v>
      </c>
      <c r="Q22" s="346">
        <v>655.92</v>
      </c>
      <c r="R22" s="347">
        <v>13872.71</v>
      </c>
      <c r="S22" s="347">
        <v>2986.54</v>
      </c>
      <c r="T22" s="346">
        <v>0</v>
      </c>
      <c r="U22" s="346">
        <v>280</v>
      </c>
      <c r="V22" s="346">
        <v>0</v>
      </c>
      <c r="W22" s="347">
        <f>SUM(T10:T21)</f>
        <v>0</v>
      </c>
      <c r="X22" s="347">
        <f>SUM(X10:X21)</f>
        <v>0</v>
      </c>
      <c r="Y22" s="347">
        <f>SUM(Y10:Y21)</f>
        <v>5770.907999999999</v>
      </c>
      <c r="Z22" s="347">
        <f>SUM(Z10:Z21)</f>
        <v>0</v>
      </c>
      <c r="AA22" s="347">
        <f>SUM(AA10:AA21)</f>
        <v>5770.907999999999</v>
      </c>
      <c r="AB22" s="347">
        <f>SUM(AB10:AB21)</f>
        <v>2241.401999999999</v>
      </c>
      <c r="AC22" s="347">
        <f>SUM(AC10:AC21)</f>
        <v>-1278.6900000000005</v>
      </c>
      <c r="AD22" s="70"/>
      <c r="AE22" s="70"/>
      <c r="AF22" s="70"/>
      <c r="AG22" s="70"/>
      <c r="AH22" s="70"/>
      <c r="AI22" s="70"/>
      <c r="AJ22" s="70"/>
      <c r="AK22" s="70"/>
    </row>
    <row r="23" spans="1:37" ht="13.5" thickBot="1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242"/>
      <c r="AE23" s="242"/>
      <c r="AF23" s="242"/>
      <c r="AG23" s="242"/>
      <c r="AH23" s="242"/>
      <c r="AI23" s="242"/>
      <c r="AJ23" s="242"/>
      <c r="AK23" s="242"/>
    </row>
    <row r="24" spans="1:29" s="20" customFormat="1" ht="13.5" thickBot="1">
      <c r="A24" s="345" t="s">
        <v>99</v>
      </c>
      <c r="B24" s="346"/>
      <c r="C24" s="346"/>
      <c r="D24" s="347">
        <v>9330.22</v>
      </c>
      <c r="E24" s="347">
        <v>263129.61</v>
      </c>
      <c r="F24" s="347">
        <v>181875.86</v>
      </c>
      <c r="G24" s="347">
        <v>45624.38</v>
      </c>
      <c r="H24" s="347">
        <v>71944.81</v>
      </c>
      <c r="I24" s="347">
        <v>490629.85</v>
      </c>
      <c r="J24" s="347">
        <v>216840.97</v>
      </c>
      <c r="K24" s="347">
        <v>151570.93</v>
      </c>
      <c r="L24" s="347">
        <v>38052.74</v>
      </c>
      <c r="M24" s="347">
        <v>406464.64</v>
      </c>
      <c r="N24" s="347">
        <v>534624.38</v>
      </c>
      <c r="O24" s="346">
        <v>0</v>
      </c>
      <c r="P24" s="349">
        <f aca="true" t="shared" si="8" ref="P24:AB24">P8+P22</f>
        <v>3892.282</v>
      </c>
      <c r="Q24" s="349">
        <f t="shared" si="8"/>
        <v>1223.8916184</v>
      </c>
      <c r="R24" s="349">
        <f t="shared" si="8"/>
        <v>25602.942633316397</v>
      </c>
      <c r="S24" s="349">
        <f t="shared" si="8"/>
        <v>5983.527599999999</v>
      </c>
      <c r="T24" s="349">
        <f t="shared" si="8"/>
        <v>47.8</v>
      </c>
      <c r="U24" s="349">
        <f t="shared" si="8"/>
        <v>280</v>
      </c>
      <c r="V24" s="349">
        <f t="shared" si="8"/>
        <v>0</v>
      </c>
      <c r="W24" s="349">
        <f t="shared" si="8"/>
        <v>0</v>
      </c>
      <c r="X24" s="349">
        <f t="shared" si="8"/>
        <v>0</v>
      </c>
      <c r="Y24" s="349">
        <f t="shared" si="8"/>
        <v>22808.8518517164</v>
      </c>
      <c r="Z24" s="349">
        <f t="shared" si="8"/>
        <v>0</v>
      </c>
      <c r="AA24" s="349">
        <f t="shared" si="8"/>
        <v>22808.8518517164</v>
      </c>
      <c r="AB24" s="349">
        <f t="shared" si="8"/>
        <v>5919.436475083602</v>
      </c>
      <c r="AC24" s="349">
        <f>AC8+AC22</f>
        <v>-2148.03</v>
      </c>
    </row>
    <row r="25" spans="1:29" ht="12.75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10.00390625" style="243" customWidth="1"/>
    <col min="2" max="2" width="9.125" style="243" customWidth="1"/>
    <col min="3" max="3" width="9.875" style="243" customWidth="1"/>
    <col min="4" max="4" width="9.625" style="243" customWidth="1"/>
    <col min="5" max="5" width="10.125" style="243" bestFit="1" customWidth="1"/>
    <col min="6" max="6" width="9.875" style="243" customWidth="1"/>
    <col min="7" max="7" width="11.00390625" style="243" customWidth="1"/>
    <col min="8" max="8" width="10.125" style="243" customWidth="1"/>
    <col min="9" max="9" width="9.25390625" style="243" customWidth="1"/>
    <col min="10" max="10" width="9.875" style="243" customWidth="1"/>
    <col min="11" max="11" width="10.875" style="243" customWidth="1"/>
    <col min="12" max="12" width="10.125" style="243" customWidth="1"/>
    <col min="13" max="13" width="10.375" style="243" customWidth="1"/>
    <col min="14" max="14" width="10.75390625" style="243" customWidth="1"/>
    <col min="15" max="15" width="13.00390625" style="243" customWidth="1"/>
    <col min="16" max="16384" width="9.125" style="243" customWidth="1"/>
  </cols>
  <sheetData>
    <row r="1" spans="2:8" ht="20.25" customHeight="1">
      <c r="B1" s="204" t="s">
        <v>49</v>
      </c>
      <c r="C1" s="204"/>
      <c r="D1" s="204"/>
      <c r="E1" s="204"/>
      <c r="F1" s="204"/>
      <c r="G1" s="204"/>
      <c r="H1" s="204"/>
    </row>
    <row r="2" spans="2:8" ht="21" customHeight="1">
      <c r="B2" s="204" t="s">
        <v>50</v>
      </c>
      <c r="C2" s="204"/>
      <c r="D2" s="204"/>
      <c r="E2" s="204"/>
      <c r="F2" s="204"/>
      <c r="G2" s="204"/>
      <c r="H2" s="204"/>
    </row>
    <row r="5" spans="1:14" ht="12.75">
      <c r="A5" s="206" t="s">
        <v>83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12.75">
      <c r="A6" s="207" t="s">
        <v>100</v>
      </c>
      <c r="B6" s="207"/>
      <c r="C6" s="207"/>
      <c r="D6" s="207"/>
      <c r="E6" s="207"/>
      <c r="F6" s="207"/>
      <c r="G6" s="207"/>
      <c r="H6" s="93"/>
      <c r="I6" s="93"/>
      <c r="J6" s="93"/>
      <c r="K6" s="93"/>
      <c r="L6" s="93"/>
      <c r="M6" s="93"/>
      <c r="N6" s="93"/>
    </row>
    <row r="7" spans="1:14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6" ht="13.5" thickBot="1">
      <c r="A8" s="350" t="s">
        <v>51</v>
      </c>
      <c r="B8" s="350"/>
      <c r="C8" s="350"/>
      <c r="D8" s="350"/>
      <c r="E8" s="350">
        <v>8.55</v>
      </c>
      <c r="F8" s="350"/>
    </row>
    <row r="9" spans="1:15" ht="12.75" customHeight="1">
      <c r="A9" s="156" t="s">
        <v>52</v>
      </c>
      <c r="B9" s="233" t="s">
        <v>1</v>
      </c>
      <c r="C9" s="236" t="s">
        <v>105</v>
      </c>
      <c r="D9" s="239" t="s">
        <v>3</v>
      </c>
      <c r="E9" s="219" t="s">
        <v>54</v>
      </c>
      <c r="F9" s="220"/>
      <c r="G9" s="223" t="s">
        <v>55</v>
      </c>
      <c r="H9" s="224"/>
      <c r="I9" s="200" t="s">
        <v>8</v>
      </c>
      <c r="J9" s="192"/>
      <c r="K9" s="192"/>
      <c r="L9" s="192"/>
      <c r="M9" s="201"/>
      <c r="N9" s="208" t="s">
        <v>56</v>
      </c>
      <c r="O9" s="208" t="s">
        <v>10</v>
      </c>
    </row>
    <row r="10" spans="1:15" ht="12.75">
      <c r="A10" s="157"/>
      <c r="B10" s="234"/>
      <c r="C10" s="237"/>
      <c r="D10" s="240"/>
      <c r="E10" s="221"/>
      <c r="F10" s="222"/>
      <c r="G10" s="225"/>
      <c r="H10" s="226"/>
      <c r="I10" s="202"/>
      <c r="J10" s="167"/>
      <c r="K10" s="167"/>
      <c r="L10" s="167"/>
      <c r="M10" s="203"/>
      <c r="N10" s="209"/>
      <c r="O10" s="209"/>
    </row>
    <row r="11" spans="1:15" ht="26.25" customHeight="1">
      <c r="A11" s="157"/>
      <c r="B11" s="234"/>
      <c r="C11" s="237"/>
      <c r="D11" s="240"/>
      <c r="E11" s="211" t="s">
        <v>57</v>
      </c>
      <c r="F11" s="212"/>
      <c r="G11" s="83" t="s">
        <v>58</v>
      </c>
      <c r="H11" s="213" t="s">
        <v>7</v>
      </c>
      <c r="I11" s="215" t="s">
        <v>59</v>
      </c>
      <c r="J11" s="217" t="s">
        <v>101</v>
      </c>
      <c r="K11" s="217" t="s">
        <v>60</v>
      </c>
      <c r="L11" s="217" t="s">
        <v>31</v>
      </c>
      <c r="M11" s="213" t="s">
        <v>33</v>
      </c>
      <c r="N11" s="209"/>
      <c r="O11" s="209"/>
    </row>
    <row r="12" spans="1:15" ht="66.75" customHeight="1" thickBot="1">
      <c r="A12" s="232"/>
      <c r="B12" s="235"/>
      <c r="C12" s="238"/>
      <c r="D12" s="241"/>
      <c r="E12" s="62" t="s">
        <v>62</v>
      </c>
      <c r="F12" s="65" t="s">
        <v>17</v>
      </c>
      <c r="G12" s="80" t="s">
        <v>82</v>
      </c>
      <c r="H12" s="214"/>
      <c r="I12" s="216"/>
      <c r="J12" s="218"/>
      <c r="K12" s="218"/>
      <c r="L12" s="218"/>
      <c r="M12" s="214"/>
      <c r="N12" s="210"/>
      <c r="O12" s="210"/>
    </row>
    <row r="13" spans="1:15" ht="13.5" thickBot="1">
      <c r="A13" s="63">
        <v>1</v>
      </c>
      <c r="B13" s="64">
        <v>2</v>
      </c>
      <c r="C13" s="63">
        <v>3</v>
      </c>
      <c r="D13" s="64">
        <v>4</v>
      </c>
      <c r="E13" s="63">
        <v>5</v>
      </c>
      <c r="F13" s="64">
        <v>6</v>
      </c>
      <c r="G13" s="63">
        <v>7</v>
      </c>
      <c r="H13" s="64">
        <v>8</v>
      </c>
      <c r="I13" s="63">
        <v>9</v>
      </c>
      <c r="J13" s="64">
        <v>10</v>
      </c>
      <c r="K13" s="63">
        <v>11</v>
      </c>
      <c r="L13" s="64">
        <v>12</v>
      </c>
      <c r="M13" s="64">
        <v>13</v>
      </c>
      <c r="N13" s="63">
        <v>14</v>
      </c>
      <c r="O13" s="64">
        <v>15</v>
      </c>
    </row>
    <row r="14" spans="1:17" s="20" customFormat="1" ht="13.5" thickBot="1">
      <c r="A14" s="79" t="s">
        <v>48</v>
      </c>
      <c r="B14" s="38"/>
      <c r="C14" s="39">
        <f>'[1]2011'!C8</f>
        <v>23977.800000000003</v>
      </c>
      <c r="D14" s="39">
        <f>'[1]2011'!D8</f>
        <v>2024.2155283050008</v>
      </c>
      <c r="E14" s="38">
        <f>'[1]2011'!I8</f>
        <v>14759.89</v>
      </c>
      <c r="F14" s="38">
        <f>'[1]2011'!H8</f>
        <v>6713.699999999999</v>
      </c>
      <c r="G14" s="37">
        <f>'[1]2011'!M8</f>
        <v>13701.2</v>
      </c>
      <c r="H14" s="37">
        <f>'[1]2011'!N8</f>
        <v>22439.115528305003</v>
      </c>
      <c r="I14" s="37">
        <f>'[1]2011'!P8</f>
        <v>1635.4799999999996</v>
      </c>
      <c r="J14" s="37">
        <f>'[1]2011'!Q8</f>
        <v>546.364896</v>
      </c>
      <c r="K14" s="37">
        <f>'[1]2011'!R8</f>
        <v>11498.493534066</v>
      </c>
      <c r="L14" s="38">
        <f>'[1]2011'!S8+'[1]2011'!T8+'[1]2011'!U8</f>
        <v>6206.1964</v>
      </c>
      <c r="M14" s="77">
        <f>'[1]2011'!AA8</f>
        <v>19886.534830066</v>
      </c>
      <c r="N14" s="77">
        <f>'[1]2011'!AB8</f>
        <v>2552.5806982390004</v>
      </c>
      <c r="O14" s="77">
        <f>'[1]2011'!AC8</f>
        <v>-1058.6900000000003</v>
      </c>
      <c r="P14" s="71"/>
      <c r="Q14" s="70"/>
    </row>
    <row r="15" spans="1:17" ht="12.75">
      <c r="A15" s="7" t="s">
        <v>98</v>
      </c>
      <c r="B15" s="351"/>
      <c r="C15" s="41"/>
      <c r="D15" s="42"/>
      <c r="E15" s="352"/>
      <c r="F15" s="353"/>
      <c r="G15" s="354"/>
      <c r="H15" s="353"/>
      <c r="I15" s="354"/>
      <c r="J15" s="355"/>
      <c r="K15" s="356"/>
      <c r="L15" s="357"/>
      <c r="M15" s="358"/>
      <c r="N15" s="359"/>
      <c r="O15" s="359"/>
      <c r="P15" s="242"/>
      <c r="Q15" s="242"/>
    </row>
    <row r="16" spans="1:17" ht="12.75">
      <c r="A16" s="360" t="s">
        <v>39</v>
      </c>
      <c r="B16" s="81">
        <f>'[1]2011'!B10</f>
        <v>115.5</v>
      </c>
      <c r="C16" s="81">
        <f>'[1]2011'!C10</f>
        <v>987.5250000000001</v>
      </c>
      <c r="D16" s="81">
        <f>'[1]2011'!D10</f>
        <v>0</v>
      </c>
      <c r="E16" s="356">
        <f>'[1]2011'!I10</f>
        <v>402.37</v>
      </c>
      <c r="F16" s="358">
        <v>0</v>
      </c>
      <c r="G16" s="358">
        <f>'[1]2011'!M10</f>
        <v>474.27</v>
      </c>
      <c r="H16" s="358">
        <f>'[1]2011'!N10</f>
        <v>474.27</v>
      </c>
      <c r="I16" s="361">
        <f>'[1]2011'!P10</f>
        <v>77.385</v>
      </c>
      <c r="J16" s="361">
        <f>'[1]2011'!Q10</f>
        <v>23.1</v>
      </c>
      <c r="K16" s="361">
        <f>'[1]2011'!R10</f>
        <v>488.56500000000005</v>
      </c>
      <c r="L16" s="357">
        <f>'[1]2011'!T10</f>
        <v>0</v>
      </c>
      <c r="M16" s="357">
        <f>'[1]2011'!AA10</f>
        <v>589.0500000000001</v>
      </c>
      <c r="N16" s="357">
        <f>'[1]2011'!AB10</f>
        <v>-114.78000000000009</v>
      </c>
      <c r="O16" s="357">
        <f>'[1]2011'!AC10</f>
        <v>71.89999999999998</v>
      </c>
      <c r="P16" s="242"/>
      <c r="Q16" s="242"/>
    </row>
    <row r="17" spans="1:17" ht="12.75">
      <c r="A17" s="360" t="s">
        <v>40</v>
      </c>
      <c r="B17" s="81">
        <f>'[1]2011'!B11</f>
        <v>115.5</v>
      </c>
      <c r="C17" s="81">
        <f>'[1]2011'!C11</f>
        <v>987.5250000000001</v>
      </c>
      <c r="D17" s="81">
        <f>'[1]2011'!D11</f>
        <v>0</v>
      </c>
      <c r="E17" s="356">
        <f>'[1]2011'!I11</f>
        <v>1632.5500000000002</v>
      </c>
      <c r="F17" s="358">
        <v>0</v>
      </c>
      <c r="G17" s="358">
        <f>'[1]2011'!M11</f>
        <v>987.4100000000001</v>
      </c>
      <c r="H17" s="358">
        <f>'[1]2011'!N11</f>
        <v>987.4100000000001</v>
      </c>
      <c r="I17" s="361">
        <f>'[1]2011'!P11</f>
        <v>77.385</v>
      </c>
      <c r="J17" s="361">
        <f>'[1]2011'!Q11</f>
        <v>23.1</v>
      </c>
      <c r="K17" s="361">
        <f>'[1]2011'!R11</f>
        <v>488.56500000000005</v>
      </c>
      <c r="L17" s="357">
        <f>'[1]2011'!T11</f>
        <v>0</v>
      </c>
      <c r="M17" s="357">
        <f>'[1]2011'!AA11</f>
        <v>589.0500000000001</v>
      </c>
      <c r="N17" s="357">
        <f>'[1]2011'!AB11</f>
        <v>398.36</v>
      </c>
      <c r="O17" s="357">
        <f>'[1]2011'!AC11</f>
        <v>-645.1400000000001</v>
      </c>
      <c r="P17" s="242"/>
      <c r="Q17" s="242"/>
    </row>
    <row r="18" spans="1:17" ht="12.75">
      <c r="A18" s="360" t="s">
        <v>41</v>
      </c>
      <c r="B18" s="81">
        <f>'[1]2011'!B12</f>
        <v>115.5</v>
      </c>
      <c r="C18" s="81">
        <f>'[1]2011'!C12</f>
        <v>987.5250000000001</v>
      </c>
      <c r="D18" s="81">
        <f>'[1]2011'!D12</f>
        <v>0</v>
      </c>
      <c r="E18" s="356">
        <f>'[1]2011'!I12</f>
        <v>1017.46</v>
      </c>
      <c r="F18" s="358">
        <v>0</v>
      </c>
      <c r="G18" s="358">
        <f>'[1]2011'!M12</f>
        <v>1016.4000000000001</v>
      </c>
      <c r="H18" s="358">
        <f>'[1]2011'!N12</f>
        <v>1016.4000000000001</v>
      </c>
      <c r="I18" s="361">
        <f>'[1]2011'!P12</f>
        <v>77.385</v>
      </c>
      <c r="J18" s="361">
        <f>'[1]2011'!Q12</f>
        <v>23.1</v>
      </c>
      <c r="K18" s="361">
        <f>'[1]2011'!R12</f>
        <v>488.56500000000005</v>
      </c>
      <c r="L18" s="357">
        <f>'[1]2011'!T12</f>
        <v>0</v>
      </c>
      <c r="M18" s="357">
        <f>'[1]2011'!AA12</f>
        <v>589.0500000000001</v>
      </c>
      <c r="N18" s="357">
        <f>'[1]2011'!AB12</f>
        <v>427.35</v>
      </c>
      <c r="O18" s="357">
        <f>'[1]2011'!AC12</f>
        <v>-1.0599999999999454</v>
      </c>
      <c r="P18" s="242"/>
      <c r="Q18" s="242"/>
    </row>
    <row r="19" spans="1:17" ht="12.75">
      <c r="A19" s="360" t="s">
        <v>42</v>
      </c>
      <c r="B19" s="81">
        <f>'[1]2011'!B13</f>
        <v>115.5</v>
      </c>
      <c r="C19" s="81">
        <f>'[1]2011'!C13</f>
        <v>987.5250000000001</v>
      </c>
      <c r="D19" s="81">
        <f>'[1]2011'!D13</f>
        <v>0</v>
      </c>
      <c r="E19" s="356">
        <f>'[1]2011'!I13</f>
        <v>1017.46</v>
      </c>
      <c r="F19" s="358">
        <v>0</v>
      </c>
      <c r="G19" s="358">
        <f>'[1]2011'!M13</f>
        <v>1016.4899999999999</v>
      </c>
      <c r="H19" s="358">
        <f>'[1]2011'!N13</f>
        <v>1016.4899999999999</v>
      </c>
      <c r="I19" s="361">
        <f>'[1]2011'!P13</f>
        <v>77.385</v>
      </c>
      <c r="J19" s="361">
        <f>'[1]2011'!Q13</f>
        <v>23.1</v>
      </c>
      <c r="K19" s="361">
        <f>'[1]2011'!R13</f>
        <v>488.56500000000005</v>
      </c>
      <c r="L19" s="357">
        <f>'[1]2011'!T13</f>
        <v>0</v>
      </c>
      <c r="M19" s="357">
        <f>'[1]2011'!AA13</f>
        <v>589.0500000000001</v>
      </c>
      <c r="N19" s="357">
        <f>'[1]2011'!AB13</f>
        <v>427.4399999999998</v>
      </c>
      <c r="O19" s="357">
        <f>'[1]2011'!AC13</f>
        <v>-0.970000000000141</v>
      </c>
      <c r="P19" s="242"/>
      <c r="Q19" s="242"/>
    </row>
    <row r="20" spans="1:17" ht="12.75">
      <c r="A20" s="360" t="s">
        <v>43</v>
      </c>
      <c r="B20" s="81">
        <f>'[1]2011'!B14</f>
        <v>115.5</v>
      </c>
      <c r="C20" s="81">
        <f>'[1]2011'!C14</f>
        <v>987.5250000000001</v>
      </c>
      <c r="D20" s="81">
        <f>'[1]2011'!D14</f>
        <v>0</v>
      </c>
      <c r="E20" s="356">
        <f>'[1]2011'!I14</f>
        <v>1017.46</v>
      </c>
      <c r="F20" s="358">
        <v>0</v>
      </c>
      <c r="G20" s="358">
        <f>'[1]2011'!M14</f>
        <v>1017.35</v>
      </c>
      <c r="H20" s="358">
        <f>'[1]2011'!N14</f>
        <v>1017.35</v>
      </c>
      <c r="I20" s="361">
        <f>'[1]2011'!P14</f>
        <v>77.385</v>
      </c>
      <c r="J20" s="361">
        <f>'[1]2011'!Q14</f>
        <v>23.1</v>
      </c>
      <c r="K20" s="361">
        <f>'[1]2011'!R14</f>
        <v>488.56500000000005</v>
      </c>
      <c r="L20" s="357">
        <f>'[1]2011'!T14</f>
        <v>0</v>
      </c>
      <c r="M20" s="357">
        <f>'[1]2011'!AA14</f>
        <v>589.0500000000001</v>
      </c>
      <c r="N20" s="357">
        <f>'[1]2011'!AB14</f>
        <v>428.29999999999995</v>
      </c>
      <c r="O20" s="357">
        <f>'[1]2011'!AC14</f>
        <v>-0.11000000000001364</v>
      </c>
      <c r="P20" s="242"/>
      <c r="Q20" s="242"/>
    </row>
    <row r="21" spans="1:17" ht="12.75">
      <c r="A21" s="360" t="s">
        <v>44</v>
      </c>
      <c r="B21" s="81">
        <f>'[1]2011'!B15</f>
        <v>115.5</v>
      </c>
      <c r="C21" s="81">
        <f>'[1]2011'!C15</f>
        <v>987.5250000000001</v>
      </c>
      <c r="D21" s="81">
        <f>'[1]2011'!D15</f>
        <v>0</v>
      </c>
      <c r="E21" s="356">
        <f>'[1]2011'!I15</f>
        <v>1017.46</v>
      </c>
      <c r="F21" s="358">
        <v>0</v>
      </c>
      <c r="G21" s="358">
        <f>'[1]2011'!M15</f>
        <v>1012.25</v>
      </c>
      <c r="H21" s="358">
        <f>'[1]2011'!N15</f>
        <v>1012.25</v>
      </c>
      <c r="I21" s="361">
        <f>'[1]2011'!P15</f>
        <v>77.385</v>
      </c>
      <c r="J21" s="361">
        <f>'[1]2011'!Q15</f>
        <v>23.1</v>
      </c>
      <c r="K21" s="361">
        <f>'[1]2011'!R15</f>
        <v>375.375</v>
      </c>
      <c r="L21" s="357">
        <f>'[1]2011'!T15</f>
        <v>0</v>
      </c>
      <c r="M21" s="357">
        <f>'[1]2011'!AA15</f>
        <v>475.86</v>
      </c>
      <c r="N21" s="357">
        <f>'[1]2011'!AB15</f>
        <v>536.39</v>
      </c>
      <c r="O21" s="357">
        <f>'[1]2011'!AC15</f>
        <v>-5.210000000000036</v>
      </c>
      <c r="P21" s="242"/>
      <c r="Q21" s="242"/>
    </row>
    <row r="22" spans="1:17" ht="12.75">
      <c r="A22" s="360" t="s">
        <v>45</v>
      </c>
      <c r="B22" s="81">
        <f>'[1]2011'!B16</f>
        <v>115.5</v>
      </c>
      <c r="C22" s="81">
        <f>'[1]2011'!C16</f>
        <v>987.5250000000001</v>
      </c>
      <c r="D22" s="81">
        <f>'[1]2011'!D16</f>
        <v>0</v>
      </c>
      <c r="E22" s="356">
        <f>'[1]2011'!I16</f>
        <v>1017.46</v>
      </c>
      <c r="F22" s="358">
        <v>0</v>
      </c>
      <c r="G22" s="358">
        <f>'[1]2011'!M16</f>
        <v>1018.2</v>
      </c>
      <c r="H22" s="358">
        <f>'[1]2011'!N16</f>
        <v>1018.2</v>
      </c>
      <c r="I22" s="361">
        <f>'[1]2011'!P16</f>
        <v>77.385</v>
      </c>
      <c r="J22" s="361">
        <f>'[1]2011'!Q16</f>
        <v>23.1</v>
      </c>
      <c r="K22" s="361">
        <f>'[1]2011'!R16</f>
        <v>375.375</v>
      </c>
      <c r="L22" s="357">
        <f>'[1]2011'!T16</f>
        <v>0</v>
      </c>
      <c r="M22" s="357">
        <f>'[1]2011'!AA16</f>
        <v>475.86</v>
      </c>
      <c r="N22" s="357">
        <f>'[1]2011'!AB16</f>
        <v>542.34</v>
      </c>
      <c r="O22" s="357">
        <f>'[1]2011'!AC16</f>
        <v>0.7400000000000091</v>
      </c>
      <c r="P22" s="242"/>
      <c r="Q22" s="242"/>
    </row>
    <row r="23" spans="1:17" ht="12.75">
      <c r="A23" s="360" t="s">
        <v>46</v>
      </c>
      <c r="B23" s="81">
        <f>'[1]2011'!B17</f>
        <v>115.5</v>
      </c>
      <c r="C23" s="81">
        <f>'[1]2011'!C17</f>
        <v>987.5250000000001</v>
      </c>
      <c r="D23" s="81">
        <f>'[1]2011'!D17</f>
        <v>0</v>
      </c>
      <c r="E23" s="356">
        <f>'[1]2011'!I17</f>
        <v>1017.46</v>
      </c>
      <c r="F23" s="358">
        <v>0</v>
      </c>
      <c r="G23" s="358">
        <f>'[1]2011'!M17</f>
        <v>970.85</v>
      </c>
      <c r="H23" s="358">
        <f>'[1]2011'!N17</f>
        <v>970.85</v>
      </c>
      <c r="I23" s="361">
        <f>'[1]2011'!P17</f>
        <v>77.385</v>
      </c>
      <c r="J23" s="361">
        <f>'[1]2011'!Q17</f>
        <v>23.1</v>
      </c>
      <c r="K23" s="361">
        <f>'[1]2011'!R17</f>
        <v>375.375</v>
      </c>
      <c r="L23" s="357">
        <f>'[1]2011'!T17</f>
        <v>0</v>
      </c>
      <c r="M23" s="357">
        <f>'[1]2011'!AA17</f>
        <v>475.86</v>
      </c>
      <c r="N23" s="357">
        <f>'[1]2011'!AB17</f>
        <v>494.99</v>
      </c>
      <c r="O23" s="357">
        <f>'[1]2011'!AC17</f>
        <v>-46.610000000000014</v>
      </c>
      <c r="P23" s="242"/>
      <c r="Q23" s="242"/>
    </row>
    <row r="24" spans="1:17" ht="12.75">
      <c r="A24" s="360" t="s">
        <v>47</v>
      </c>
      <c r="B24" s="81">
        <f>'[1]2011'!B18</f>
        <v>115.5</v>
      </c>
      <c r="C24" s="81">
        <f>'[1]2011'!C18</f>
        <v>987.5250000000001</v>
      </c>
      <c r="D24" s="81">
        <f>'[1]2011'!D18</f>
        <v>0</v>
      </c>
      <c r="E24" s="356">
        <f>'[1]2011'!I18</f>
        <v>1017.46</v>
      </c>
      <c r="F24" s="358">
        <v>0</v>
      </c>
      <c r="G24" s="358">
        <f>'[1]2011'!M18</f>
        <v>1062.05</v>
      </c>
      <c r="H24" s="358">
        <f>'[1]2011'!N18</f>
        <v>1062.05</v>
      </c>
      <c r="I24" s="361">
        <f>'[1]2011'!P18</f>
        <v>77.385</v>
      </c>
      <c r="J24" s="361">
        <f>'[1]2011'!Q18</f>
        <v>23.1</v>
      </c>
      <c r="K24" s="361">
        <f>'[1]2011'!R18</f>
        <v>375.375</v>
      </c>
      <c r="L24" s="357">
        <f>'[1]2011'!T18</f>
        <v>0</v>
      </c>
      <c r="M24" s="357">
        <f>'[1]2011'!AA18</f>
        <v>475.86</v>
      </c>
      <c r="N24" s="357">
        <f>'[1]2011'!AB18</f>
        <v>586.1899999999999</v>
      </c>
      <c r="O24" s="357">
        <f>'[1]2011'!AC18</f>
        <v>44.58999999999992</v>
      </c>
      <c r="P24" s="242"/>
      <c r="Q24" s="242"/>
    </row>
    <row r="25" spans="1:17" ht="12.75">
      <c r="A25" s="360" t="s">
        <v>35</v>
      </c>
      <c r="B25" s="81">
        <f>'[1]2011'!B19</f>
        <v>115.5</v>
      </c>
      <c r="C25" s="81">
        <f>'[1]2011'!C19</f>
        <v>987.5250000000001</v>
      </c>
      <c r="D25" s="81">
        <f>'[1]2011'!D19</f>
        <v>0</v>
      </c>
      <c r="E25" s="356">
        <f>'[1]2011'!I19</f>
        <v>1017.46</v>
      </c>
      <c r="F25" s="358">
        <v>0</v>
      </c>
      <c r="G25" s="358">
        <f>'[1]2011'!M19</f>
        <v>1421.59</v>
      </c>
      <c r="H25" s="358">
        <f>'[1]2011'!N19</f>
        <v>1421.59</v>
      </c>
      <c r="I25" s="361">
        <f>'[1]2011'!P19</f>
        <v>77.385</v>
      </c>
      <c r="J25" s="361">
        <f>'[1]2011'!Q19</f>
        <v>23.1</v>
      </c>
      <c r="K25" s="361">
        <f>'[1]2011'!R19</f>
        <v>375.375</v>
      </c>
      <c r="L25" s="357">
        <f>'[1]2011'!T19</f>
        <v>0</v>
      </c>
      <c r="M25" s="357">
        <f>'[1]2011'!AA19</f>
        <v>475.86</v>
      </c>
      <c r="N25" s="357">
        <f>'[1]2011'!AB19</f>
        <v>945.7299999999999</v>
      </c>
      <c r="O25" s="357">
        <f>'[1]2011'!AC19</f>
        <v>404.1299999999999</v>
      </c>
      <c r="P25" s="242"/>
      <c r="Q25" s="242"/>
    </row>
    <row r="26" spans="1:17" ht="12.75">
      <c r="A26" s="360" t="s">
        <v>36</v>
      </c>
      <c r="B26" s="81">
        <f>'[1]2011'!B20</f>
        <v>115.5</v>
      </c>
      <c r="C26" s="81">
        <f>'[1]2011'!C20</f>
        <v>987.5250000000001</v>
      </c>
      <c r="D26" s="81">
        <f>'[1]2011'!D20</f>
        <v>0</v>
      </c>
      <c r="E26" s="356">
        <f>'[1]2011'!I20</f>
        <v>1017.46</v>
      </c>
      <c r="F26" s="358">
        <v>0</v>
      </c>
      <c r="G26" s="358">
        <f>'[1]2011'!M20</f>
        <v>627.0500000000001</v>
      </c>
      <c r="H26" s="358">
        <f>'[1]2011'!N20</f>
        <v>627.0500000000001</v>
      </c>
      <c r="I26" s="361">
        <f>'[1]2011'!P20</f>
        <v>77.385</v>
      </c>
      <c r="J26" s="361">
        <f>'[1]2011'!Q20</f>
        <v>23.1</v>
      </c>
      <c r="K26" s="361">
        <f>'[1]2011'!R20</f>
        <v>375.375</v>
      </c>
      <c r="L26" s="357">
        <f>'[1]2011'!T20</f>
        <v>0</v>
      </c>
      <c r="M26" s="357">
        <f>'[1]2011'!AA20</f>
        <v>475.86</v>
      </c>
      <c r="N26" s="357">
        <f>'[1]2011'!AB20</f>
        <v>151.19000000000005</v>
      </c>
      <c r="O26" s="357">
        <f>'[1]2011'!AC20</f>
        <v>-390.40999999999997</v>
      </c>
      <c r="P26" s="242"/>
      <c r="Q26" s="242"/>
    </row>
    <row r="27" spans="1:17" ht="13.5" thickBot="1">
      <c r="A27" s="360" t="s">
        <v>37</v>
      </c>
      <c r="B27" s="81">
        <f>'[1]2011'!B21</f>
        <v>115.5</v>
      </c>
      <c r="C27" s="81">
        <f>'[1]2011'!C21</f>
        <v>987.5250000000001</v>
      </c>
      <c r="D27" s="81">
        <f>'[1]2011'!D21</f>
        <v>0</v>
      </c>
      <c r="E27" s="356">
        <f>'[1]2011'!I21</f>
        <v>1021.86</v>
      </c>
      <c r="F27" s="358">
        <v>0</v>
      </c>
      <c r="G27" s="358">
        <f>'[1]2011'!M21</f>
        <v>964.46</v>
      </c>
      <c r="H27" s="358">
        <f>'[1]2011'!N21</f>
        <v>964.46</v>
      </c>
      <c r="I27" s="361">
        <f>'[1]2011'!P21</f>
        <v>77.385</v>
      </c>
      <c r="J27" s="361">
        <f>'[1]2011'!Q21</f>
        <v>23.1</v>
      </c>
      <c r="K27" s="361">
        <f>'[1]2011'!R21</f>
        <v>375.375</v>
      </c>
      <c r="L27" s="357">
        <f>'[1]2011'!T21</f>
        <v>0</v>
      </c>
      <c r="M27" s="357">
        <f>'[1]2011'!AA21</f>
        <v>475.86</v>
      </c>
      <c r="N27" s="357">
        <f>'[1]2011'!AB21</f>
        <v>488.6</v>
      </c>
      <c r="O27" s="357">
        <f>'[1]2011'!AC21</f>
        <v>-57.39999999999998</v>
      </c>
      <c r="P27" s="242"/>
      <c r="Q27" s="242"/>
    </row>
    <row r="28" spans="1:17" s="20" customFormat="1" ht="13.5" thickBot="1">
      <c r="A28" s="34" t="s">
        <v>5</v>
      </c>
      <c r="B28" s="35"/>
      <c r="C28" s="74">
        <f aca="true" t="shared" si="0" ref="C28:N28">SUM(C16:C27)</f>
        <v>11850.299999999997</v>
      </c>
      <c r="D28" s="74">
        <f t="shared" si="0"/>
        <v>0</v>
      </c>
      <c r="E28" s="74">
        <f t="shared" si="0"/>
        <v>12213.919999999998</v>
      </c>
      <c r="F28" s="74">
        <f t="shared" si="0"/>
        <v>0</v>
      </c>
      <c r="G28" s="74">
        <f t="shared" si="0"/>
        <v>11588.369999999999</v>
      </c>
      <c r="H28" s="74">
        <f t="shared" si="0"/>
        <v>11588.369999999999</v>
      </c>
      <c r="I28" s="74">
        <f t="shared" si="0"/>
        <v>928.62</v>
      </c>
      <c r="J28" s="74">
        <f t="shared" si="0"/>
        <v>277.2</v>
      </c>
      <c r="K28" s="74">
        <f t="shared" si="0"/>
        <v>5070.450000000001</v>
      </c>
      <c r="L28" s="74">
        <f t="shared" si="0"/>
        <v>0</v>
      </c>
      <c r="M28" s="74">
        <f t="shared" si="0"/>
        <v>6276.2699999999995</v>
      </c>
      <c r="N28" s="74">
        <f t="shared" si="0"/>
        <v>5312.1</v>
      </c>
      <c r="O28" s="74">
        <f>SUM(O16:O27)</f>
        <v>-625.5500000000004</v>
      </c>
      <c r="P28" s="70"/>
      <c r="Q28" s="70"/>
    </row>
    <row r="29" spans="1:17" ht="13.5" thickBot="1">
      <c r="A29" s="227" t="s">
        <v>63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362"/>
      <c r="P29" s="242"/>
      <c r="Q29" s="242"/>
    </row>
    <row r="30" spans="1:17" s="20" customFormat="1" ht="13.5" thickBot="1">
      <c r="A30" s="79" t="s">
        <v>48</v>
      </c>
      <c r="B30" s="38"/>
      <c r="C30" s="39">
        <f aca="true" t="shared" si="1" ref="C30:K30">C14+C28</f>
        <v>35828.1</v>
      </c>
      <c r="D30" s="37">
        <f t="shared" si="1"/>
        <v>2024.2155283050008</v>
      </c>
      <c r="E30" s="38">
        <f t="shared" si="1"/>
        <v>26973.809999999998</v>
      </c>
      <c r="F30" s="39">
        <f t="shared" si="1"/>
        <v>6713.699999999999</v>
      </c>
      <c r="G30" s="37">
        <f t="shared" si="1"/>
        <v>25289.57</v>
      </c>
      <c r="H30" s="39">
        <f t="shared" si="1"/>
        <v>34027.485528305</v>
      </c>
      <c r="I30" s="37">
        <f t="shared" si="1"/>
        <v>2564.0999999999995</v>
      </c>
      <c r="J30" s="37">
        <f t="shared" si="1"/>
        <v>823.5648960000001</v>
      </c>
      <c r="K30" s="37">
        <f t="shared" si="1"/>
        <v>16568.943534066</v>
      </c>
      <c r="L30" s="38">
        <f>L14+L28</f>
        <v>6206.1964</v>
      </c>
      <c r="M30" s="77">
        <f>M14+M28</f>
        <v>26162.804830066</v>
      </c>
      <c r="N30" s="76">
        <f>N14+N28</f>
        <v>7864.680698239001</v>
      </c>
      <c r="O30" s="76">
        <f>O14+O28</f>
        <v>-1684.2400000000007</v>
      </c>
      <c r="P30" s="71"/>
      <c r="Q30" s="70"/>
    </row>
    <row r="32" spans="1:17" ht="12.75">
      <c r="A32" s="20" t="s">
        <v>81</v>
      </c>
      <c r="D32" s="82" t="s">
        <v>102</v>
      </c>
      <c r="P32" s="242"/>
      <c r="Q32" s="242"/>
    </row>
    <row r="33" spans="1:17" ht="12.75">
      <c r="A33" s="295" t="s">
        <v>64</v>
      </c>
      <c r="B33" s="295" t="s">
        <v>65</v>
      </c>
      <c r="C33" s="363" t="s">
        <v>66</v>
      </c>
      <c r="D33" s="363"/>
      <c r="P33" s="242"/>
      <c r="Q33" s="242"/>
    </row>
    <row r="34" spans="1:17" ht="12.75">
      <c r="A34" s="108">
        <v>7610.81</v>
      </c>
      <c r="B34" s="108">
        <v>7790</v>
      </c>
      <c r="C34" s="364">
        <f>A34-B34</f>
        <v>-179.1899999999996</v>
      </c>
      <c r="D34" s="365"/>
      <c r="P34" s="242"/>
      <c r="Q34" s="242"/>
    </row>
    <row r="35" spans="1:17" ht="12.75">
      <c r="A35" s="366"/>
      <c r="P35" s="242"/>
      <c r="Q35" s="242"/>
    </row>
    <row r="36" spans="1:17" ht="12.75">
      <c r="A36" s="243" t="s">
        <v>69</v>
      </c>
      <c r="G36" s="243" t="s">
        <v>70</v>
      </c>
      <c r="P36" s="242"/>
      <c r="Q36" s="242"/>
    </row>
    <row r="37" ht="12.75">
      <c r="A37" s="242"/>
    </row>
    <row r="38" ht="12.75">
      <c r="A38" s="82" t="s">
        <v>103</v>
      </c>
    </row>
    <row r="39" ht="12.75">
      <c r="A39" s="243" t="s">
        <v>71</v>
      </c>
    </row>
  </sheetData>
  <sheetProtection/>
  <mergeCells count="25"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B1:H1"/>
    <mergeCell ref="B2:H2"/>
    <mergeCell ref="A5:N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2010-08-17T07:53:17Z</cp:lastPrinted>
  <dcterms:created xsi:type="dcterms:W3CDTF">2010-04-02T05:03:24Z</dcterms:created>
  <dcterms:modified xsi:type="dcterms:W3CDTF">2012-06-05T03:21:57Z</dcterms:modified>
  <cp:category/>
  <cp:version/>
  <cp:contentType/>
  <cp:contentStatus/>
</cp:coreProperties>
</file>