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<sst xmlns="http://schemas.openxmlformats.org/spreadsheetml/2006/main" count="152" uniqueCount="87">
  <si>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</si>
  <si>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</si>
  <si>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</si>
  <si>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</si>
  <si>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</si>
  <si>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</si>
  <si>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</si>
  <si>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</si>
  <si>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</si>
  <si>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</si>
  <si>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</si>
  <si>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</si>
  <si>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</si>
  <si>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</si>
  <si>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</si>
  <si>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</si>
  <si>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</si>
  <si>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</si>
  <si>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</si>
  <si>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</si>
  <si>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</si>
  <si>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</si>
  <si>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</si>
  <si>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</si>
  <si>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</si>
  <si>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</si>
  <si>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</si>
  <si>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</si>
  <si>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</si>
  <si>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</si>
  <si>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</si>
  <si>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</si>
  <si>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</si>
  <si>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</si>
  <si>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</si>
  <si>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</si>
  <si>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</si>
  <si>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</si>
  <si>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</si>
  <si>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</si>
  <si>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</si>
  <si>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</si>
  <si>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</si>
  <si>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</si>
  <si>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</si>
  <si>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</si>
  <si>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</si>
  <si>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</si>
  <si>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</si>
  <si>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</si>
  <si>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</si>
  <si>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</si>
  <si>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</si>
  <si>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</si>
  <si>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</si>
  <si>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</si>
  <si>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</si>
  <si>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</si>
  <si>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</si>
  <si>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</si>
  <si>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</si>
  <si>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</si>
  <si>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</si>
  <si>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</si>
  <si>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</si>
  <si>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</si>
  <si>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</si>
  <si>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</si>
  <si>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</si>
  <si>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</si>
  <si>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</si>
  <si>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</si>
  <si>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</si>
  <si>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</si>
  <si>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</si>
  <si>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</si>
  <si>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</si>
  <si>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</si>
  <si>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Собрано за содержание и тек.рем.</t>
  </si>
  <si>
    <t>Капитальный ремонт</t>
  </si>
  <si>
    <t>Лицевой счет по адресу г. Таштагол, ул. Коммунистическая, д. 27</t>
  </si>
  <si>
    <t>Выписка по лицевому счету по адресу г. Таштагол ул. Коммунистическая, д. 27</t>
  </si>
  <si>
    <t>2010 год</t>
  </si>
  <si>
    <t>январь</t>
  </si>
  <si>
    <t>февраль</t>
  </si>
  <si>
    <t>*по состоянию на 01.01.2011 г.</t>
  </si>
  <si>
    <t>за период с марта 2009 г. по декабрь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</si>
</sst>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3" fontId="2" fillId="34" borderId="12" xfId="60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39" xfId="33" applyNumberFormat="1" applyFont="1" applyFill="1" applyBorder="1" applyAlignment="1">
      <alignment horizontal="right" vertical="center" wrapText="1"/>
      <protection/>
    </xf>
    <xf numFmtId="4" fontId="0" fillId="0" borderId="36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vertical="center" wrapText="1"/>
    </xf>
    <xf numFmtId="4" fontId="0" fillId="0" borderId="39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2" fontId="0" fillId="0" borderId="36" xfId="0" applyNumberFormat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47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pane xSplit="2" ySplit="7" topLeftCell="AH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S23" sqref="AS23:AS3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85" t="s">
        <v>80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86" t="s">
        <v>0</v>
      </c>
      <c r="B3" s="189" t="s">
        <v>1</v>
      </c>
      <c r="C3" s="189" t="s">
        <v>2</v>
      </c>
      <c r="D3" s="189" t="s">
        <v>3</v>
      </c>
      <c r="E3" s="192" t="s">
        <v>4</v>
      </c>
      <c r="F3" s="192"/>
      <c r="G3" s="192"/>
      <c r="H3" s="192"/>
      <c r="I3" s="192"/>
      <c r="J3" s="192"/>
      <c r="K3" s="192"/>
      <c r="L3" s="192"/>
      <c r="M3" s="192"/>
      <c r="N3" s="192"/>
      <c r="O3" s="170" t="s">
        <v>5</v>
      </c>
      <c r="P3" s="170"/>
      <c r="Q3" s="172" t="s">
        <v>6</v>
      </c>
      <c r="R3" s="172"/>
      <c r="S3" s="172"/>
      <c r="T3" s="172"/>
      <c r="U3" s="172"/>
      <c r="V3" s="172"/>
      <c r="W3" s="174" t="s">
        <v>76</v>
      </c>
      <c r="X3" s="163" t="s">
        <v>64</v>
      </c>
      <c r="Y3" s="166" t="s">
        <v>8</v>
      </c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82" t="s">
        <v>65</v>
      </c>
      <c r="AU3" s="167" t="s">
        <v>9</v>
      </c>
      <c r="AV3" s="177" t="s">
        <v>10</v>
      </c>
    </row>
    <row r="4" spans="1:48" ht="36" customHeight="1" thickBot="1">
      <c r="A4" s="187"/>
      <c r="B4" s="190"/>
      <c r="C4" s="190"/>
      <c r="D4" s="190"/>
      <c r="E4" s="171" t="s">
        <v>11</v>
      </c>
      <c r="F4" s="171"/>
      <c r="G4" s="171" t="s">
        <v>12</v>
      </c>
      <c r="H4" s="171"/>
      <c r="I4" s="171" t="s">
        <v>13</v>
      </c>
      <c r="J4" s="171"/>
      <c r="K4" s="171" t="s">
        <v>14</v>
      </c>
      <c r="L4" s="171"/>
      <c r="M4" s="171" t="s">
        <v>15</v>
      </c>
      <c r="N4" s="171"/>
      <c r="O4" s="171"/>
      <c r="P4" s="171"/>
      <c r="Q4" s="173"/>
      <c r="R4" s="173"/>
      <c r="S4" s="173"/>
      <c r="T4" s="173"/>
      <c r="U4" s="173"/>
      <c r="V4" s="173"/>
      <c r="W4" s="175"/>
      <c r="X4" s="164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83"/>
      <c r="AU4" s="168"/>
      <c r="AV4" s="178"/>
    </row>
    <row r="5" spans="1:48" ht="29.25" customHeight="1" thickBot="1">
      <c r="A5" s="187"/>
      <c r="B5" s="190"/>
      <c r="C5" s="190"/>
      <c r="D5" s="190"/>
      <c r="E5" s="150" t="s">
        <v>16</v>
      </c>
      <c r="F5" s="150" t="s">
        <v>17</v>
      </c>
      <c r="G5" s="150" t="s">
        <v>16</v>
      </c>
      <c r="H5" s="150" t="s">
        <v>17</v>
      </c>
      <c r="I5" s="150" t="s">
        <v>16</v>
      </c>
      <c r="J5" s="150" t="s">
        <v>17</v>
      </c>
      <c r="K5" s="150" t="s">
        <v>16</v>
      </c>
      <c r="L5" s="150" t="s">
        <v>17</v>
      </c>
      <c r="M5" s="150" t="s">
        <v>16</v>
      </c>
      <c r="N5" s="150" t="s">
        <v>17</v>
      </c>
      <c r="O5" s="150" t="s">
        <v>16</v>
      </c>
      <c r="P5" s="150" t="s">
        <v>17</v>
      </c>
      <c r="Q5" s="148" t="s">
        <v>18</v>
      </c>
      <c r="R5" s="148" t="s">
        <v>19</v>
      </c>
      <c r="S5" s="148" t="s">
        <v>20</v>
      </c>
      <c r="T5" s="148" t="s">
        <v>21</v>
      </c>
      <c r="U5" s="148" t="s">
        <v>22</v>
      </c>
      <c r="V5" s="148" t="s">
        <v>23</v>
      </c>
      <c r="W5" s="175"/>
      <c r="X5" s="164"/>
      <c r="Y5" s="155" t="s">
        <v>24</v>
      </c>
      <c r="Z5" s="155" t="s">
        <v>25</v>
      </c>
      <c r="AA5" s="155" t="s">
        <v>26</v>
      </c>
      <c r="AB5" s="155" t="s">
        <v>27</v>
      </c>
      <c r="AC5" s="155" t="s">
        <v>28</v>
      </c>
      <c r="AD5" s="155" t="s">
        <v>27</v>
      </c>
      <c r="AE5" s="155" t="s">
        <v>29</v>
      </c>
      <c r="AF5" s="155" t="s">
        <v>27</v>
      </c>
      <c r="AG5" s="155" t="s">
        <v>30</v>
      </c>
      <c r="AH5" s="155" t="s">
        <v>27</v>
      </c>
      <c r="AI5" s="157" t="s">
        <v>69</v>
      </c>
      <c r="AJ5" s="159" t="s">
        <v>27</v>
      </c>
      <c r="AK5" s="180" t="s">
        <v>70</v>
      </c>
      <c r="AL5" s="161" t="s">
        <v>71</v>
      </c>
      <c r="AM5" s="161" t="s">
        <v>27</v>
      </c>
      <c r="AN5" s="152" t="s">
        <v>72</v>
      </c>
      <c r="AO5" s="153"/>
      <c r="AP5" s="154"/>
      <c r="AQ5" s="155" t="s">
        <v>32</v>
      </c>
      <c r="AR5" s="155" t="s">
        <v>27</v>
      </c>
      <c r="AS5" s="155" t="s">
        <v>33</v>
      </c>
      <c r="AT5" s="183"/>
      <c r="AU5" s="168"/>
      <c r="AV5" s="178"/>
    </row>
    <row r="6" spans="1:48" ht="54" customHeight="1" thickBot="1">
      <c r="A6" s="188"/>
      <c r="B6" s="191"/>
      <c r="C6" s="191"/>
      <c r="D6" s="19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49"/>
      <c r="R6" s="149"/>
      <c r="S6" s="149"/>
      <c r="T6" s="149"/>
      <c r="U6" s="149"/>
      <c r="V6" s="149"/>
      <c r="W6" s="176"/>
      <c r="X6" s="165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8"/>
      <c r="AJ6" s="160"/>
      <c r="AK6" s="181"/>
      <c r="AL6" s="162"/>
      <c r="AM6" s="162"/>
      <c r="AN6" s="88" t="s">
        <v>73</v>
      </c>
      <c r="AO6" s="88" t="s">
        <v>74</v>
      </c>
      <c r="AP6" s="88" t="s">
        <v>75</v>
      </c>
      <c r="AQ6" s="156"/>
      <c r="AR6" s="156"/>
      <c r="AS6" s="156"/>
      <c r="AT6" s="184"/>
      <c r="AU6" s="169"/>
      <c r="AV6" s="179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>
      <c r="A8" s="5" t="s">
        <v>37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6"/>
      <c r="P8" s="46"/>
      <c r="Q8" s="53"/>
      <c r="R8" s="53"/>
      <c r="S8" s="53"/>
      <c r="T8" s="53"/>
      <c r="U8" s="53"/>
      <c r="V8" s="45"/>
      <c r="W8" s="75"/>
      <c r="X8" s="76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>
      <c r="A9" s="9" t="s">
        <v>38</v>
      </c>
      <c r="B9" s="105">
        <v>524.2</v>
      </c>
      <c r="C9" s="94">
        <f aca="true" t="shared" si="0" ref="C9:C18">B9*8.65</f>
        <v>4534.330000000001</v>
      </c>
      <c r="D9" s="114">
        <f>C9*0.125</f>
        <v>566.7912500000001</v>
      </c>
      <c r="E9" s="82">
        <v>237.67</v>
      </c>
      <c r="F9" s="82">
        <v>55.37</v>
      </c>
      <c r="G9" s="82">
        <v>320.88</v>
      </c>
      <c r="H9" s="82">
        <v>74.73</v>
      </c>
      <c r="I9" s="82">
        <v>772.4</v>
      </c>
      <c r="J9" s="82">
        <v>179.93</v>
      </c>
      <c r="K9" s="82">
        <v>534.74</v>
      </c>
      <c r="L9" s="82">
        <v>124.57</v>
      </c>
      <c r="M9" s="82">
        <v>190.14</v>
      </c>
      <c r="N9" s="108">
        <v>44.3</v>
      </c>
      <c r="O9" s="71">
        <f aca="true" t="shared" si="1" ref="O9:O18">E9+G9+I9+K9+M9</f>
        <v>2055.83</v>
      </c>
      <c r="P9" s="83">
        <f aca="true" t="shared" si="2" ref="P9:P18">N9+L9+J9+H9+F9</f>
        <v>478.90000000000003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05">
        <f aca="true" t="shared" si="3" ref="V9:V18">SUM(Q9:U9)</f>
        <v>0</v>
      </c>
      <c r="W9" s="100">
        <f aca="true" t="shared" si="4" ref="W9:W18">D9+P9+V9</f>
        <v>1045.69125</v>
      </c>
      <c r="X9" s="100"/>
      <c r="Y9" s="99">
        <f>0.6*B9*0.9</f>
        <v>283.06800000000004</v>
      </c>
      <c r="Z9" s="99">
        <f>B9*0.2*0.9081</f>
        <v>95.20520400000002</v>
      </c>
      <c r="AA9" s="99">
        <f>0.85*B9*0.8909+0.01</f>
        <v>396.968313</v>
      </c>
      <c r="AB9" s="99">
        <f aca="true" t="shared" si="5" ref="AB9:AB18">AA9*0.18</f>
        <v>71.45429634</v>
      </c>
      <c r="AC9" s="99">
        <f>(0.83*B9)*0.8928</f>
        <v>388.44478080000005</v>
      </c>
      <c r="AD9" s="99">
        <f aca="true" t="shared" si="6" ref="AD9:AD18">AC9*0.18</f>
        <v>69.92006054400001</v>
      </c>
      <c r="AE9" s="99">
        <f>1.91*B9*0.8927</f>
        <v>893.7908794000001</v>
      </c>
      <c r="AF9" s="99">
        <f aca="true" t="shared" si="7" ref="AF9:AF18">AE9*0.18</f>
        <v>160.88235829200002</v>
      </c>
      <c r="AG9" s="99">
        <v>0</v>
      </c>
      <c r="AH9" s="99">
        <f aca="true" t="shared" si="8" ref="AH9:AJ18">AG9*0.18</f>
        <v>0</v>
      </c>
      <c r="AI9" s="113"/>
      <c r="AJ9" s="113">
        <f t="shared" si="8"/>
        <v>0</v>
      </c>
      <c r="AK9" s="101"/>
      <c r="AL9" s="101"/>
      <c r="AM9" s="74">
        <f>(AK9+AL9)*0.18</f>
        <v>0</v>
      </c>
      <c r="AN9" s="102">
        <v>383</v>
      </c>
      <c r="AO9" s="103">
        <v>0.3</v>
      </c>
      <c r="AP9" s="99">
        <f aca="true" t="shared" si="9" ref="AP9:AP18">AN9*AO9*1.12*1.18</f>
        <v>151.85184</v>
      </c>
      <c r="AQ9" s="104"/>
      <c r="AR9" s="104">
        <f>AQ9*0.18</f>
        <v>0</v>
      </c>
      <c r="AS9" s="104">
        <f>SUM(Y9:AM9)</f>
        <v>2359.7338923760003</v>
      </c>
      <c r="AT9" s="112"/>
      <c r="AU9" s="12">
        <f aca="true" t="shared" si="10" ref="AU9:AU18">W9+X9-AS9-AT9</f>
        <v>-1314.0426423760002</v>
      </c>
      <c r="AV9" s="26">
        <f aca="true" t="shared" si="11" ref="AV9:AV18">V9-O9</f>
        <v>-2055.83</v>
      </c>
    </row>
    <row r="10" spans="1:48" ht="12.75">
      <c r="A10" s="9" t="s">
        <v>39</v>
      </c>
      <c r="B10" s="105">
        <v>524.2</v>
      </c>
      <c r="C10" s="106">
        <f t="shared" si="0"/>
        <v>4534.330000000001</v>
      </c>
      <c r="D10" s="114">
        <f>C10*0.125</f>
        <v>566.7912500000001</v>
      </c>
      <c r="E10" s="82">
        <v>237.67</v>
      </c>
      <c r="F10" s="82">
        <v>55.37</v>
      </c>
      <c r="G10" s="82">
        <v>320.88</v>
      </c>
      <c r="H10" s="82">
        <v>74.73</v>
      </c>
      <c r="I10" s="82">
        <v>772.4</v>
      </c>
      <c r="J10" s="82">
        <v>179.93</v>
      </c>
      <c r="K10" s="82">
        <v>534.74</v>
      </c>
      <c r="L10" s="82">
        <v>124.57</v>
      </c>
      <c r="M10" s="82">
        <v>190.14</v>
      </c>
      <c r="N10" s="108">
        <v>44.3</v>
      </c>
      <c r="O10" s="72">
        <f t="shared" si="1"/>
        <v>2055.83</v>
      </c>
      <c r="P10" s="83">
        <f t="shared" si="2"/>
        <v>478.90000000000003</v>
      </c>
      <c r="Q10" s="109">
        <v>75.93</v>
      </c>
      <c r="R10" s="110">
        <v>102.52</v>
      </c>
      <c r="S10" s="110">
        <v>246.77</v>
      </c>
      <c r="T10" s="110">
        <v>170.83</v>
      </c>
      <c r="U10" s="110">
        <v>60.74</v>
      </c>
      <c r="V10" s="105">
        <f t="shared" si="3"/>
        <v>656.7900000000001</v>
      </c>
      <c r="W10" s="115">
        <f t="shared" si="4"/>
        <v>1702.4812500000003</v>
      </c>
      <c r="X10" s="100"/>
      <c r="Y10" s="99">
        <f>0.6*B10*0.9</f>
        <v>283.06800000000004</v>
      </c>
      <c r="Z10" s="99">
        <f>B10*0.2*0.9234</f>
        <v>96.80925600000002</v>
      </c>
      <c r="AA10" s="99">
        <f>0.85*B10*0.8909+0.01</f>
        <v>396.968313</v>
      </c>
      <c r="AB10" s="99">
        <f t="shared" si="5"/>
        <v>71.45429634</v>
      </c>
      <c r="AC10" s="99">
        <f>(0.83*B10)*0.8928</f>
        <v>388.44478080000005</v>
      </c>
      <c r="AD10" s="99">
        <f t="shared" si="6"/>
        <v>69.92006054400001</v>
      </c>
      <c r="AE10" s="99">
        <f>1.91*B10*0.8927</f>
        <v>893.7908794000001</v>
      </c>
      <c r="AF10" s="99">
        <f t="shared" si="7"/>
        <v>160.88235829200002</v>
      </c>
      <c r="AG10" s="99">
        <v>0</v>
      </c>
      <c r="AH10" s="99">
        <f t="shared" si="8"/>
        <v>0</v>
      </c>
      <c r="AI10" s="113"/>
      <c r="AJ10" s="86">
        <f t="shared" si="8"/>
        <v>0</v>
      </c>
      <c r="AK10" s="101"/>
      <c r="AL10" s="101"/>
      <c r="AM10" s="74">
        <f>(AK10+AL10)*0.18</f>
        <v>0</v>
      </c>
      <c r="AN10" s="87">
        <v>307</v>
      </c>
      <c r="AO10" s="103">
        <v>0.3</v>
      </c>
      <c r="AP10" s="99">
        <f t="shared" si="9"/>
        <v>121.71936</v>
      </c>
      <c r="AQ10" s="89"/>
      <c r="AR10" s="98">
        <f aca="true" t="shared" si="12" ref="AR10:AR18">AQ10*0.18</f>
        <v>0</v>
      </c>
      <c r="AS10" s="90">
        <f>SUM(Y10:AM10)+AP10+AP9</f>
        <v>2634.9091443760003</v>
      </c>
      <c r="AT10" s="93"/>
      <c r="AU10" s="12">
        <f t="shared" si="10"/>
        <v>-932.427894376</v>
      </c>
      <c r="AV10" s="26">
        <f t="shared" si="11"/>
        <v>-1399.04</v>
      </c>
    </row>
    <row r="11" spans="1:48" ht="12.75">
      <c r="A11" s="9" t="s">
        <v>40</v>
      </c>
      <c r="B11" s="105">
        <v>524.2</v>
      </c>
      <c r="C11" s="106">
        <f t="shared" si="0"/>
        <v>4534.330000000001</v>
      </c>
      <c r="D11" s="114">
        <f>C11-E11-F11-G11-H11-I11-J11-K11-L11-M11-N11</f>
        <v>1818.900000000001</v>
      </c>
      <c r="E11" s="91">
        <v>251.9</v>
      </c>
      <c r="F11" s="91">
        <v>62.27</v>
      </c>
      <c r="G11" s="91">
        <v>341.02</v>
      </c>
      <c r="H11" s="91">
        <v>84.43</v>
      </c>
      <c r="I11" s="91">
        <v>819.53</v>
      </c>
      <c r="J11" s="91">
        <v>202.78</v>
      </c>
      <c r="K11" s="91">
        <v>561.69</v>
      </c>
      <c r="L11" s="91">
        <v>140.48</v>
      </c>
      <c r="M11" s="91">
        <v>201.5</v>
      </c>
      <c r="N11" s="92">
        <v>49.83</v>
      </c>
      <c r="O11" s="116">
        <f t="shared" si="1"/>
        <v>2175.64</v>
      </c>
      <c r="P11" s="117">
        <f t="shared" si="2"/>
        <v>539.7900000000001</v>
      </c>
      <c r="Q11" s="110">
        <v>157.45</v>
      </c>
      <c r="R11" s="110">
        <v>212.6</v>
      </c>
      <c r="S11" s="110">
        <v>511.76</v>
      </c>
      <c r="T11" s="110">
        <v>354.29</v>
      </c>
      <c r="U11" s="110">
        <v>125.98</v>
      </c>
      <c r="V11" s="105">
        <f t="shared" si="3"/>
        <v>1362.08</v>
      </c>
      <c r="W11" s="100">
        <f t="shared" si="4"/>
        <v>3720.770000000001</v>
      </c>
      <c r="X11" s="100"/>
      <c r="Y11" s="99">
        <f aca="true" t="shared" si="13" ref="Y11:Y18">0.6*B11</f>
        <v>314.52000000000004</v>
      </c>
      <c r="Z11" s="99">
        <f>B11*0.2*1.011</f>
        <v>105.99324</v>
      </c>
      <c r="AA11" s="99">
        <f>0.85*B11*0.9899</f>
        <v>441.0697430000001</v>
      </c>
      <c r="AB11" s="99">
        <f t="shared" si="5"/>
        <v>79.39255374000001</v>
      </c>
      <c r="AC11" s="99">
        <f>(0.83*B11)*0.992</f>
        <v>431.605312</v>
      </c>
      <c r="AD11" s="99">
        <f t="shared" si="6"/>
        <v>77.68895616</v>
      </c>
      <c r="AE11" s="99">
        <f>1.91*B11*0.992</f>
        <v>993.2122240000001</v>
      </c>
      <c r="AF11" s="99">
        <f t="shared" si="7"/>
        <v>178.77820032000002</v>
      </c>
      <c r="AG11" s="99">
        <v>0</v>
      </c>
      <c r="AH11" s="99">
        <f t="shared" si="8"/>
        <v>0</v>
      </c>
      <c r="AI11" s="113"/>
      <c r="AJ11" s="86">
        <f t="shared" si="8"/>
        <v>0</v>
      </c>
      <c r="AK11" s="101"/>
      <c r="AL11" s="101"/>
      <c r="AM11" s="74">
        <f>(AK11+AL11)*0.18</f>
        <v>0</v>
      </c>
      <c r="AN11" s="87">
        <v>263</v>
      </c>
      <c r="AO11" s="103">
        <v>0.3</v>
      </c>
      <c r="AP11" s="99">
        <f t="shared" si="9"/>
        <v>104.27423999999999</v>
      </c>
      <c r="AQ11" s="104"/>
      <c r="AR11" s="104">
        <f t="shared" si="12"/>
        <v>0</v>
      </c>
      <c r="AS11" s="104">
        <f aca="true" t="shared" si="14" ref="AS11:AS18">SUM(Y11:AM11)+AP11</f>
        <v>2726.5344692200006</v>
      </c>
      <c r="AT11" s="112"/>
      <c r="AU11" s="12">
        <f t="shared" si="10"/>
        <v>994.2355307800003</v>
      </c>
      <c r="AV11" s="26">
        <f t="shared" si="11"/>
        <v>-813.56</v>
      </c>
    </row>
    <row r="12" spans="1:48" ht="12.75">
      <c r="A12" s="9" t="s">
        <v>41</v>
      </c>
      <c r="B12" s="105">
        <v>524.2</v>
      </c>
      <c r="C12" s="106">
        <f t="shared" si="0"/>
        <v>4534.330000000001</v>
      </c>
      <c r="D12" s="114">
        <v>1812.95</v>
      </c>
      <c r="E12" s="91">
        <v>394.05</v>
      </c>
      <c r="F12" s="91">
        <v>89.26</v>
      </c>
      <c r="G12" s="91">
        <v>533.52</v>
      </c>
      <c r="H12" s="91">
        <v>121</v>
      </c>
      <c r="I12" s="91">
        <v>833.44</v>
      </c>
      <c r="J12" s="91">
        <v>188.87</v>
      </c>
      <c r="K12" s="91">
        <v>888.16</v>
      </c>
      <c r="L12" s="91">
        <v>201.33</v>
      </c>
      <c r="M12" s="91">
        <v>315.23</v>
      </c>
      <c r="N12" s="118">
        <v>71.41</v>
      </c>
      <c r="O12" s="72">
        <f t="shared" si="1"/>
        <v>2964.4</v>
      </c>
      <c r="P12" s="83">
        <f t="shared" si="2"/>
        <v>671.87</v>
      </c>
      <c r="Q12" s="110">
        <v>72.07</v>
      </c>
      <c r="R12" s="110">
        <v>97.56</v>
      </c>
      <c r="S12" s="110">
        <v>204.22</v>
      </c>
      <c r="T12" s="110">
        <v>162.42</v>
      </c>
      <c r="U12" s="110">
        <v>57.66</v>
      </c>
      <c r="V12" s="105">
        <f t="shared" si="3"/>
        <v>593.93</v>
      </c>
      <c r="W12" s="100">
        <f t="shared" si="4"/>
        <v>3078.75</v>
      </c>
      <c r="X12" s="100"/>
      <c r="Y12" s="99">
        <f t="shared" si="13"/>
        <v>314.52000000000004</v>
      </c>
      <c r="Z12" s="99">
        <f>B12*0.2*1.01045</f>
        <v>105.93557800000002</v>
      </c>
      <c r="AA12" s="99">
        <f>0.85*B12*0.98824</f>
        <v>440.33009680000004</v>
      </c>
      <c r="AB12" s="99">
        <f t="shared" si="5"/>
        <v>79.259417424</v>
      </c>
      <c r="AC12" s="99">
        <f>(0.83*B12)*0.99023</f>
        <v>430.83520978</v>
      </c>
      <c r="AD12" s="99">
        <f t="shared" si="6"/>
        <v>77.5503377604</v>
      </c>
      <c r="AE12" s="99">
        <f>(1.91)*B12*0.99023-0.01</f>
        <v>991.4300610600002</v>
      </c>
      <c r="AF12" s="99">
        <f t="shared" si="7"/>
        <v>178.4574109908</v>
      </c>
      <c r="AG12" s="99">
        <v>0</v>
      </c>
      <c r="AH12" s="99">
        <f t="shared" si="8"/>
        <v>0</v>
      </c>
      <c r="AI12" s="113"/>
      <c r="AJ12" s="113">
        <f t="shared" si="8"/>
        <v>0</v>
      </c>
      <c r="AK12" s="101"/>
      <c r="AL12" s="101"/>
      <c r="AM12" s="74">
        <f>(AK12+AL12)*0.18</f>
        <v>0</v>
      </c>
      <c r="AN12" s="87">
        <v>233</v>
      </c>
      <c r="AO12" s="103">
        <v>0.3</v>
      </c>
      <c r="AP12" s="99">
        <f t="shared" si="9"/>
        <v>92.37983999999999</v>
      </c>
      <c r="AQ12" s="104"/>
      <c r="AR12" s="104">
        <f t="shared" si="12"/>
        <v>0</v>
      </c>
      <c r="AS12" s="104">
        <f t="shared" si="14"/>
        <v>2710.6979518152</v>
      </c>
      <c r="AT12" s="112"/>
      <c r="AU12" s="12">
        <f t="shared" si="10"/>
        <v>368.0520481847998</v>
      </c>
      <c r="AV12" s="26">
        <f t="shared" si="11"/>
        <v>-2370.4700000000003</v>
      </c>
    </row>
    <row r="13" spans="1:48" ht="12.75">
      <c r="A13" s="9" t="s">
        <v>42</v>
      </c>
      <c r="B13" s="105">
        <v>524.2</v>
      </c>
      <c r="C13" s="106">
        <f t="shared" si="0"/>
        <v>4534.330000000001</v>
      </c>
      <c r="D13" s="114">
        <v>1812.85</v>
      </c>
      <c r="E13" s="91">
        <v>118.29</v>
      </c>
      <c r="F13" s="91">
        <v>26.74</v>
      </c>
      <c r="G13" s="91">
        <v>160.1</v>
      </c>
      <c r="H13" s="91">
        <v>36.28</v>
      </c>
      <c r="I13" s="91">
        <v>833.44</v>
      </c>
      <c r="J13" s="91">
        <v>188.87</v>
      </c>
      <c r="K13" s="91">
        <v>266.48</v>
      </c>
      <c r="L13" s="91">
        <v>60.37</v>
      </c>
      <c r="M13" s="91">
        <v>94.59</v>
      </c>
      <c r="N13" s="118">
        <v>21.43</v>
      </c>
      <c r="O13" s="72">
        <f t="shared" si="1"/>
        <v>1472.8999999999999</v>
      </c>
      <c r="P13" s="83">
        <f t="shared" si="2"/>
        <v>333.69000000000005</v>
      </c>
      <c r="Q13" s="110">
        <v>229.28</v>
      </c>
      <c r="R13" s="110">
        <v>310.17</v>
      </c>
      <c r="S13" s="110">
        <v>617.37</v>
      </c>
      <c r="T13" s="110">
        <v>516.5</v>
      </c>
      <c r="U13" s="110">
        <v>183.43</v>
      </c>
      <c r="V13" s="105">
        <f t="shared" si="3"/>
        <v>1856.7500000000002</v>
      </c>
      <c r="W13" s="100">
        <f t="shared" si="4"/>
        <v>4003.29</v>
      </c>
      <c r="X13" s="100"/>
      <c r="Y13" s="99">
        <f t="shared" si="13"/>
        <v>314.52000000000004</v>
      </c>
      <c r="Z13" s="99">
        <f>B13*0.2*0.99426</f>
        <v>104.23821840000002</v>
      </c>
      <c r="AA13" s="99">
        <f>0.85*B13*0.98824</f>
        <v>440.33009680000004</v>
      </c>
      <c r="AB13" s="99">
        <f t="shared" si="5"/>
        <v>79.259417424</v>
      </c>
      <c r="AC13" s="99">
        <f>0.83*B13*0.99023</f>
        <v>430.83520978</v>
      </c>
      <c r="AD13" s="99">
        <f t="shared" si="6"/>
        <v>77.5503377604</v>
      </c>
      <c r="AE13" s="99">
        <f>1.91*B13*0.99023</f>
        <v>991.4400610600002</v>
      </c>
      <c r="AF13" s="99">
        <f t="shared" si="7"/>
        <v>178.45921099080002</v>
      </c>
      <c r="AG13" s="99">
        <v>0</v>
      </c>
      <c r="AH13" s="99">
        <f t="shared" si="8"/>
        <v>0</v>
      </c>
      <c r="AI13" s="113"/>
      <c r="AJ13" s="86">
        <f t="shared" si="8"/>
        <v>0</v>
      </c>
      <c r="AK13" s="101"/>
      <c r="AL13" s="101"/>
      <c r="AM13" s="101">
        <f>AK13*0.18</f>
        <v>0</v>
      </c>
      <c r="AN13" s="97">
        <v>248</v>
      </c>
      <c r="AO13" s="103">
        <v>0.3</v>
      </c>
      <c r="AP13" s="99">
        <f t="shared" si="9"/>
        <v>98.32704</v>
      </c>
      <c r="AQ13" s="104"/>
      <c r="AR13" s="104">
        <f t="shared" si="12"/>
        <v>0</v>
      </c>
      <c r="AS13" s="104">
        <f t="shared" si="14"/>
        <v>2714.9595922152002</v>
      </c>
      <c r="AT13" s="112"/>
      <c r="AU13" s="12">
        <f t="shared" si="10"/>
        <v>1288.3304077847997</v>
      </c>
      <c r="AV13" s="26">
        <f t="shared" si="11"/>
        <v>383.85000000000036</v>
      </c>
    </row>
    <row r="14" spans="1:48" ht="12.75">
      <c r="A14" s="9" t="s">
        <v>43</v>
      </c>
      <c r="B14" s="105">
        <v>524.2</v>
      </c>
      <c r="C14" s="106">
        <f t="shared" si="0"/>
        <v>4534.330000000001</v>
      </c>
      <c r="D14" s="114">
        <f>C14-E14-F14-G14-H14-I14-J14-K14-L14-M14-N14</f>
        <v>1812.9000000000008</v>
      </c>
      <c r="E14" s="91">
        <v>256.17</v>
      </c>
      <c r="F14" s="91">
        <v>58</v>
      </c>
      <c r="G14" s="91">
        <v>346.81</v>
      </c>
      <c r="H14" s="91">
        <v>78.64</v>
      </c>
      <c r="I14" s="91">
        <v>833.44</v>
      </c>
      <c r="J14" s="91">
        <v>188.87</v>
      </c>
      <c r="K14" s="91">
        <v>577.32</v>
      </c>
      <c r="L14" s="91">
        <v>130.85</v>
      </c>
      <c r="M14" s="91">
        <v>204.91</v>
      </c>
      <c r="N14" s="118">
        <v>46.42</v>
      </c>
      <c r="O14" s="72">
        <f t="shared" si="1"/>
        <v>2218.65</v>
      </c>
      <c r="P14" s="83">
        <f t="shared" si="2"/>
        <v>502.78</v>
      </c>
      <c r="Q14" s="110">
        <v>135.43</v>
      </c>
      <c r="R14" s="110">
        <v>183.35</v>
      </c>
      <c r="S14" s="110">
        <v>561.29</v>
      </c>
      <c r="T14" s="110">
        <v>305.17</v>
      </c>
      <c r="U14" s="110">
        <v>108.33</v>
      </c>
      <c r="V14" s="105">
        <f t="shared" si="3"/>
        <v>1293.57</v>
      </c>
      <c r="W14" s="100">
        <f t="shared" si="4"/>
        <v>3609.250000000001</v>
      </c>
      <c r="X14" s="100"/>
      <c r="Y14" s="99">
        <f t="shared" si="13"/>
        <v>314.52000000000004</v>
      </c>
      <c r="Z14" s="99">
        <f>B14*0.2*0.99875</f>
        <v>104.70895000000002</v>
      </c>
      <c r="AA14" s="99">
        <f>0.85*B14*0.9883</f>
        <v>440.35683100000006</v>
      </c>
      <c r="AB14" s="99">
        <f t="shared" si="5"/>
        <v>79.26422958</v>
      </c>
      <c r="AC14" s="99">
        <f>0.83*B14*0.9903</f>
        <v>430.8656658</v>
      </c>
      <c r="AD14" s="99">
        <f t="shared" si="6"/>
        <v>77.555819844</v>
      </c>
      <c r="AE14" s="99">
        <f>1.91*B14*0.9902</f>
        <v>991.4100244000001</v>
      </c>
      <c r="AF14" s="99">
        <f t="shared" si="7"/>
        <v>178.45380439200002</v>
      </c>
      <c r="AG14" s="99">
        <v>0</v>
      </c>
      <c r="AH14" s="99">
        <f t="shared" si="8"/>
        <v>0</v>
      </c>
      <c r="AI14" s="113"/>
      <c r="AJ14" s="86">
        <f t="shared" si="8"/>
        <v>0</v>
      </c>
      <c r="AK14" s="101"/>
      <c r="AL14" s="101"/>
      <c r="AM14" s="74">
        <f>(AK14+AL14)*0.18</f>
        <v>0</v>
      </c>
      <c r="AN14" s="97">
        <v>293</v>
      </c>
      <c r="AO14" s="103">
        <v>0.3</v>
      </c>
      <c r="AP14" s="99">
        <f t="shared" si="9"/>
        <v>116.16863999999998</v>
      </c>
      <c r="AQ14" s="104"/>
      <c r="AR14" s="104">
        <f t="shared" si="12"/>
        <v>0</v>
      </c>
      <c r="AS14" s="104">
        <f t="shared" si="14"/>
        <v>2733.3039650160003</v>
      </c>
      <c r="AT14" s="112"/>
      <c r="AU14" s="12">
        <f t="shared" si="10"/>
        <v>875.9460349840006</v>
      </c>
      <c r="AV14" s="26">
        <f t="shared" si="11"/>
        <v>-925.0800000000002</v>
      </c>
    </row>
    <row r="15" spans="1:48" ht="12.75">
      <c r="A15" s="9" t="s">
        <v>44</v>
      </c>
      <c r="B15" s="105">
        <v>524.2</v>
      </c>
      <c r="C15" s="106">
        <f t="shared" si="0"/>
        <v>4534.330000000001</v>
      </c>
      <c r="D15" s="114">
        <f>C15-E15-F15-G15-H15-I15-J15-K15-L15-M15-N15</f>
        <v>1812.9000000000008</v>
      </c>
      <c r="E15" s="82">
        <v>256.17</v>
      </c>
      <c r="F15" s="82">
        <v>58</v>
      </c>
      <c r="G15" s="82">
        <v>346.81</v>
      </c>
      <c r="H15" s="82">
        <v>78.64</v>
      </c>
      <c r="I15" s="82">
        <v>833.44</v>
      </c>
      <c r="J15" s="82">
        <v>188.87</v>
      </c>
      <c r="K15" s="82">
        <v>577.32</v>
      </c>
      <c r="L15" s="82">
        <v>130.85</v>
      </c>
      <c r="M15" s="82">
        <v>204.91</v>
      </c>
      <c r="N15" s="108">
        <v>46.42</v>
      </c>
      <c r="O15" s="72">
        <f t="shared" si="1"/>
        <v>2218.65</v>
      </c>
      <c r="P15" s="83">
        <f t="shared" si="2"/>
        <v>502.78</v>
      </c>
      <c r="Q15" s="110">
        <v>74.97</v>
      </c>
      <c r="R15" s="110">
        <v>101.46</v>
      </c>
      <c r="S15" s="110">
        <v>251.96</v>
      </c>
      <c r="T15" s="110">
        <v>168.91</v>
      </c>
      <c r="U15" s="110">
        <v>59.97</v>
      </c>
      <c r="V15" s="105">
        <f t="shared" si="3"/>
        <v>657.27</v>
      </c>
      <c r="W15" s="100">
        <f t="shared" si="4"/>
        <v>2972.9500000000007</v>
      </c>
      <c r="X15" s="100"/>
      <c r="Y15" s="99">
        <f t="shared" si="13"/>
        <v>314.52000000000004</v>
      </c>
      <c r="Z15" s="99">
        <f>B15*0.2*0.9997</f>
        <v>104.80854800000002</v>
      </c>
      <c r="AA15" s="99">
        <f>0.85*B15*0.9883</f>
        <v>440.35683100000006</v>
      </c>
      <c r="AB15" s="99">
        <f t="shared" si="5"/>
        <v>79.26422958</v>
      </c>
      <c r="AC15" s="99">
        <f>(0.83*B15)*0.9902</f>
        <v>430.8221572</v>
      </c>
      <c r="AD15" s="99">
        <f t="shared" si="6"/>
        <v>77.547988296</v>
      </c>
      <c r="AE15" s="99">
        <f>1.91*B15*0.9903</f>
        <v>991.5101466000001</v>
      </c>
      <c r="AF15" s="99">
        <f t="shared" si="7"/>
        <v>178.471826388</v>
      </c>
      <c r="AG15" s="99">
        <v>0</v>
      </c>
      <c r="AH15" s="99">
        <f t="shared" si="8"/>
        <v>0</v>
      </c>
      <c r="AI15" s="113"/>
      <c r="AJ15" s="86">
        <f t="shared" si="8"/>
        <v>0</v>
      </c>
      <c r="AK15" s="101"/>
      <c r="AL15" s="101"/>
      <c r="AM15" s="74">
        <f>(AK15+AL15)*0.18</f>
        <v>0</v>
      </c>
      <c r="AN15" s="97">
        <v>349</v>
      </c>
      <c r="AO15" s="103">
        <v>0.3</v>
      </c>
      <c r="AP15" s="99">
        <f t="shared" si="9"/>
        <v>138.37152</v>
      </c>
      <c r="AQ15" s="104"/>
      <c r="AR15" s="104">
        <f t="shared" si="12"/>
        <v>0</v>
      </c>
      <c r="AS15" s="104">
        <f t="shared" si="14"/>
        <v>2755.6732470640004</v>
      </c>
      <c r="AT15" s="112"/>
      <c r="AU15" s="12">
        <f t="shared" si="10"/>
        <v>217.27675293600032</v>
      </c>
      <c r="AV15" s="26">
        <f t="shared" si="11"/>
        <v>-1561.38</v>
      </c>
    </row>
    <row r="16" spans="1:48" ht="12.75">
      <c r="A16" s="9" t="s">
        <v>34</v>
      </c>
      <c r="B16" s="122">
        <v>524.2</v>
      </c>
      <c r="C16" s="81">
        <f t="shared" si="0"/>
        <v>4534.330000000001</v>
      </c>
      <c r="D16" s="114">
        <f>C16-O16-P16</f>
        <v>1812.9000000000008</v>
      </c>
      <c r="E16" s="82">
        <v>256.17</v>
      </c>
      <c r="F16" s="82">
        <v>58</v>
      </c>
      <c r="G16" s="82">
        <v>346.81</v>
      </c>
      <c r="H16" s="82">
        <v>78.64</v>
      </c>
      <c r="I16" s="82">
        <v>833.44</v>
      </c>
      <c r="J16" s="82">
        <v>188.87</v>
      </c>
      <c r="K16" s="82">
        <v>577.32</v>
      </c>
      <c r="L16" s="82">
        <v>130.85</v>
      </c>
      <c r="M16" s="82">
        <v>204.91</v>
      </c>
      <c r="N16" s="85">
        <v>46.42</v>
      </c>
      <c r="O16" s="119">
        <f t="shared" si="1"/>
        <v>2218.65</v>
      </c>
      <c r="P16" s="120">
        <f t="shared" si="2"/>
        <v>502.78</v>
      </c>
      <c r="Q16" s="110">
        <v>398.75</v>
      </c>
      <c r="R16" s="110">
        <v>539.75</v>
      </c>
      <c r="S16" s="110">
        <v>1297.99</v>
      </c>
      <c r="T16" s="110">
        <v>898.59</v>
      </c>
      <c r="U16" s="110">
        <v>318.99</v>
      </c>
      <c r="V16" s="85">
        <f t="shared" si="3"/>
        <v>3454.0699999999997</v>
      </c>
      <c r="W16" s="84">
        <f t="shared" si="4"/>
        <v>5769.75</v>
      </c>
      <c r="X16" s="79"/>
      <c r="Y16" s="121">
        <f t="shared" si="13"/>
        <v>314.52000000000004</v>
      </c>
      <c r="Z16" s="14">
        <f>B16*0.2</f>
        <v>104.84000000000002</v>
      </c>
      <c r="AA16" s="14">
        <f>0.85*B16</f>
        <v>445.57000000000005</v>
      </c>
      <c r="AB16" s="14">
        <f t="shared" si="5"/>
        <v>80.2026</v>
      </c>
      <c r="AC16" s="14">
        <f>(0.83*B16)</f>
        <v>435.086</v>
      </c>
      <c r="AD16" s="14">
        <f t="shared" si="6"/>
        <v>78.31548</v>
      </c>
      <c r="AE16" s="14">
        <f>1.91*B16</f>
        <v>1001.2220000000001</v>
      </c>
      <c r="AF16" s="14">
        <f t="shared" si="7"/>
        <v>180.21996000000001</v>
      </c>
      <c r="AG16" s="14">
        <v>0</v>
      </c>
      <c r="AH16" s="14">
        <f t="shared" si="8"/>
        <v>0</v>
      </c>
      <c r="AI16" s="113"/>
      <c r="AJ16" s="86">
        <f t="shared" si="8"/>
        <v>0</v>
      </c>
      <c r="AK16" s="74"/>
      <c r="AL16" s="74"/>
      <c r="AM16" s="74">
        <f>(AK16+AL16)*0.18</f>
        <v>0</v>
      </c>
      <c r="AN16" s="111">
        <v>425</v>
      </c>
      <c r="AO16" s="96">
        <v>0.3</v>
      </c>
      <c r="AP16" s="14">
        <f t="shared" si="9"/>
        <v>168.504</v>
      </c>
      <c r="AQ16" s="90"/>
      <c r="AR16" s="90">
        <f t="shared" si="12"/>
        <v>0</v>
      </c>
      <c r="AS16" s="90">
        <f t="shared" si="14"/>
        <v>2808.48004</v>
      </c>
      <c r="AT16" s="93"/>
      <c r="AU16" s="12">
        <f t="shared" si="10"/>
        <v>2961.26996</v>
      </c>
      <c r="AV16" s="26">
        <f t="shared" si="11"/>
        <v>1235.4199999999996</v>
      </c>
    </row>
    <row r="17" spans="1:48" ht="12.75">
      <c r="A17" s="9" t="s">
        <v>35</v>
      </c>
      <c r="B17" s="122">
        <v>524.2</v>
      </c>
      <c r="C17" s="81">
        <f t="shared" si="0"/>
        <v>4534.330000000001</v>
      </c>
      <c r="D17" s="114">
        <f>C17-O17-P17</f>
        <v>1812.9000000000008</v>
      </c>
      <c r="E17" s="82">
        <v>256.17</v>
      </c>
      <c r="F17" s="82">
        <v>58</v>
      </c>
      <c r="G17" s="82">
        <v>346.81</v>
      </c>
      <c r="H17" s="82">
        <v>78.64</v>
      </c>
      <c r="I17" s="82">
        <v>833.44</v>
      </c>
      <c r="J17" s="82">
        <v>188.87</v>
      </c>
      <c r="K17" s="82">
        <v>577.32</v>
      </c>
      <c r="L17" s="82">
        <v>130.85</v>
      </c>
      <c r="M17" s="82">
        <v>204.91</v>
      </c>
      <c r="N17" s="108">
        <v>46.42</v>
      </c>
      <c r="O17" s="119">
        <f t="shared" si="1"/>
        <v>2218.65</v>
      </c>
      <c r="P17" s="120">
        <f t="shared" si="2"/>
        <v>502.78</v>
      </c>
      <c r="Q17" s="123">
        <v>289.46</v>
      </c>
      <c r="R17" s="123">
        <v>391.78</v>
      </c>
      <c r="S17" s="123">
        <v>957.96</v>
      </c>
      <c r="T17" s="123">
        <v>652.29</v>
      </c>
      <c r="U17" s="123">
        <v>231.58</v>
      </c>
      <c r="V17" s="85">
        <f t="shared" si="3"/>
        <v>2523.0699999999997</v>
      </c>
      <c r="W17" s="84">
        <f t="shared" si="4"/>
        <v>4838.75</v>
      </c>
      <c r="X17" s="84"/>
      <c r="Y17" s="14">
        <f t="shared" si="13"/>
        <v>314.52000000000004</v>
      </c>
      <c r="Z17" s="14">
        <f>B17*0.2</f>
        <v>104.84000000000002</v>
      </c>
      <c r="AA17" s="14">
        <f>0.85*B17</f>
        <v>445.57000000000005</v>
      </c>
      <c r="AB17" s="14">
        <f t="shared" si="5"/>
        <v>80.2026</v>
      </c>
      <c r="AC17" s="14">
        <f>(0.83*B17)</f>
        <v>435.086</v>
      </c>
      <c r="AD17" s="14">
        <f t="shared" si="6"/>
        <v>78.31548</v>
      </c>
      <c r="AE17" s="14">
        <f>1.91*B17</f>
        <v>1001.2220000000001</v>
      </c>
      <c r="AF17" s="14">
        <f t="shared" si="7"/>
        <v>180.21996000000001</v>
      </c>
      <c r="AG17" s="14">
        <v>0</v>
      </c>
      <c r="AH17" s="14">
        <f t="shared" si="8"/>
        <v>0</v>
      </c>
      <c r="AI17" s="113"/>
      <c r="AJ17" s="86">
        <f t="shared" si="8"/>
        <v>0</v>
      </c>
      <c r="AK17" s="74"/>
      <c r="AL17" s="74"/>
      <c r="AM17" s="74">
        <f>AK17*0.18</f>
        <v>0</v>
      </c>
      <c r="AN17" s="111">
        <v>470</v>
      </c>
      <c r="AO17" s="96">
        <v>0.3</v>
      </c>
      <c r="AP17" s="14">
        <f t="shared" si="9"/>
        <v>186.34560000000002</v>
      </c>
      <c r="AQ17" s="90"/>
      <c r="AR17" s="90">
        <f t="shared" si="12"/>
        <v>0</v>
      </c>
      <c r="AS17" s="90">
        <f t="shared" si="14"/>
        <v>2826.32164</v>
      </c>
      <c r="AT17" s="93"/>
      <c r="AU17" s="12">
        <f t="shared" si="10"/>
        <v>2012.4283599999999</v>
      </c>
      <c r="AV17" s="26">
        <f t="shared" si="11"/>
        <v>304.4199999999996</v>
      </c>
    </row>
    <row r="18" spans="1:48" ht="12.75">
      <c r="A18" s="9" t="s">
        <v>36</v>
      </c>
      <c r="B18" s="124">
        <v>524.2</v>
      </c>
      <c r="C18" s="106">
        <f t="shared" si="0"/>
        <v>4534.330000000001</v>
      </c>
      <c r="D18" s="107">
        <f>C18-E18-F18-G18-H18-I18-J18-K18-L18-M18-N18</f>
        <v>1812.9000000000008</v>
      </c>
      <c r="E18" s="125">
        <v>256.17</v>
      </c>
      <c r="F18" s="125">
        <v>58</v>
      </c>
      <c r="G18" s="125">
        <v>346.81</v>
      </c>
      <c r="H18" s="125">
        <v>78.64</v>
      </c>
      <c r="I18" s="125">
        <v>833.44</v>
      </c>
      <c r="J18" s="125">
        <v>188.87</v>
      </c>
      <c r="K18" s="125">
        <v>577.32</v>
      </c>
      <c r="L18" s="125">
        <v>130.85</v>
      </c>
      <c r="M18" s="125">
        <v>204.91</v>
      </c>
      <c r="N18" s="125">
        <v>46.42</v>
      </c>
      <c r="O18" s="71">
        <f t="shared" si="1"/>
        <v>2218.65</v>
      </c>
      <c r="P18" s="83">
        <f t="shared" si="2"/>
        <v>502.78</v>
      </c>
      <c r="Q18" s="110">
        <v>260.01</v>
      </c>
      <c r="R18" s="110">
        <v>351.86</v>
      </c>
      <c r="S18" s="110">
        <v>852.89</v>
      </c>
      <c r="T18" s="110">
        <v>585.78</v>
      </c>
      <c r="U18" s="110">
        <v>207.98</v>
      </c>
      <c r="V18" s="85">
        <f t="shared" si="3"/>
        <v>2258.52</v>
      </c>
      <c r="W18" s="84">
        <f t="shared" si="4"/>
        <v>4574.200000000001</v>
      </c>
      <c r="X18" s="84"/>
      <c r="Y18" s="14">
        <f t="shared" si="13"/>
        <v>314.52000000000004</v>
      </c>
      <c r="Z18" s="14">
        <f>B18*0.2</f>
        <v>104.84000000000002</v>
      </c>
      <c r="AA18" s="14">
        <f>0.85*B18</f>
        <v>445.57000000000005</v>
      </c>
      <c r="AB18" s="14">
        <f t="shared" si="5"/>
        <v>80.2026</v>
      </c>
      <c r="AC18" s="14">
        <f>(0.83*B18)</f>
        <v>435.086</v>
      </c>
      <c r="AD18" s="14">
        <f t="shared" si="6"/>
        <v>78.31548</v>
      </c>
      <c r="AE18" s="14">
        <f>1.91*B18</f>
        <v>1001.2220000000001</v>
      </c>
      <c r="AF18" s="14">
        <f t="shared" si="7"/>
        <v>180.21996000000001</v>
      </c>
      <c r="AG18" s="14">
        <v>0</v>
      </c>
      <c r="AH18" s="14">
        <f t="shared" si="8"/>
        <v>0</v>
      </c>
      <c r="AI18" s="113"/>
      <c r="AJ18" s="86">
        <f t="shared" si="8"/>
        <v>0</v>
      </c>
      <c r="AK18" s="74"/>
      <c r="AL18" s="74"/>
      <c r="AM18" s="74">
        <f>AK18*0.18</f>
        <v>0</v>
      </c>
      <c r="AN18" s="111">
        <v>514</v>
      </c>
      <c r="AO18" s="96">
        <v>0.3</v>
      </c>
      <c r="AP18" s="14">
        <f t="shared" si="9"/>
        <v>203.79072</v>
      </c>
      <c r="AQ18" s="90"/>
      <c r="AR18" s="90">
        <f t="shared" si="12"/>
        <v>0</v>
      </c>
      <c r="AS18" s="90">
        <f t="shared" si="14"/>
        <v>2843.76676</v>
      </c>
      <c r="AT18" s="93"/>
      <c r="AU18" s="12">
        <f t="shared" si="10"/>
        <v>1730.4332400000008</v>
      </c>
      <c r="AV18" s="26">
        <f t="shared" si="11"/>
        <v>39.86999999999989</v>
      </c>
    </row>
    <row r="19" spans="1:48" s="18" customFormat="1" ht="12.75">
      <c r="A19" s="15" t="s">
        <v>5</v>
      </c>
      <c r="B19" s="51"/>
      <c r="C19" s="51">
        <f aca="true" t="shared" si="15" ref="C19:AM19">SUM(C9:C18)</f>
        <v>45343.30000000001</v>
      </c>
      <c r="D19" s="51">
        <f t="shared" si="15"/>
        <v>15642.782500000008</v>
      </c>
      <c r="E19" s="48">
        <f t="shared" si="15"/>
        <v>2520.4300000000003</v>
      </c>
      <c r="F19" s="48">
        <f t="shared" si="15"/>
        <v>579.01</v>
      </c>
      <c r="G19" s="48">
        <f t="shared" si="15"/>
        <v>3410.45</v>
      </c>
      <c r="H19" s="48">
        <f t="shared" si="15"/>
        <v>784.3699999999999</v>
      </c>
      <c r="I19" s="48">
        <f t="shared" si="15"/>
        <v>8198.410000000002</v>
      </c>
      <c r="J19" s="48">
        <f t="shared" si="15"/>
        <v>1884.7299999999996</v>
      </c>
      <c r="K19" s="48">
        <f t="shared" si="15"/>
        <v>5672.41</v>
      </c>
      <c r="L19" s="48">
        <f t="shared" si="15"/>
        <v>1305.57</v>
      </c>
      <c r="M19" s="48">
        <f t="shared" si="15"/>
        <v>2016.1500000000003</v>
      </c>
      <c r="N19" s="48">
        <f t="shared" si="15"/>
        <v>463.37000000000006</v>
      </c>
      <c r="O19" s="48">
        <f t="shared" si="15"/>
        <v>21817.850000000002</v>
      </c>
      <c r="P19" s="48">
        <f t="shared" si="15"/>
        <v>5017.049999999999</v>
      </c>
      <c r="Q19" s="52">
        <f t="shared" si="15"/>
        <v>1693.3500000000001</v>
      </c>
      <c r="R19" s="52">
        <f t="shared" si="15"/>
        <v>2291.05</v>
      </c>
      <c r="S19" s="52">
        <f t="shared" si="15"/>
        <v>5502.21</v>
      </c>
      <c r="T19" s="52">
        <f t="shared" si="15"/>
        <v>3814.7799999999997</v>
      </c>
      <c r="U19" s="52">
        <f t="shared" si="15"/>
        <v>1354.66</v>
      </c>
      <c r="V19" s="52">
        <f t="shared" si="15"/>
        <v>14656.05</v>
      </c>
      <c r="W19" s="52">
        <f t="shared" si="15"/>
        <v>35315.88250000001</v>
      </c>
      <c r="X19" s="77">
        <f t="shared" si="15"/>
        <v>0</v>
      </c>
      <c r="Y19" s="16">
        <f t="shared" si="15"/>
        <v>3082.2960000000003</v>
      </c>
      <c r="Z19" s="16">
        <f t="shared" si="15"/>
        <v>1032.2189944000002</v>
      </c>
      <c r="AA19" s="16">
        <f t="shared" si="15"/>
        <v>4333.0902246000005</v>
      </c>
      <c r="AB19" s="16">
        <f t="shared" si="15"/>
        <v>779.9562404279999</v>
      </c>
      <c r="AC19" s="16">
        <f t="shared" si="15"/>
        <v>4237.111116160001</v>
      </c>
      <c r="AD19" s="16">
        <f t="shared" si="15"/>
        <v>762.6800009087999</v>
      </c>
      <c r="AE19" s="16">
        <f t="shared" si="15"/>
        <v>9750.25027592</v>
      </c>
      <c r="AF19" s="16">
        <f t="shared" si="15"/>
        <v>1755.0450496656</v>
      </c>
      <c r="AG19" s="16">
        <f t="shared" si="15"/>
        <v>0</v>
      </c>
      <c r="AH19" s="16">
        <f t="shared" si="15"/>
        <v>0</v>
      </c>
      <c r="AI19" s="16">
        <f t="shared" si="15"/>
        <v>0</v>
      </c>
      <c r="AJ19" s="16">
        <f t="shared" si="15"/>
        <v>0</v>
      </c>
      <c r="AK19" s="16">
        <f t="shared" si="15"/>
        <v>0</v>
      </c>
      <c r="AL19" s="16">
        <f t="shared" si="15"/>
        <v>0</v>
      </c>
      <c r="AM19" s="16">
        <f t="shared" si="15"/>
        <v>0</v>
      </c>
      <c r="AN19" s="16"/>
      <c r="AO19" s="16"/>
      <c r="AP19" s="16">
        <f aca="true" t="shared" si="16" ref="AP19:AV19">SUM(AP9:AP18)</f>
        <v>1381.7328</v>
      </c>
      <c r="AQ19" s="16">
        <f t="shared" si="16"/>
        <v>0</v>
      </c>
      <c r="AR19" s="16">
        <f t="shared" si="16"/>
        <v>0</v>
      </c>
      <c r="AS19" s="16">
        <f t="shared" si="16"/>
        <v>27114.380702082402</v>
      </c>
      <c r="AT19" s="16">
        <f t="shared" si="16"/>
        <v>0</v>
      </c>
      <c r="AU19" s="16">
        <f t="shared" si="16"/>
        <v>8201.501797917601</v>
      </c>
      <c r="AV19" s="17">
        <f t="shared" si="16"/>
        <v>-7161.8</v>
      </c>
    </row>
    <row r="20" spans="1:48" ht="12.75">
      <c r="A20" s="9"/>
      <c r="B20" s="10"/>
      <c r="C20" s="11"/>
      <c r="D20" s="11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/>
      <c r="P20" s="42"/>
      <c r="Q20" s="44"/>
      <c r="R20" s="44"/>
      <c r="S20" s="44"/>
      <c r="T20" s="44"/>
      <c r="U20" s="44"/>
      <c r="V20" s="44"/>
      <c r="W20" s="78"/>
      <c r="X20" s="79"/>
      <c r="Y20" s="14"/>
      <c r="Z20" s="14"/>
      <c r="AA20" s="14"/>
      <c r="AB20" s="14"/>
      <c r="AC20" s="14"/>
      <c r="AD20" s="14"/>
      <c r="AE20" s="14"/>
      <c r="AF20" s="14"/>
      <c r="AG20" s="13"/>
      <c r="AH20" s="13"/>
      <c r="AI20" s="13"/>
      <c r="AJ20" s="13"/>
      <c r="AK20" s="73"/>
      <c r="AL20" s="73"/>
      <c r="AM20" s="74"/>
      <c r="AN20" s="74"/>
      <c r="AO20" s="74"/>
      <c r="AP20" s="19"/>
      <c r="AQ20" s="13"/>
      <c r="AR20" s="14"/>
      <c r="AS20" s="14"/>
      <c r="AT20" s="14"/>
      <c r="AU20" s="14"/>
      <c r="AV20" s="8"/>
    </row>
    <row r="21" spans="1:48" s="18" customFormat="1" ht="13.5" thickBot="1">
      <c r="A21" s="20" t="s">
        <v>45</v>
      </c>
      <c r="B21" s="21"/>
      <c r="C21" s="21">
        <f>C19</f>
        <v>45343.30000000001</v>
      </c>
      <c r="D21" s="21">
        <f aca="true" t="shared" si="17" ref="D21:AV21">D19</f>
        <v>15642.782500000008</v>
      </c>
      <c r="E21" s="21">
        <f t="shared" si="17"/>
        <v>2520.4300000000003</v>
      </c>
      <c r="F21" s="21">
        <f t="shared" si="17"/>
        <v>579.01</v>
      </c>
      <c r="G21" s="21">
        <f t="shared" si="17"/>
        <v>3410.45</v>
      </c>
      <c r="H21" s="21">
        <f t="shared" si="17"/>
        <v>784.3699999999999</v>
      </c>
      <c r="I21" s="21">
        <f t="shared" si="17"/>
        <v>8198.410000000002</v>
      </c>
      <c r="J21" s="21">
        <f t="shared" si="17"/>
        <v>1884.7299999999996</v>
      </c>
      <c r="K21" s="21">
        <f t="shared" si="17"/>
        <v>5672.41</v>
      </c>
      <c r="L21" s="21">
        <f t="shared" si="17"/>
        <v>1305.57</v>
      </c>
      <c r="M21" s="21">
        <f t="shared" si="17"/>
        <v>2016.1500000000003</v>
      </c>
      <c r="N21" s="21">
        <f t="shared" si="17"/>
        <v>463.37000000000006</v>
      </c>
      <c r="O21" s="21">
        <f t="shared" si="17"/>
        <v>21817.850000000002</v>
      </c>
      <c r="P21" s="21">
        <f t="shared" si="17"/>
        <v>5017.049999999999</v>
      </c>
      <c r="Q21" s="21">
        <f t="shared" si="17"/>
        <v>1693.3500000000001</v>
      </c>
      <c r="R21" s="21">
        <f t="shared" si="17"/>
        <v>2291.05</v>
      </c>
      <c r="S21" s="21">
        <f t="shared" si="17"/>
        <v>5502.21</v>
      </c>
      <c r="T21" s="21">
        <f t="shared" si="17"/>
        <v>3814.7799999999997</v>
      </c>
      <c r="U21" s="21">
        <f t="shared" si="17"/>
        <v>1354.66</v>
      </c>
      <c r="V21" s="21">
        <f t="shared" si="17"/>
        <v>14656.05</v>
      </c>
      <c r="W21" s="21">
        <f t="shared" si="17"/>
        <v>35315.88250000001</v>
      </c>
      <c r="X21" s="21">
        <f t="shared" si="17"/>
        <v>0</v>
      </c>
      <c r="Y21" s="21">
        <f t="shared" si="17"/>
        <v>3082.2960000000003</v>
      </c>
      <c r="Z21" s="21">
        <f t="shared" si="17"/>
        <v>1032.2189944000002</v>
      </c>
      <c r="AA21" s="21">
        <f t="shared" si="17"/>
        <v>4333.0902246000005</v>
      </c>
      <c r="AB21" s="21">
        <f t="shared" si="17"/>
        <v>779.9562404279999</v>
      </c>
      <c r="AC21" s="21">
        <f t="shared" si="17"/>
        <v>4237.111116160001</v>
      </c>
      <c r="AD21" s="21">
        <f t="shared" si="17"/>
        <v>762.6800009087999</v>
      </c>
      <c r="AE21" s="21">
        <f t="shared" si="17"/>
        <v>9750.25027592</v>
      </c>
      <c r="AF21" s="21">
        <f t="shared" si="17"/>
        <v>1755.0450496656</v>
      </c>
      <c r="AG21" s="21">
        <f t="shared" si="17"/>
        <v>0</v>
      </c>
      <c r="AH21" s="21">
        <f t="shared" si="17"/>
        <v>0</v>
      </c>
      <c r="AI21" s="21">
        <f t="shared" si="17"/>
        <v>0</v>
      </c>
      <c r="AJ21" s="21">
        <f t="shared" si="17"/>
        <v>0</v>
      </c>
      <c r="AK21" s="21">
        <f t="shared" si="17"/>
        <v>0</v>
      </c>
      <c r="AL21" s="21">
        <f t="shared" si="17"/>
        <v>0</v>
      </c>
      <c r="AM21" s="21">
        <f t="shared" si="17"/>
        <v>0</v>
      </c>
      <c r="AN21" s="21">
        <f t="shared" si="17"/>
        <v>0</v>
      </c>
      <c r="AO21" s="21">
        <f t="shared" si="17"/>
        <v>0</v>
      </c>
      <c r="AP21" s="21">
        <f t="shared" si="17"/>
        <v>1381.7328</v>
      </c>
      <c r="AQ21" s="21">
        <f t="shared" si="17"/>
        <v>0</v>
      </c>
      <c r="AR21" s="21">
        <f t="shared" si="17"/>
        <v>0</v>
      </c>
      <c r="AS21" s="21">
        <f t="shared" si="17"/>
        <v>27114.380702082402</v>
      </c>
      <c r="AT21" s="21">
        <f t="shared" si="17"/>
        <v>0</v>
      </c>
      <c r="AU21" s="21">
        <f t="shared" si="17"/>
        <v>8201.501797917601</v>
      </c>
      <c r="AV21" s="21">
        <f t="shared" si="17"/>
        <v>-7161.8</v>
      </c>
    </row>
    <row r="22" spans="1:48" ht="15" customHeight="1">
      <c r="A22" s="5" t="s">
        <v>82</v>
      </c>
      <c r="B22" s="49"/>
      <c r="C22" s="50"/>
      <c r="D22" s="5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6"/>
      <c r="P22" s="46"/>
      <c r="Q22" s="53"/>
      <c r="R22" s="53"/>
      <c r="S22" s="53"/>
      <c r="T22" s="53"/>
      <c r="U22" s="53"/>
      <c r="V22" s="45"/>
      <c r="W22" s="75"/>
      <c r="X22" s="76"/>
      <c r="Y22" s="12"/>
      <c r="Z22" s="12"/>
      <c r="AA22" s="12"/>
      <c r="AB22" s="12"/>
      <c r="AC22" s="12"/>
      <c r="AD22" s="12"/>
      <c r="AE22" s="12"/>
      <c r="AF22" s="12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12"/>
      <c r="AS22" s="12"/>
      <c r="AT22" s="12"/>
      <c r="AU22" s="12"/>
      <c r="AV22" s="26"/>
    </row>
    <row r="23" spans="1:48" ht="15" customHeight="1">
      <c r="A23" s="126" t="s">
        <v>83</v>
      </c>
      <c r="B23" s="124">
        <v>524.2</v>
      </c>
      <c r="C23" s="106">
        <f aca="true" t="shared" si="18" ref="C23:C34">B23*8.65</f>
        <v>4534.330000000001</v>
      </c>
      <c r="D23" s="107">
        <f>C23-E23-F23-G23-H23-I23-J23-K23-L23-M23-N23</f>
        <v>1812.9000000000008</v>
      </c>
      <c r="E23" s="82">
        <v>256.17</v>
      </c>
      <c r="F23" s="82">
        <v>58</v>
      </c>
      <c r="G23" s="82">
        <v>346.81</v>
      </c>
      <c r="H23" s="82">
        <v>78.64</v>
      </c>
      <c r="I23" s="82">
        <v>833.44</v>
      </c>
      <c r="J23" s="82">
        <v>188.87</v>
      </c>
      <c r="K23" s="82">
        <v>577.32</v>
      </c>
      <c r="L23" s="82">
        <v>130.85</v>
      </c>
      <c r="M23" s="82">
        <v>204.91</v>
      </c>
      <c r="N23" s="108">
        <v>46.42</v>
      </c>
      <c r="O23" s="71">
        <f aca="true" t="shared" si="19" ref="O23:O34">E23+G23+I23+K23+M23</f>
        <v>2218.65</v>
      </c>
      <c r="P23" s="127">
        <f aca="true" t="shared" si="20" ref="P23:P34">N23+L23+J23+H23+F23</f>
        <v>502.78</v>
      </c>
      <c r="Q23" s="109">
        <v>161.8</v>
      </c>
      <c r="R23" s="110">
        <v>219.09</v>
      </c>
      <c r="S23" s="110">
        <v>527.57</v>
      </c>
      <c r="T23" s="110">
        <v>364.66</v>
      </c>
      <c r="U23" s="110">
        <v>129.39</v>
      </c>
      <c r="V23" s="105">
        <f>SUM(Q23:U23)</f>
        <v>1402.5100000000002</v>
      </c>
      <c r="W23" s="128">
        <f aca="true" t="shared" si="21" ref="W23:W34">D23+P23+V23</f>
        <v>3718.190000000001</v>
      </c>
      <c r="X23" s="84"/>
      <c r="Y23" s="14">
        <f aca="true" t="shared" si="22" ref="Y23:Y34">0.6*B23</f>
        <v>314.52000000000004</v>
      </c>
      <c r="Z23" s="14">
        <f aca="true" t="shared" si="23" ref="Z23:Z34">B23*0.2</f>
        <v>104.84000000000002</v>
      </c>
      <c r="AA23" s="14">
        <f aca="true" t="shared" si="24" ref="AA23:AA34">1*B23</f>
        <v>524.2</v>
      </c>
      <c r="AB23" s="14">
        <v>0</v>
      </c>
      <c r="AC23" s="14">
        <f>0.98*B23</f>
        <v>513.716</v>
      </c>
      <c r="AD23" s="14">
        <v>0</v>
      </c>
      <c r="AE23" s="14">
        <f aca="true" t="shared" si="25" ref="AE23:AE34">2.25*B23</f>
        <v>1179.45</v>
      </c>
      <c r="AF23" s="14">
        <v>0</v>
      </c>
      <c r="AG23" s="14">
        <v>0</v>
      </c>
      <c r="AH23" s="14">
        <f>AG23*0.18</f>
        <v>0</v>
      </c>
      <c r="AI23" s="86"/>
      <c r="AJ23" s="86"/>
      <c r="AK23" s="74"/>
      <c r="AL23" s="74"/>
      <c r="AM23" s="74"/>
      <c r="AN23" s="111">
        <v>508</v>
      </c>
      <c r="AO23" s="96">
        <v>0.3</v>
      </c>
      <c r="AP23" s="14">
        <f aca="true" t="shared" si="26" ref="AP23:AP34">AN23*AO23*1.4</f>
        <v>213.35999999999999</v>
      </c>
      <c r="AQ23" s="90"/>
      <c r="AR23" s="90">
        <f aca="true" t="shared" si="27" ref="AR23:AR34">AQ23*0.18</f>
        <v>0</v>
      </c>
      <c r="AS23" s="90">
        <f>SUM(Y23:AR23)-AN23-AO23</f>
        <v>2850.0860000000007</v>
      </c>
      <c r="AT23" s="93"/>
      <c r="AU23" s="12">
        <f aca="true" t="shared" si="28" ref="AU23:AU34">W23+X23-AS23-AT23</f>
        <v>868.1040000000003</v>
      </c>
      <c r="AV23" s="26">
        <f aca="true" t="shared" si="29" ref="AV23:AV34">V23-O23</f>
        <v>-816.1399999999999</v>
      </c>
    </row>
    <row r="24" spans="1:48" ht="15" customHeight="1">
      <c r="A24" s="126" t="s">
        <v>84</v>
      </c>
      <c r="B24" s="124">
        <v>524.2</v>
      </c>
      <c r="C24" s="106">
        <f t="shared" si="18"/>
        <v>4534.330000000001</v>
      </c>
      <c r="D24" s="107">
        <f>C24-E24-F24-G24-H24-I24-J24-K24-L24-M24-N24</f>
        <v>1812.9000000000008</v>
      </c>
      <c r="E24" s="82">
        <v>256.17</v>
      </c>
      <c r="F24" s="82">
        <v>58</v>
      </c>
      <c r="G24" s="82">
        <v>346.81</v>
      </c>
      <c r="H24" s="82">
        <v>78.64</v>
      </c>
      <c r="I24" s="82">
        <v>833.44</v>
      </c>
      <c r="J24" s="82">
        <v>188.87</v>
      </c>
      <c r="K24" s="82">
        <v>577.32</v>
      </c>
      <c r="L24" s="82">
        <v>130.85</v>
      </c>
      <c r="M24" s="82">
        <v>204.91</v>
      </c>
      <c r="N24" s="108">
        <v>46.42</v>
      </c>
      <c r="O24" s="71">
        <f t="shared" si="19"/>
        <v>2218.65</v>
      </c>
      <c r="P24" s="83">
        <f t="shared" si="20"/>
        <v>502.78</v>
      </c>
      <c r="Q24" s="110">
        <v>285.69</v>
      </c>
      <c r="R24" s="110">
        <v>386.68</v>
      </c>
      <c r="S24" s="110">
        <v>930.41</v>
      </c>
      <c r="T24" s="110">
        <v>643.8</v>
      </c>
      <c r="U24" s="110">
        <v>228.54</v>
      </c>
      <c r="V24" s="105">
        <f>SUM(Q24:U24)</f>
        <v>2475.12</v>
      </c>
      <c r="W24" s="84">
        <f t="shared" si="21"/>
        <v>4790.800000000001</v>
      </c>
      <c r="X24" s="84"/>
      <c r="Y24" s="14">
        <f t="shared" si="22"/>
        <v>314.52000000000004</v>
      </c>
      <c r="Z24" s="14">
        <f t="shared" si="23"/>
        <v>104.84000000000002</v>
      </c>
      <c r="AA24" s="14">
        <f t="shared" si="24"/>
        <v>524.2</v>
      </c>
      <c r="AB24" s="14">
        <v>0</v>
      </c>
      <c r="AC24" s="14">
        <f>0.98*B24</f>
        <v>513.716</v>
      </c>
      <c r="AD24" s="14">
        <v>0</v>
      </c>
      <c r="AE24" s="14">
        <f t="shared" si="25"/>
        <v>1179.45</v>
      </c>
      <c r="AF24" s="14">
        <v>0</v>
      </c>
      <c r="AG24" s="14">
        <v>0</v>
      </c>
      <c r="AH24" s="14">
        <f>AG24*0.18</f>
        <v>0</v>
      </c>
      <c r="AI24" s="86"/>
      <c r="AJ24" s="86"/>
      <c r="AK24" s="74">
        <v>1336.59</v>
      </c>
      <c r="AL24" s="74"/>
      <c r="AM24" s="74"/>
      <c r="AN24" s="111">
        <v>407</v>
      </c>
      <c r="AO24" s="96">
        <v>0.3</v>
      </c>
      <c r="AP24" s="14">
        <f t="shared" si="26"/>
        <v>170.93999999999997</v>
      </c>
      <c r="AQ24" s="90"/>
      <c r="AR24" s="90">
        <f t="shared" si="27"/>
        <v>0</v>
      </c>
      <c r="AS24" s="90">
        <f aca="true" t="shared" si="30" ref="AS24:AS34">SUM(Y24:AR24)-AN24-AO24</f>
        <v>4144.256</v>
      </c>
      <c r="AT24" s="93"/>
      <c r="AU24" s="12">
        <f t="shared" si="28"/>
        <v>646.5440000000008</v>
      </c>
      <c r="AV24" s="26">
        <f t="shared" si="29"/>
        <v>256.4699999999998</v>
      </c>
    </row>
    <row r="25" spans="1:48" ht="12.75">
      <c r="A25" s="9" t="s">
        <v>38</v>
      </c>
      <c r="B25" s="124">
        <v>524.2</v>
      </c>
      <c r="C25" s="106">
        <f t="shared" si="18"/>
        <v>4534.330000000001</v>
      </c>
      <c r="D25" s="107">
        <f>C25-E25-F25-G25-H25-I25-J25-K25-L25-M25-N25</f>
        <v>1812.9000000000008</v>
      </c>
      <c r="E25" s="82">
        <v>256.17</v>
      </c>
      <c r="F25" s="82">
        <v>58</v>
      </c>
      <c r="G25" s="82">
        <v>346.81</v>
      </c>
      <c r="H25" s="82">
        <v>78.64</v>
      </c>
      <c r="I25" s="82">
        <v>833.44</v>
      </c>
      <c r="J25" s="82">
        <v>188.87</v>
      </c>
      <c r="K25" s="82">
        <v>577.32</v>
      </c>
      <c r="L25" s="82">
        <v>130.85</v>
      </c>
      <c r="M25" s="82">
        <v>204.91</v>
      </c>
      <c r="N25" s="108">
        <v>46.42</v>
      </c>
      <c r="O25" s="71">
        <f t="shared" si="19"/>
        <v>2218.65</v>
      </c>
      <c r="P25" s="83">
        <f t="shared" si="20"/>
        <v>502.78</v>
      </c>
      <c r="Q25" s="110">
        <v>134.75</v>
      </c>
      <c r="R25" s="110">
        <v>182.43</v>
      </c>
      <c r="S25" s="110">
        <v>438.47</v>
      </c>
      <c r="T25" s="110">
        <v>303.65</v>
      </c>
      <c r="U25" s="110">
        <v>107.78</v>
      </c>
      <c r="V25" s="105">
        <f>SUM(Q25:U25)</f>
        <v>1167.0800000000002</v>
      </c>
      <c r="W25" s="84">
        <f t="shared" si="21"/>
        <v>3482.760000000001</v>
      </c>
      <c r="X25" s="84"/>
      <c r="Y25" s="14">
        <f t="shared" si="22"/>
        <v>314.52000000000004</v>
      </c>
      <c r="Z25" s="14">
        <f t="shared" si="23"/>
        <v>104.84000000000002</v>
      </c>
      <c r="AA25" s="14">
        <f t="shared" si="24"/>
        <v>524.2</v>
      </c>
      <c r="AB25" s="14">
        <v>0</v>
      </c>
      <c r="AC25" s="14">
        <f>0.98*B25</f>
        <v>513.716</v>
      </c>
      <c r="AD25" s="14">
        <v>0</v>
      </c>
      <c r="AE25" s="14">
        <f t="shared" si="25"/>
        <v>1179.45</v>
      </c>
      <c r="AF25" s="14">
        <v>0</v>
      </c>
      <c r="AG25" s="14"/>
      <c r="AH25" s="14"/>
      <c r="AI25" s="86"/>
      <c r="AJ25" s="86"/>
      <c r="AK25" s="74">
        <v>900</v>
      </c>
      <c r="AL25" s="74"/>
      <c r="AM25" s="74"/>
      <c r="AN25" s="111">
        <v>383</v>
      </c>
      <c r="AO25" s="96">
        <v>0.3</v>
      </c>
      <c r="AP25" s="14">
        <f t="shared" si="26"/>
        <v>160.85999999999999</v>
      </c>
      <c r="AQ25" s="90"/>
      <c r="AR25" s="90">
        <f t="shared" si="27"/>
        <v>0</v>
      </c>
      <c r="AS25" s="90">
        <f t="shared" si="30"/>
        <v>3697.5860000000007</v>
      </c>
      <c r="AT25" s="93"/>
      <c r="AU25" s="12">
        <f t="shared" si="28"/>
        <v>-214.82599999999957</v>
      </c>
      <c r="AV25" s="26">
        <f t="shared" si="29"/>
        <v>-1051.57</v>
      </c>
    </row>
    <row r="26" spans="1:48" ht="12.75">
      <c r="A26" s="9" t="s">
        <v>39</v>
      </c>
      <c r="B26" s="124">
        <v>524.2</v>
      </c>
      <c r="C26" s="106">
        <f t="shared" si="18"/>
        <v>4534.330000000001</v>
      </c>
      <c r="D26" s="107">
        <f>C26-E26-F26-G26-H26-I26-J26-K26-L26-M26-N26</f>
        <v>1812.9000000000008</v>
      </c>
      <c r="E26" s="82">
        <v>256.17</v>
      </c>
      <c r="F26" s="82">
        <v>58</v>
      </c>
      <c r="G26" s="82">
        <v>346.81</v>
      </c>
      <c r="H26" s="82">
        <v>78.64</v>
      </c>
      <c r="I26" s="82">
        <v>833.44</v>
      </c>
      <c r="J26" s="82">
        <v>188.87</v>
      </c>
      <c r="K26" s="82">
        <v>577.32</v>
      </c>
      <c r="L26" s="82">
        <v>130.85</v>
      </c>
      <c r="M26" s="82">
        <v>204.91</v>
      </c>
      <c r="N26" s="108">
        <v>46.42</v>
      </c>
      <c r="O26" s="71">
        <f t="shared" si="19"/>
        <v>2218.65</v>
      </c>
      <c r="P26" s="83">
        <f t="shared" si="20"/>
        <v>502.78</v>
      </c>
      <c r="Q26" s="110">
        <v>175.38</v>
      </c>
      <c r="R26" s="110">
        <v>237.37</v>
      </c>
      <c r="S26" s="110">
        <v>570.63</v>
      </c>
      <c r="T26" s="110">
        <v>395.23</v>
      </c>
      <c r="U26" s="110">
        <v>140.3</v>
      </c>
      <c r="V26" s="105">
        <f aca="true" t="shared" si="31" ref="V26:V34">SUM(Q26:U26)</f>
        <v>1518.91</v>
      </c>
      <c r="W26" s="84">
        <f t="shared" si="21"/>
        <v>3834.590000000001</v>
      </c>
      <c r="X26" s="84"/>
      <c r="Y26" s="14">
        <f t="shared" si="22"/>
        <v>314.52000000000004</v>
      </c>
      <c r="Z26" s="14">
        <f t="shared" si="23"/>
        <v>104.84000000000002</v>
      </c>
      <c r="AA26" s="14">
        <f t="shared" si="24"/>
        <v>524.2</v>
      </c>
      <c r="AB26" s="14">
        <v>0</v>
      </c>
      <c r="AC26" s="14">
        <f aca="true" t="shared" si="32" ref="AC26:AC34">(0.98*B26)</f>
        <v>513.716</v>
      </c>
      <c r="AD26" s="14">
        <v>0</v>
      </c>
      <c r="AE26" s="14">
        <f t="shared" si="25"/>
        <v>1179.45</v>
      </c>
      <c r="AF26" s="14">
        <v>0</v>
      </c>
      <c r="AG26" s="14"/>
      <c r="AH26" s="14"/>
      <c r="AI26" s="86"/>
      <c r="AJ26" s="86"/>
      <c r="AK26" s="74"/>
      <c r="AL26" s="74"/>
      <c r="AM26" s="74"/>
      <c r="AN26" s="111">
        <v>307</v>
      </c>
      <c r="AO26" s="96">
        <v>0.3</v>
      </c>
      <c r="AP26" s="14">
        <f t="shared" si="26"/>
        <v>128.94</v>
      </c>
      <c r="AQ26" s="90"/>
      <c r="AR26" s="90">
        <f t="shared" si="27"/>
        <v>0</v>
      </c>
      <c r="AS26" s="90">
        <f t="shared" si="30"/>
        <v>2765.6660000000006</v>
      </c>
      <c r="AT26" s="93"/>
      <c r="AU26" s="12">
        <f t="shared" si="28"/>
        <v>1068.9240000000004</v>
      </c>
      <c r="AV26" s="26">
        <f t="shared" si="29"/>
        <v>-699.74</v>
      </c>
    </row>
    <row r="27" spans="1:48" ht="12.75">
      <c r="A27" s="9" t="s">
        <v>40</v>
      </c>
      <c r="B27" s="105">
        <v>524.2</v>
      </c>
      <c r="C27" s="106">
        <f t="shared" si="18"/>
        <v>4534.330000000001</v>
      </c>
      <c r="D27" s="107">
        <f>C27-E27-F27-G27-H27-I27-J27-K27-L27-M27-N27</f>
        <v>1812.9000000000008</v>
      </c>
      <c r="E27" s="82">
        <v>256.17</v>
      </c>
      <c r="F27" s="82">
        <v>58</v>
      </c>
      <c r="G27" s="82">
        <v>346.81</v>
      </c>
      <c r="H27" s="82">
        <v>78.64</v>
      </c>
      <c r="I27" s="82">
        <v>833.44</v>
      </c>
      <c r="J27" s="82">
        <v>188.87</v>
      </c>
      <c r="K27" s="82">
        <v>577.32</v>
      </c>
      <c r="L27" s="82">
        <v>130.85</v>
      </c>
      <c r="M27" s="82">
        <v>204.91</v>
      </c>
      <c r="N27" s="108">
        <v>46.42</v>
      </c>
      <c r="O27" s="71">
        <f t="shared" si="19"/>
        <v>2218.65</v>
      </c>
      <c r="P27" s="83">
        <f t="shared" si="20"/>
        <v>502.78</v>
      </c>
      <c r="Q27" s="110">
        <v>254.32</v>
      </c>
      <c r="R27" s="110">
        <v>344.25</v>
      </c>
      <c r="S27" s="110">
        <v>827.37</v>
      </c>
      <c r="T27" s="110">
        <v>573.07</v>
      </c>
      <c r="U27" s="110">
        <v>203.43</v>
      </c>
      <c r="V27" s="105">
        <f t="shared" si="31"/>
        <v>2202.44</v>
      </c>
      <c r="W27" s="84">
        <f t="shared" si="21"/>
        <v>4518.120000000001</v>
      </c>
      <c r="X27" s="84"/>
      <c r="Y27" s="14">
        <f t="shared" si="22"/>
        <v>314.52000000000004</v>
      </c>
      <c r="Z27" s="14">
        <f t="shared" si="23"/>
        <v>104.84000000000002</v>
      </c>
      <c r="AA27" s="14">
        <f t="shared" si="24"/>
        <v>524.2</v>
      </c>
      <c r="AB27" s="14">
        <v>0</v>
      </c>
      <c r="AC27" s="14">
        <f t="shared" si="32"/>
        <v>513.716</v>
      </c>
      <c r="AD27" s="14">
        <v>0</v>
      </c>
      <c r="AE27" s="14">
        <f t="shared" si="25"/>
        <v>1179.45</v>
      </c>
      <c r="AF27" s="14">
        <v>0</v>
      </c>
      <c r="AG27" s="14"/>
      <c r="AH27" s="14"/>
      <c r="AI27" s="86"/>
      <c r="AJ27" s="86"/>
      <c r="AK27" s="74"/>
      <c r="AL27" s="74"/>
      <c r="AM27" s="74"/>
      <c r="AN27" s="111">
        <v>263</v>
      </c>
      <c r="AO27" s="96">
        <v>0.3</v>
      </c>
      <c r="AP27" s="14">
        <f t="shared" si="26"/>
        <v>110.45999999999998</v>
      </c>
      <c r="AQ27" s="90"/>
      <c r="AR27" s="90">
        <f t="shared" si="27"/>
        <v>0</v>
      </c>
      <c r="AS27" s="90">
        <f t="shared" si="30"/>
        <v>2747.1860000000006</v>
      </c>
      <c r="AT27" s="93"/>
      <c r="AU27" s="12">
        <f t="shared" si="28"/>
        <v>1770.9340000000002</v>
      </c>
      <c r="AV27" s="26">
        <f t="shared" si="29"/>
        <v>-16.210000000000036</v>
      </c>
    </row>
    <row r="28" spans="1:48" ht="12.75">
      <c r="A28" s="9" t="s">
        <v>41</v>
      </c>
      <c r="B28" s="105">
        <v>524.5</v>
      </c>
      <c r="C28" s="106">
        <f t="shared" si="18"/>
        <v>4536.925</v>
      </c>
      <c r="D28" s="107">
        <f>(C28-E28-F28-G28-H28-I28-J28-K28-L28-M28-N28)*0.80125+0.01</f>
        <v>1453.3933687500003</v>
      </c>
      <c r="E28" s="82">
        <v>256.3</v>
      </c>
      <c r="F28" s="82">
        <v>58.05</v>
      </c>
      <c r="G28" s="82">
        <v>347</v>
      </c>
      <c r="H28" s="82">
        <v>78.7</v>
      </c>
      <c r="I28" s="82">
        <v>833.9</v>
      </c>
      <c r="J28" s="82">
        <v>189.01</v>
      </c>
      <c r="K28" s="82">
        <v>577.64</v>
      </c>
      <c r="L28" s="82">
        <v>130.95</v>
      </c>
      <c r="M28" s="82">
        <v>205.02</v>
      </c>
      <c r="N28" s="108">
        <v>46.46</v>
      </c>
      <c r="O28" s="71">
        <f t="shared" si="19"/>
        <v>2219.8599999999997</v>
      </c>
      <c r="P28" s="83">
        <f t="shared" si="20"/>
        <v>503.16999999999996</v>
      </c>
      <c r="Q28" s="110">
        <v>280.53</v>
      </c>
      <c r="R28" s="110">
        <v>379.79</v>
      </c>
      <c r="S28" s="110">
        <v>912.77</v>
      </c>
      <c r="T28" s="110">
        <v>632.24</v>
      </c>
      <c r="U28" s="110">
        <v>224.39</v>
      </c>
      <c r="V28" s="105">
        <f t="shared" si="31"/>
        <v>2429.72</v>
      </c>
      <c r="W28" s="84">
        <f t="shared" si="21"/>
        <v>4386.283368750001</v>
      </c>
      <c r="X28" s="84"/>
      <c r="Y28" s="14">
        <f t="shared" si="22"/>
        <v>314.7</v>
      </c>
      <c r="Z28" s="14">
        <f t="shared" si="23"/>
        <v>104.9</v>
      </c>
      <c r="AA28" s="14">
        <f t="shared" si="24"/>
        <v>524.5</v>
      </c>
      <c r="AB28" s="14">
        <v>0</v>
      </c>
      <c r="AC28" s="14">
        <f t="shared" si="32"/>
        <v>514.01</v>
      </c>
      <c r="AD28" s="14">
        <v>0</v>
      </c>
      <c r="AE28" s="14">
        <f t="shared" si="25"/>
        <v>1180.125</v>
      </c>
      <c r="AF28" s="14">
        <v>0</v>
      </c>
      <c r="AG28" s="14"/>
      <c r="AH28" s="14"/>
      <c r="AI28" s="86"/>
      <c r="AJ28" s="86"/>
      <c r="AK28" s="74"/>
      <c r="AL28" s="74"/>
      <c r="AM28" s="74"/>
      <c r="AN28" s="111">
        <v>233</v>
      </c>
      <c r="AO28" s="96">
        <v>0.3</v>
      </c>
      <c r="AP28" s="14">
        <f t="shared" si="26"/>
        <v>97.85999999999999</v>
      </c>
      <c r="AQ28" s="90"/>
      <c r="AR28" s="90">
        <f t="shared" si="27"/>
        <v>0</v>
      </c>
      <c r="AS28" s="90">
        <f t="shared" si="30"/>
        <v>2736.0950000000003</v>
      </c>
      <c r="AT28" s="93"/>
      <c r="AU28" s="12">
        <f t="shared" si="28"/>
        <v>1650.1883687500003</v>
      </c>
      <c r="AV28" s="26">
        <f t="shared" si="29"/>
        <v>209.86000000000013</v>
      </c>
    </row>
    <row r="29" spans="1:48" ht="12.75">
      <c r="A29" s="9" t="s">
        <v>42</v>
      </c>
      <c r="B29" s="129">
        <v>524.5</v>
      </c>
      <c r="C29" s="106">
        <f t="shared" si="18"/>
        <v>4536.925</v>
      </c>
      <c r="D29" s="107">
        <f>(C29-E29-F29-G29-H29-I29-J29-K29-L29-M29-N29)*0.805915</f>
        <v>1457.356242375</v>
      </c>
      <c r="E29" s="82">
        <v>315.01</v>
      </c>
      <c r="F29" s="82">
        <v>0</v>
      </c>
      <c r="G29" s="82">
        <v>426.55</v>
      </c>
      <c r="H29" s="82">
        <v>0</v>
      </c>
      <c r="I29" s="82">
        <v>1025.01</v>
      </c>
      <c r="J29" s="82">
        <v>0</v>
      </c>
      <c r="K29" s="82">
        <v>710.03</v>
      </c>
      <c r="L29" s="82">
        <v>0</v>
      </c>
      <c r="M29" s="82">
        <v>252</v>
      </c>
      <c r="N29" s="108">
        <v>0</v>
      </c>
      <c r="O29" s="71">
        <f t="shared" si="19"/>
        <v>2728.6</v>
      </c>
      <c r="P29" s="83">
        <f t="shared" si="20"/>
        <v>0</v>
      </c>
      <c r="Q29" s="110">
        <v>55.41</v>
      </c>
      <c r="R29" s="110">
        <v>74.98</v>
      </c>
      <c r="S29" s="110">
        <v>180.23</v>
      </c>
      <c r="T29" s="110">
        <v>124.84</v>
      </c>
      <c r="U29" s="110">
        <v>44.31</v>
      </c>
      <c r="V29" s="105">
        <f t="shared" si="31"/>
        <v>479.77000000000004</v>
      </c>
      <c r="W29" s="84">
        <f t="shared" si="21"/>
        <v>1937.126242375</v>
      </c>
      <c r="X29" s="84"/>
      <c r="Y29" s="14">
        <f t="shared" si="22"/>
        <v>314.7</v>
      </c>
      <c r="Z29" s="14">
        <f t="shared" si="23"/>
        <v>104.9</v>
      </c>
      <c r="AA29" s="14">
        <f t="shared" si="24"/>
        <v>524.5</v>
      </c>
      <c r="AB29" s="14">
        <v>0</v>
      </c>
      <c r="AC29" s="14">
        <f t="shared" si="32"/>
        <v>514.01</v>
      </c>
      <c r="AD29" s="14">
        <v>0</v>
      </c>
      <c r="AE29" s="14">
        <f t="shared" si="25"/>
        <v>1180.125</v>
      </c>
      <c r="AF29" s="14">
        <v>0</v>
      </c>
      <c r="AG29" s="14"/>
      <c r="AH29" s="14"/>
      <c r="AI29" s="86"/>
      <c r="AJ29" s="86"/>
      <c r="AK29" s="74"/>
      <c r="AL29" s="74"/>
      <c r="AM29" s="74"/>
      <c r="AN29" s="111">
        <v>248</v>
      </c>
      <c r="AO29" s="96">
        <v>0.3</v>
      </c>
      <c r="AP29" s="14">
        <f t="shared" si="26"/>
        <v>104.15999999999998</v>
      </c>
      <c r="AQ29" s="90"/>
      <c r="AR29" s="90">
        <f t="shared" si="27"/>
        <v>0</v>
      </c>
      <c r="AS29" s="90">
        <f t="shared" si="30"/>
        <v>2742.395</v>
      </c>
      <c r="AT29" s="93"/>
      <c r="AU29" s="12">
        <f t="shared" si="28"/>
        <v>-805.268757625</v>
      </c>
      <c r="AV29" s="26">
        <f t="shared" si="29"/>
        <v>-2248.83</v>
      </c>
    </row>
    <row r="30" spans="1:48" ht="12.75">
      <c r="A30" s="9" t="s">
        <v>43</v>
      </c>
      <c r="B30" s="105">
        <v>524.5</v>
      </c>
      <c r="C30" s="106">
        <f t="shared" si="18"/>
        <v>4536.925</v>
      </c>
      <c r="D30" s="107">
        <f>(C30-E30-F30-G30-H30-I30-J30-K30-L30-M30-N30)*0.857717</f>
        <v>1551.0310940249997</v>
      </c>
      <c r="E30" s="82">
        <v>315.01</v>
      </c>
      <c r="F30" s="82">
        <v>0</v>
      </c>
      <c r="G30" s="82">
        <v>426.55</v>
      </c>
      <c r="H30" s="82">
        <v>0</v>
      </c>
      <c r="I30" s="82">
        <v>1025.01</v>
      </c>
      <c r="J30" s="82">
        <v>0</v>
      </c>
      <c r="K30" s="82">
        <v>710.03</v>
      </c>
      <c r="L30" s="82">
        <v>0</v>
      </c>
      <c r="M30" s="82">
        <v>252</v>
      </c>
      <c r="N30" s="108">
        <v>0</v>
      </c>
      <c r="O30" s="71">
        <f t="shared" si="19"/>
        <v>2728.6</v>
      </c>
      <c r="P30" s="83">
        <f t="shared" si="20"/>
        <v>0</v>
      </c>
      <c r="Q30" s="110">
        <v>189.09</v>
      </c>
      <c r="R30" s="110">
        <v>256.14</v>
      </c>
      <c r="S30" s="110">
        <v>615.4</v>
      </c>
      <c r="T30" s="110">
        <v>426.29</v>
      </c>
      <c r="U30" s="110">
        <v>151.27</v>
      </c>
      <c r="V30" s="105">
        <f t="shared" si="31"/>
        <v>1638.19</v>
      </c>
      <c r="W30" s="84">
        <f t="shared" si="21"/>
        <v>3189.2210940249997</v>
      </c>
      <c r="X30" s="84"/>
      <c r="Y30" s="14">
        <f t="shared" si="22"/>
        <v>314.7</v>
      </c>
      <c r="Z30" s="14">
        <f t="shared" si="23"/>
        <v>104.9</v>
      </c>
      <c r="AA30" s="14">
        <f t="shared" si="24"/>
        <v>524.5</v>
      </c>
      <c r="AB30" s="14">
        <v>0</v>
      </c>
      <c r="AC30" s="14">
        <f t="shared" si="32"/>
        <v>514.01</v>
      </c>
      <c r="AD30" s="14">
        <v>0</v>
      </c>
      <c r="AE30" s="14">
        <f t="shared" si="25"/>
        <v>1180.125</v>
      </c>
      <c r="AF30" s="14">
        <v>0</v>
      </c>
      <c r="AG30" s="14"/>
      <c r="AH30" s="14"/>
      <c r="AI30" s="86"/>
      <c r="AJ30" s="86"/>
      <c r="AK30" s="74"/>
      <c r="AL30" s="74">
        <f>47.8</f>
        <v>47.8</v>
      </c>
      <c r="AM30" s="74">
        <f>AL30*0.18</f>
        <v>8.604</v>
      </c>
      <c r="AN30" s="111">
        <v>293</v>
      </c>
      <c r="AO30" s="96">
        <v>0.3</v>
      </c>
      <c r="AP30" s="14">
        <f t="shared" si="26"/>
        <v>123.05999999999997</v>
      </c>
      <c r="AQ30" s="90"/>
      <c r="AR30" s="90">
        <f t="shared" si="27"/>
        <v>0</v>
      </c>
      <c r="AS30" s="90">
        <f t="shared" si="30"/>
        <v>2817.699</v>
      </c>
      <c r="AT30" s="93"/>
      <c r="AU30" s="12">
        <f t="shared" si="28"/>
        <v>371.52209402499966</v>
      </c>
      <c r="AV30" s="26">
        <f t="shared" si="29"/>
        <v>-1090.4099999999999</v>
      </c>
    </row>
    <row r="31" spans="1:48" ht="12.75">
      <c r="A31" s="9" t="s">
        <v>44</v>
      </c>
      <c r="B31" s="105">
        <v>524.5</v>
      </c>
      <c r="C31" s="106">
        <f t="shared" si="18"/>
        <v>4536.925</v>
      </c>
      <c r="D31" s="107">
        <f>(C31-E31-F31-G31-H31-I31-J31-K31-L31-M31-N31)*0.87553</f>
        <v>1583.24278725</v>
      </c>
      <c r="E31" s="82">
        <v>315.01</v>
      </c>
      <c r="F31" s="82">
        <v>0</v>
      </c>
      <c r="G31" s="82">
        <v>426.55</v>
      </c>
      <c r="H31" s="82">
        <v>0</v>
      </c>
      <c r="I31" s="82">
        <v>1025.01</v>
      </c>
      <c r="J31" s="82">
        <v>0</v>
      </c>
      <c r="K31" s="82">
        <v>710.03</v>
      </c>
      <c r="L31" s="82">
        <v>0</v>
      </c>
      <c r="M31" s="82">
        <v>252</v>
      </c>
      <c r="N31" s="108">
        <v>0</v>
      </c>
      <c r="O31" s="71">
        <f t="shared" si="19"/>
        <v>2728.6</v>
      </c>
      <c r="P31" s="83">
        <f t="shared" si="20"/>
        <v>0</v>
      </c>
      <c r="Q31" s="110">
        <v>202.58</v>
      </c>
      <c r="R31" s="110">
        <v>274.31</v>
      </c>
      <c r="S31" s="110">
        <v>659.14</v>
      </c>
      <c r="T31" s="110">
        <v>456.59</v>
      </c>
      <c r="U31" s="110">
        <v>162.05</v>
      </c>
      <c r="V31" s="105">
        <f t="shared" si="31"/>
        <v>1754.6699999999998</v>
      </c>
      <c r="W31" s="84">
        <f t="shared" si="21"/>
        <v>3337.91278725</v>
      </c>
      <c r="X31" s="84"/>
      <c r="Y31" s="14">
        <f t="shared" si="22"/>
        <v>314.7</v>
      </c>
      <c r="Z31" s="14">
        <f t="shared" si="23"/>
        <v>104.9</v>
      </c>
      <c r="AA31" s="14">
        <f t="shared" si="24"/>
        <v>524.5</v>
      </c>
      <c r="AB31" s="14">
        <v>0</v>
      </c>
      <c r="AC31" s="14">
        <f t="shared" si="32"/>
        <v>514.01</v>
      </c>
      <c r="AD31" s="14">
        <v>0</v>
      </c>
      <c r="AE31" s="14">
        <f t="shared" si="25"/>
        <v>1180.125</v>
      </c>
      <c r="AF31" s="14">
        <v>0</v>
      </c>
      <c r="AG31" s="14"/>
      <c r="AH31" s="14"/>
      <c r="AI31" s="86"/>
      <c r="AJ31" s="86"/>
      <c r="AK31" s="74"/>
      <c r="AL31" s="74"/>
      <c r="AM31" s="74"/>
      <c r="AN31" s="111">
        <v>349</v>
      </c>
      <c r="AO31" s="96">
        <v>0.3</v>
      </c>
      <c r="AP31" s="14">
        <f t="shared" si="26"/>
        <v>146.57999999999998</v>
      </c>
      <c r="AQ31" s="90"/>
      <c r="AR31" s="90">
        <f t="shared" si="27"/>
        <v>0</v>
      </c>
      <c r="AS31" s="90">
        <f t="shared" si="30"/>
        <v>2784.815</v>
      </c>
      <c r="AT31" s="93"/>
      <c r="AU31" s="12">
        <f t="shared" si="28"/>
        <v>553.0977872499998</v>
      </c>
      <c r="AV31" s="26">
        <f t="shared" si="29"/>
        <v>-973.9300000000001</v>
      </c>
    </row>
    <row r="32" spans="1:48" ht="12.75">
      <c r="A32" s="9" t="s">
        <v>34</v>
      </c>
      <c r="B32" s="105">
        <v>524.5</v>
      </c>
      <c r="C32" s="106">
        <f t="shared" si="18"/>
        <v>4536.925</v>
      </c>
      <c r="D32" s="107">
        <f>(C32-E32-F32-G32-H32-I32-J32-K32-L32-M32-N32)*0.811308</f>
        <v>1467.1085391</v>
      </c>
      <c r="E32" s="82">
        <v>315.01</v>
      </c>
      <c r="F32" s="82">
        <v>0</v>
      </c>
      <c r="G32" s="82">
        <v>426.55</v>
      </c>
      <c r="H32" s="82">
        <v>0</v>
      </c>
      <c r="I32" s="82">
        <v>1025.01</v>
      </c>
      <c r="J32" s="82">
        <v>0</v>
      </c>
      <c r="K32" s="82">
        <v>710.03</v>
      </c>
      <c r="L32" s="82">
        <v>0</v>
      </c>
      <c r="M32" s="82">
        <v>252</v>
      </c>
      <c r="N32" s="108">
        <v>0</v>
      </c>
      <c r="O32" s="71">
        <f t="shared" si="19"/>
        <v>2728.6</v>
      </c>
      <c r="P32" s="83">
        <f t="shared" si="20"/>
        <v>0</v>
      </c>
      <c r="Q32" s="110">
        <v>308.44</v>
      </c>
      <c r="R32" s="110">
        <v>417.54</v>
      </c>
      <c r="S32" s="110">
        <v>1003.53</v>
      </c>
      <c r="T32" s="110">
        <v>695.1</v>
      </c>
      <c r="U32" s="110">
        <v>246.73</v>
      </c>
      <c r="V32" s="105">
        <f t="shared" si="31"/>
        <v>2671.34</v>
      </c>
      <c r="W32" s="84">
        <f t="shared" si="21"/>
        <v>4138.4485391</v>
      </c>
      <c r="X32" s="84"/>
      <c r="Y32" s="14">
        <f t="shared" si="22"/>
        <v>314.7</v>
      </c>
      <c r="Z32" s="14">
        <f t="shared" si="23"/>
        <v>104.9</v>
      </c>
      <c r="AA32" s="14">
        <f t="shared" si="24"/>
        <v>524.5</v>
      </c>
      <c r="AB32" s="14">
        <v>0</v>
      </c>
      <c r="AC32" s="14">
        <f t="shared" si="32"/>
        <v>514.01</v>
      </c>
      <c r="AD32" s="14">
        <v>0</v>
      </c>
      <c r="AE32" s="14">
        <f t="shared" si="25"/>
        <v>1180.125</v>
      </c>
      <c r="AF32" s="14">
        <v>0</v>
      </c>
      <c r="AG32" s="14"/>
      <c r="AH32" s="14"/>
      <c r="AI32" s="86"/>
      <c r="AJ32" s="86"/>
      <c r="AK32" s="74"/>
      <c r="AL32" s="74"/>
      <c r="AM32" s="74"/>
      <c r="AN32" s="111">
        <v>425</v>
      </c>
      <c r="AO32" s="96">
        <v>0.3</v>
      </c>
      <c r="AP32" s="14">
        <f t="shared" si="26"/>
        <v>178.5</v>
      </c>
      <c r="AQ32" s="90"/>
      <c r="AR32" s="90">
        <f t="shared" si="27"/>
        <v>0</v>
      </c>
      <c r="AS32" s="90">
        <f t="shared" si="30"/>
        <v>2816.735</v>
      </c>
      <c r="AT32" s="93"/>
      <c r="AU32" s="12">
        <f t="shared" si="28"/>
        <v>1321.7135390999997</v>
      </c>
      <c r="AV32" s="26">
        <f t="shared" si="29"/>
        <v>-57.25999999999976</v>
      </c>
    </row>
    <row r="33" spans="1:48" ht="12.75">
      <c r="A33" s="9" t="s">
        <v>35</v>
      </c>
      <c r="B33" s="105">
        <v>524.5</v>
      </c>
      <c r="C33" s="106">
        <f t="shared" si="18"/>
        <v>4536.925</v>
      </c>
      <c r="D33" s="107">
        <f>(C33-E33-F33-G33-H33-I33-J33-K33-L33-M33-N33)*0.870679</f>
        <v>1574.4706026749998</v>
      </c>
      <c r="E33" s="82">
        <v>315.01</v>
      </c>
      <c r="F33" s="82">
        <v>0</v>
      </c>
      <c r="G33" s="82">
        <v>426.55</v>
      </c>
      <c r="H33" s="82">
        <v>0</v>
      </c>
      <c r="I33" s="82">
        <v>1025.01</v>
      </c>
      <c r="J33" s="82">
        <v>0</v>
      </c>
      <c r="K33" s="82">
        <v>710.03</v>
      </c>
      <c r="L33" s="82">
        <v>0</v>
      </c>
      <c r="M33" s="82">
        <v>252</v>
      </c>
      <c r="N33" s="108">
        <v>0</v>
      </c>
      <c r="O33" s="71">
        <f t="shared" si="19"/>
        <v>2728.6</v>
      </c>
      <c r="P33" s="83">
        <f t="shared" si="20"/>
        <v>0</v>
      </c>
      <c r="Q33" s="110">
        <v>333.5</v>
      </c>
      <c r="R33" s="110">
        <v>451.47</v>
      </c>
      <c r="S33" s="110">
        <v>1085.1</v>
      </c>
      <c r="T33" s="110">
        <v>751.61</v>
      </c>
      <c r="U33" s="110">
        <v>266.78</v>
      </c>
      <c r="V33" s="105">
        <f t="shared" si="31"/>
        <v>2888.46</v>
      </c>
      <c r="W33" s="84">
        <f t="shared" si="21"/>
        <v>4462.930602675</v>
      </c>
      <c r="X33" s="84"/>
      <c r="Y33" s="14">
        <f t="shared" si="22"/>
        <v>314.7</v>
      </c>
      <c r="Z33" s="14">
        <f t="shared" si="23"/>
        <v>104.9</v>
      </c>
      <c r="AA33" s="14">
        <f t="shared" si="24"/>
        <v>524.5</v>
      </c>
      <c r="AB33" s="14">
        <v>0</v>
      </c>
      <c r="AC33" s="14">
        <f t="shared" si="32"/>
        <v>514.01</v>
      </c>
      <c r="AD33" s="14">
        <v>0</v>
      </c>
      <c r="AE33" s="14">
        <f t="shared" si="25"/>
        <v>1180.125</v>
      </c>
      <c r="AF33" s="14">
        <v>0</v>
      </c>
      <c r="AG33" s="14"/>
      <c r="AH33" s="14"/>
      <c r="AI33" s="86"/>
      <c r="AJ33" s="86"/>
      <c r="AK33" s="74"/>
      <c r="AL33" s="74"/>
      <c r="AM33" s="74"/>
      <c r="AN33" s="111">
        <v>470</v>
      </c>
      <c r="AO33" s="96">
        <v>0.3</v>
      </c>
      <c r="AP33" s="14">
        <f t="shared" si="26"/>
        <v>197.39999999999998</v>
      </c>
      <c r="AQ33" s="90"/>
      <c r="AR33" s="90">
        <f t="shared" si="27"/>
        <v>0</v>
      </c>
      <c r="AS33" s="90">
        <f t="shared" si="30"/>
        <v>2835.635</v>
      </c>
      <c r="AT33" s="93"/>
      <c r="AU33" s="12">
        <f t="shared" si="28"/>
        <v>1627.2956026749998</v>
      </c>
      <c r="AV33" s="26">
        <f t="shared" si="29"/>
        <v>159.86000000000013</v>
      </c>
    </row>
    <row r="34" spans="1:48" ht="12.75">
      <c r="A34" s="9" t="s">
        <v>36</v>
      </c>
      <c r="B34" s="105">
        <v>524.5</v>
      </c>
      <c r="C34" s="106">
        <f t="shared" si="18"/>
        <v>4536.925</v>
      </c>
      <c r="D34" s="107">
        <f>(C34-E34-F34-G34-H34-I34-J34-K34-L34-M34-N34)*0.91496</f>
        <v>1654.5541916</v>
      </c>
      <c r="E34" s="82">
        <v>315</v>
      </c>
      <c r="F34" s="82">
        <v>0</v>
      </c>
      <c r="G34" s="82">
        <v>426.55</v>
      </c>
      <c r="H34" s="82">
        <v>0</v>
      </c>
      <c r="I34" s="82">
        <v>1025.01</v>
      </c>
      <c r="J34" s="82">
        <v>0</v>
      </c>
      <c r="K34" s="82">
        <v>710.03</v>
      </c>
      <c r="L34" s="82">
        <v>0</v>
      </c>
      <c r="M34" s="82">
        <v>252</v>
      </c>
      <c r="N34" s="108">
        <v>0</v>
      </c>
      <c r="O34" s="71">
        <f t="shared" si="19"/>
        <v>2728.59</v>
      </c>
      <c r="P34" s="83">
        <f t="shared" si="20"/>
        <v>0</v>
      </c>
      <c r="Q34" s="110">
        <v>161.49</v>
      </c>
      <c r="R34" s="110">
        <v>218.53</v>
      </c>
      <c r="S34" s="110">
        <v>525.36</v>
      </c>
      <c r="T34" s="110">
        <v>363.86</v>
      </c>
      <c r="U34" s="110">
        <v>129.19</v>
      </c>
      <c r="V34" s="105">
        <f t="shared" si="31"/>
        <v>1398.43</v>
      </c>
      <c r="W34" s="84">
        <f t="shared" si="21"/>
        <v>3052.9841916</v>
      </c>
      <c r="X34" s="84"/>
      <c r="Y34" s="14">
        <f t="shared" si="22"/>
        <v>314.7</v>
      </c>
      <c r="Z34" s="14">
        <f t="shared" si="23"/>
        <v>104.9</v>
      </c>
      <c r="AA34" s="14">
        <f t="shared" si="24"/>
        <v>524.5</v>
      </c>
      <c r="AB34" s="14">
        <v>0</v>
      </c>
      <c r="AC34" s="14">
        <f t="shared" si="32"/>
        <v>514.01</v>
      </c>
      <c r="AD34" s="14">
        <v>0</v>
      </c>
      <c r="AE34" s="14">
        <f t="shared" si="25"/>
        <v>1180.125</v>
      </c>
      <c r="AF34" s="14">
        <v>0</v>
      </c>
      <c r="AG34" s="14"/>
      <c r="AH34" s="14"/>
      <c r="AI34" s="86"/>
      <c r="AJ34" s="86"/>
      <c r="AK34" s="74">
        <v>13620</v>
      </c>
      <c r="AL34" s="74"/>
      <c r="AM34" s="74"/>
      <c r="AN34" s="111">
        <v>514</v>
      </c>
      <c r="AO34" s="96">
        <v>0.3</v>
      </c>
      <c r="AP34" s="14">
        <f t="shared" si="26"/>
        <v>215.87999999999997</v>
      </c>
      <c r="AQ34" s="90"/>
      <c r="AR34" s="90">
        <f t="shared" si="27"/>
        <v>0</v>
      </c>
      <c r="AS34" s="90">
        <f t="shared" si="30"/>
        <v>16474.115</v>
      </c>
      <c r="AT34" s="93"/>
      <c r="AU34" s="12">
        <f t="shared" si="28"/>
        <v>-13421.130808400001</v>
      </c>
      <c r="AV34" s="26">
        <f t="shared" si="29"/>
        <v>-1330.16</v>
      </c>
    </row>
    <row r="35" spans="1:48" s="18" customFormat="1" ht="12.75">
      <c r="A35" s="15" t="s">
        <v>5</v>
      </c>
      <c r="B35" s="51"/>
      <c r="C35" s="17">
        <f aca="true" t="shared" si="33" ref="C35:AU35">SUM(C23:C34)</f>
        <v>54430.125000000015</v>
      </c>
      <c r="D35" s="17">
        <f t="shared" si="33"/>
        <v>19805.656825775004</v>
      </c>
      <c r="E35" s="17">
        <f t="shared" si="33"/>
        <v>3427.2000000000007</v>
      </c>
      <c r="F35" s="17">
        <f t="shared" si="33"/>
        <v>348.05</v>
      </c>
      <c r="G35" s="17">
        <f t="shared" si="33"/>
        <v>4640.350000000001</v>
      </c>
      <c r="H35" s="17">
        <f t="shared" si="33"/>
        <v>471.9</v>
      </c>
      <c r="I35" s="17">
        <f t="shared" si="33"/>
        <v>11151.160000000002</v>
      </c>
      <c r="J35" s="17">
        <f t="shared" si="33"/>
        <v>1133.3600000000001</v>
      </c>
      <c r="K35" s="17">
        <f t="shared" si="33"/>
        <v>7724.419999999999</v>
      </c>
      <c r="L35" s="17">
        <f t="shared" si="33"/>
        <v>785.2</v>
      </c>
      <c r="M35" s="17">
        <f t="shared" si="33"/>
        <v>2741.5699999999997</v>
      </c>
      <c r="N35" s="17">
        <f t="shared" si="33"/>
        <v>278.56</v>
      </c>
      <c r="O35" s="17">
        <f t="shared" si="33"/>
        <v>29684.699999999997</v>
      </c>
      <c r="P35" s="17">
        <f t="shared" si="33"/>
        <v>3017.0699999999997</v>
      </c>
      <c r="Q35" s="17">
        <f t="shared" si="33"/>
        <v>2542.9799999999996</v>
      </c>
      <c r="R35" s="17">
        <f t="shared" si="33"/>
        <v>3442.5800000000004</v>
      </c>
      <c r="S35" s="17">
        <f t="shared" si="33"/>
        <v>8275.98</v>
      </c>
      <c r="T35" s="17">
        <f t="shared" si="33"/>
        <v>5730.9400000000005</v>
      </c>
      <c r="U35" s="17">
        <f t="shared" si="33"/>
        <v>2034.1599999999999</v>
      </c>
      <c r="V35" s="17">
        <f t="shared" si="33"/>
        <v>22026.64</v>
      </c>
      <c r="W35" s="17">
        <f t="shared" si="33"/>
        <v>44849.36682577501</v>
      </c>
      <c r="X35" s="17">
        <f t="shared" si="33"/>
        <v>0</v>
      </c>
      <c r="Y35" s="17">
        <f t="shared" si="33"/>
        <v>3775.499999999999</v>
      </c>
      <c r="Z35" s="17">
        <f t="shared" si="33"/>
        <v>1258.5000000000002</v>
      </c>
      <c r="AA35" s="17">
        <f t="shared" si="33"/>
        <v>6292.5</v>
      </c>
      <c r="AB35" s="17">
        <f t="shared" si="33"/>
        <v>0</v>
      </c>
      <c r="AC35" s="17">
        <f t="shared" si="33"/>
        <v>6166.6500000000015</v>
      </c>
      <c r="AD35" s="17">
        <f t="shared" si="33"/>
        <v>0</v>
      </c>
      <c r="AE35" s="17">
        <f t="shared" si="33"/>
        <v>14158.125</v>
      </c>
      <c r="AF35" s="17">
        <f t="shared" si="33"/>
        <v>0</v>
      </c>
      <c r="AG35" s="17">
        <f t="shared" si="33"/>
        <v>0</v>
      </c>
      <c r="AH35" s="17">
        <f t="shared" si="33"/>
        <v>0</v>
      </c>
      <c r="AI35" s="17">
        <f t="shared" si="33"/>
        <v>0</v>
      </c>
      <c r="AJ35" s="17">
        <f t="shared" si="33"/>
        <v>0</v>
      </c>
      <c r="AK35" s="17">
        <f t="shared" si="33"/>
        <v>15856.59</v>
      </c>
      <c r="AL35" s="17">
        <f t="shared" si="33"/>
        <v>47.8</v>
      </c>
      <c r="AM35" s="17">
        <f t="shared" si="33"/>
        <v>8.604</v>
      </c>
      <c r="AN35" s="17">
        <f t="shared" si="33"/>
        <v>4400</v>
      </c>
      <c r="AO35" s="17">
        <f t="shared" si="33"/>
        <v>3.599999999999999</v>
      </c>
      <c r="AP35" s="17">
        <f t="shared" si="33"/>
        <v>1847.9999999999998</v>
      </c>
      <c r="AQ35" s="17">
        <f t="shared" si="33"/>
        <v>0</v>
      </c>
      <c r="AR35" s="17">
        <f t="shared" si="33"/>
        <v>0</v>
      </c>
      <c r="AS35" s="17">
        <f t="shared" si="33"/>
        <v>49412.269</v>
      </c>
      <c r="AT35" s="17">
        <f t="shared" si="33"/>
        <v>0</v>
      </c>
      <c r="AU35" s="17">
        <f t="shared" si="33"/>
        <v>-4562.902174224999</v>
      </c>
      <c r="AV35" s="17">
        <f>SUM(AV23:AV34)</f>
        <v>-7658.0599999999995</v>
      </c>
    </row>
    <row r="36" spans="1:48" ht="12.75">
      <c r="A36" s="9"/>
      <c r="B36" s="10"/>
      <c r="C36" s="11"/>
      <c r="D36" s="1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2"/>
      <c r="P36" s="42"/>
      <c r="Q36" s="44"/>
      <c r="R36" s="44"/>
      <c r="S36" s="44"/>
      <c r="T36" s="44"/>
      <c r="U36" s="44"/>
      <c r="V36" s="44"/>
      <c r="W36" s="78"/>
      <c r="X36" s="79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73"/>
      <c r="AL36" s="73"/>
      <c r="AM36" s="74"/>
      <c r="AN36" s="74"/>
      <c r="AO36" s="74"/>
      <c r="AP36" s="19"/>
      <c r="AQ36" s="13"/>
      <c r="AR36" s="14"/>
      <c r="AS36" s="14"/>
      <c r="AT36" s="14"/>
      <c r="AU36" s="14"/>
      <c r="AV36" s="8"/>
    </row>
    <row r="37" spans="1:48" s="18" customFormat="1" ht="13.5" thickBot="1">
      <c r="A37" s="20" t="s">
        <v>45</v>
      </c>
      <c r="B37" s="21"/>
      <c r="C37" s="21">
        <f>C35+C21</f>
        <v>99773.42500000002</v>
      </c>
      <c r="D37" s="21">
        <f aca="true" t="shared" si="34" ref="D37:AV37">D35+D21</f>
        <v>35448.43932577501</v>
      </c>
      <c r="E37" s="21">
        <f t="shared" si="34"/>
        <v>5947.630000000001</v>
      </c>
      <c r="F37" s="21">
        <f t="shared" si="34"/>
        <v>927.06</v>
      </c>
      <c r="G37" s="21">
        <f t="shared" si="34"/>
        <v>8050.800000000001</v>
      </c>
      <c r="H37" s="21">
        <f t="shared" si="34"/>
        <v>1256.27</v>
      </c>
      <c r="I37" s="21">
        <f t="shared" si="34"/>
        <v>19349.570000000003</v>
      </c>
      <c r="J37" s="21">
        <f t="shared" si="34"/>
        <v>3018.0899999999997</v>
      </c>
      <c r="K37" s="21">
        <f t="shared" si="34"/>
        <v>13396.829999999998</v>
      </c>
      <c r="L37" s="21">
        <f t="shared" si="34"/>
        <v>2090.77</v>
      </c>
      <c r="M37" s="21">
        <f t="shared" si="34"/>
        <v>4757.72</v>
      </c>
      <c r="N37" s="21">
        <f t="shared" si="34"/>
        <v>741.9300000000001</v>
      </c>
      <c r="O37" s="21">
        <f t="shared" si="34"/>
        <v>51502.55</v>
      </c>
      <c r="P37" s="21">
        <f t="shared" si="34"/>
        <v>8034.119999999999</v>
      </c>
      <c r="Q37" s="21">
        <f t="shared" si="34"/>
        <v>4236.33</v>
      </c>
      <c r="R37" s="21">
        <f t="shared" si="34"/>
        <v>5733.630000000001</v>
      </c>
      <c r="S37" s="21">
        <f t="shared" si="34"/>
        <v>13778.189999999999</v>
      </c>
      <c r="T37" s="21">
        <f t="shared" si="34"/>
        <v>9545.720000000001</v>
      </c>
      <c r="U37" s="21">
        <f t="shared" si="34"/>
        <v>3388.8199999999997</v>
      </c>
      <c r="V37" s="21">
        <f t="shared" si="34"/>
        <v>36682.69</v>
      </c>
      <c r="W37" s="21">
        <f t="shared" si="34"/>
        <v>80165.24932577502</v>
      </c>
      <c r="X37" s="21">
        <f t="shared" si="34"/>
        <v>0</v>
      </c>
      <c r="Y37" s="21">
        <f t="shared" si="34"/>
        <v>6857.795999999999</v>
      </c>
      <c r="Z37" s="21">
        <f t="shared" si="34"/>
        <v>2290.7189944</v>
      </c>
      <c r="AA37" s="21">
        <f t="shared" si="34"/>
        <v>10625.5902246</v>
      </c>
      <c r="AB37" s="21">
        <f t="shared" si="34"/>
        <v>779.9562404279999</v>
      </c>
      <c r="AC37" s="21">
        <f t="shared" si="34"/>
        <v>10403.761116160003</v>
      </c>
      <c r="AD37" s="21">
        <f t="shared" si="34"/>
        <v>762.6800009087999</v>
      </c>
      <c r="AE37" s="21">
        <f t="shared" si="34"/>
        <v>23908.37527592</v>
      </c>
      <c r="AF37" s="21">
        <f t="shared" si="34"/>
        <v>1755.0450496656</v>
      </c>
      <c r="AG37" s="21">
        <f t="shared" si="34"/>
        <v>0</v>
      </c>
      <c r="AH37" s="21">
        <f t="shared" si="34"/>
        <v>0</v>
      </c>
      <c r="AI37" s="21">
        <f t="shared" si="34"/>
        <v>0</v>
      </c>
      <c r="AJ37" s="21">
        <f t="shared" si="34"/>
        <v>0</v>
      </c>
      <c r="AK37" s="21">
        <f t="shared" si="34"/>
        <v>15856.59</v>
      </c>
      <c r="AL37" s="21">
        <f t="shared" si="34"/>
        <v>47.8</v>
      </c>
      <c r="AM37" s="21">
        <f t="shared" si="34"/>
        <v>8.604</v>
      </c>
      <c r="AN37" s="21">
        <f t="shared" si="34"/>
        <v>4400</v>
      </c>
      <c r="AO37" s="21">
        <f t="shared" si="34"/>
        <v>3.599999999999999</v>
      </c>
      <c r="AP37" s="21">
        <f t="shared" si="34"/>
        <v>3229.7327999999998</v>
      </c>
      <c r="AQ37" s="21">
        <f t="shared" si="34"/>
        <v>0</v>
      </c>
      <c r="AR37" s="21">
        <f t="shared" si="34"/>
        <v>0</v>
      </c>
      <c r="AS37" s="21">
        <f t="shared" si="34"/>
        <v>76526.6497020824</v>
      </c>
      <c r="AT37" s="21">
        <f t="shared" si="34"/>
        <v>0</v>
      </c>
      <c r="AU37" s="21">
        <f t="shared" si="34"/>
        <v>3638.599623692602</v>
      </c>
      <c r="AV37" s="21">
        <f t="shared" si="34"/>
        <v>-14819.86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K5:K6"/>
    <mergeCell ref="AU3:AU6"/>
    <mergeCell ref="O3:P4"/>
    <mergeCell ref="Q3:V4"/>
    <mergeCell ref="W3:W6"/>
    <mergeCell ref="P5:P6"/>
    <mergeCell ref="Q5:Q6"/>
    <mergeCell ref="M4:N4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B48" sqref="B48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31" t="s">
        <v>46</v>
      </c>
      <c r="C1" s="231"/>
      <c r="D1" s="231"/>
      <c r="E1" s="231"/>
      <c r="F1" s="231"/>
      <c r="G1" s="231"/>
      <c r="H1" s="231"/>
    </row>
    <row r="2" spans="2:8" ht="21" customHeight="1">
      <c r="B2" s="231" t="s">
        <v>47</v>
      </c>
      <c r="C2" s="231"/>
      <c r="D2" s="231"/>
      <c r="E2" s="231"/>
      <c r="F2" s="231"/>
      <c r="G2" s="231"/>
      <c r="H2" s="231"/>
    </row>
    <row r="5" spans="1:15" ht="12.75">
      <c r="A5" s="233" t="s">
        <v>81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12.75">
      <c r="A6" s="234" t="s">
        <v>86</v>
      </c>
      <c r="B6" s="234"/>
      <c r="C6" s="234"/>
      <c r="D6" s="234"/>
      <c r="E6" s="234"/>
      <c r="F6" s="234"/>
      <c r="G6" s="234"/>
      <c r="H6" s="80"/>
      <c r="I6" s="80"/>
      <c r="J6" s="80"/>
      <c r="K6" s="80"/>
      <c r="L6" s="80"/>
      <c r="M6" s="80"/>
      <c r="N6" s="80"/>
      <c r="O6" s="80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32" t="s">
        <v>48</v>
      </c>
      <c r="B8" s="232"/>
      <c r="C8" s="232"/>
      <c r="D8" s="232"/>
      <c r="E8" s="232">
        <v>8.65</v>
      </c>
      <c r="F8" s="232"/>
    </row>
    <row r="9" spans="1:16" ht="12.75" customHeight="1">
      <c r="A9" s="186" t="s">
        <v>49</v>
      </c>
      <c r="B9" s="204" t="s">
        <v>1</v>
      </c>
      <c r="C9" s="207" t="s">
        <v>50</v>
      </c>
      <c r="D9" s="210" t="s">
        <v>3</v>
      </c>
      <c r="E9" s="223" t="s">
        <v>51</v>
      </c>
      <c r="F9" s="224"/>
      <c r="G9" s="227" t="s">
        <v>52</v>
      </c>
      <c r="H9" s="228"/>
      <c r="I9" s="213" t="s">
        <v>8</v>
      </c>
      <c r="J9" s="166"/>
      <c r="K9" s="166"/>
      <c r="L9" s="166"/>
      <c r="M9" s="166"/>
      <c r="N9" s="214"/>
      <c r="O9" s="200" t="s">
        <v>53</v>
      </c>
      <c r="P9" s="200" t="s">
        <v>10</v>
      </c>
    </row>
    <row r="10" spans="1:16" ht="12.75">
      <c r="A10" s="187"/>
      <c r="B10" s="205"/>
      <c r="C10" s="208"/>
      <c r="D10" s="211"/>
      <c r="E10" s="225"/>
      <c r="F10" s="226"/>
      <c r="G10" s="229"/>
      <c r="H10" s="230"/>
      <c r="I10" s="215"/>
      <c r="J10" s="155"/>
      <c r="K10" s="155"/>
      <c r="L10" s="155"/>
      <c r="M10" s="155"/>
      <c r="N10" s="216"/>
      <c r="O10" s="201"/>
      <c r="P10" s="201"/>
    </row>
    <row r="11" spans="1:16" ht="26.25" customHeight="1">
      <c r="A11" s="187"/>
      <c r="B11" s="205"/>
      <c r="C11" s="208"/>
      <c r="D11" s="211"/>
      <c r="E11" s="217" t="s">
        <v>54</v>
      </c>
      <c r="F11" s="218"/>
      <c r="G11" s="70" t="s">
        <v>55</v>
      </c>
      <c r="H11" s="195" t="s">
        <v>7</v>
      </c>
      <c r="I11" s="219" t="s">
        <v>56</v>
      </c>
      <c r="J11" s="221" t="s">
        <v>26</v>
      </c>
      <c r="K11" s="221" t="s">
        <v>57</v>
      </c>
      <c r="L11" s="221" t="s">
        <v>31</v>
      </c>
      <c r="M11" s="221" t="s">
        <v>58</v>
      </c>
      <c r="N11" s="195" t="s">
        <v>33</v>
      </c>
      <c r="O11" s="201"/>
      <c r="P11" s="201"/>
    </row>
    <row r="12" spans="1:16" ht="66.75" customHeight="1" thickBot="1">
      <c r="A12" s="203"/>
      <c r="B12" s="206"/>
      <c r="C12" s="209"/>
      <c r="D12" s="212"/>
      <c r="E12" s="54" t="s">
        <v>59</v>
      </c>
      <c r="F12" s="57" t="s">
        <v>17</v>
      </c>
      <c r="G12" s="67" t="s">
        <v>78</v>
      </c>
      <c r="H12" s="196"/>
      <c r="I12" s="220"/>
      <c r="J12" s="222"/>
      <c r="K12" s="222"/>
      <c r="L12" s="222"/>
      <c r="M12" s="222"/>
      <c r="N12" s="196"/>
      <c r="O12" s="202"/>
      <c r="P12" s="202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</row>
    <row r="14" spans="1:18" ht="12.75">
      <c r="A14" s="6" t="s">
        <v>37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>
      <c r="A15" s="9" t="s">
        <v>38</v>
      </c>
      <c r="B15" s="68">
        <f>Лист1!B9</f>
        <v>524.2</v>
      </c>
      <c r="C15" s="23">
        <f aca="true" t="shared" si="0" ref="C15:C24">B15*8.65</f>
        <v>4534.330000000001</v>
      </c>
      <c r="D15" s="24">
        <f>Лист1!D9</f>
        <v>566.7912500000001</v>
      </c>
      <c r="E15" s="12">
        <f>Лист1!O9</f>
        <v>2055.83</v>
      </c>
      <c r="F15" s="26">
        <f>Лист1!P9</f>
        <v>478.90000000000003</v>
      </c>
      <c r="G15" s="25">
        <f>Лист1!V9</f>
        <v>0</v>
      </c>
      <c r="H15" s="26">
        <f>Лист1!W9</f>
        <v>1045.69125</v>
      </c>
      <c r="I15" s="25">
        <f>Лист1!Y9</f>
        <v>283.06800000000004</v>
      </c>
      <c r="J15" s="12">
        <f>Лист1!AA9+Лист1!AB9</f>
        <v>468.42260934</v>
      </c>
      <c r="K15" s="12">
        <f>Лист1!Z9+Лист1!AC9+Лист1!AD9+Лист1!AE9+Лист1!AF9+Лист1!AG9+Лист1!AH9+Лист1!AI9+Лист1!AJ9</f>
        <v>1608.243283036</v>
      </c>
      <c r="L15" s="27">
        <f>Лист1!AK9+Лист1!AL9+Лист1!AM9+Лист1!AQ9+Лист1!AR9</f>
        <v>0</v>
      </c>
      <c r="M15" s="27">
        <f>Лист1!AP9</f>
        <v>151.85184</v>
      </c>
      <c r="N15" s="26">
        <f>Лист1!AS9</f>
        <v>2359.7338923760003</v>
      </c>
      <c r="O15" s="63">
        <f>Лист1!AU9</f>
        <v>-1314.0426423760002</v>
      </c>
      <c r="P15" s="63">
        <f>Лист1!AV9</f>
        <v>-2055.83</v>
      </c>
      <c r="Q15" s="1"/>
      <c r="R15" s="1"/>
    </row>
    <row r="16" spans="1:18" ht="12.75">
      <c r="A16" s="9" t="s">
        <v>39</v>
      </c>
      <c r="B16" s="68">
        <f>Лист1!B10</f>
        <v>524.2</v>
      </c>
      <c r="C16" s="23">
        <f t="shared" si="0"/>
        <v>4534.330000000001</v>
      </c>
      <c r="D16" s="24">
        <f>Лист1!D10</f>
        <v>566.7912500000001</v>
      </c>
      <c r="E16" s="12">
        <f>Лист1!O10</f>
        <v>2055.83</v>
      </c>
      <c r="F16" s="26">
        <f>Лист1!P10</f>
        <v>478.90000000000003</v>
      </c>
      <c r="G16" s="25">
        <f>Лист1!V10</f>
        <v>656.7900000000001</v>
      </c>
      <c r="H16" s="26">
        <f>Лист1!W10</f>
        <v>1702.4812500000003</v>
      </c>
      <c r="I16" s="25">
        <f>Лист1!Y10</f>
        <v>283.06800000000004</v>
      </c>
      <c r="J16" s="12">
        <f>Лист1!AA10+Лист1!AB10</f>
        <v>468.42260934</v>
      </c>
      <c r="K16" s="12">
        <f>Лист1!Z10+Лист1!AC10+Лист1!AD10+Лист1!AE10+Лист1!AF10+Лист1!AG10+Лист1!AH10+Лист1!AI10+Лист1!AJ10</f>
        <v>1609.847335036</v>
      </c>
      <c r="L16" s="27">
        <f>Лист1!AK10+Лист1!AL10+Лист1!AM10+Лист1!AQ10+Лист1!AR10</f>
        <v>0</v>
      </c>
      <c r="M16" s="27">
        <f>Лист1!AP10</f>
        <v>121.71936</v>
      </c>
      <c r="N16" s="26">
        <f>Лист1!AS10</f>
        <v>2634.9091443760003</v>
      </c>
      <c r="O16" s="63">
        <f>Лист1!AU10</f>
        <v>-932.427894376</v>
      </c>
      <c r="P16" s="63">
        <f>Лист1!AV10</f>
        <v>-1399.04</v>
      </c>
      <c r="Q16" s="1"/>
      <c r="R16" s="1"/>
    </row>
    <row r="17" spans="1:18" ht="12.75">
      <c r="A17" s="9" t="s">
        <v>40</v>
      </c>
      <c r="B17" s="68">
        <f>Лист1!B11</f>
        <v>524.2</v>
      </c>
      <c r="C17" s="23">
        <f t="shared" si="0"/>
        <v>4534.330000000001</v>
      </c>
      <c r="D17" s="24">
        <f>Лист1!D11</f>
        <v>1818.900000000001</v>
      </c>
      <c r="E17" s="12">
        <f>Лист1!O11</f>
        <v>2175.64</v>
      </c>
      <c r="F17" s="26">
        <f>Лист1!P11</f>
        <v>539.7900000000001</v>
      </c>
      <c r="G17" s="25">
        <f>Лист1!V11</f>
        <v>1362.08</v>
      </c>
      <c r="H17" s="26">
        <f>Лист1!W11</f>
        <v>3720.770000000001</v>
      </c>
      <c r="I17" s="25">
        <f>Лист1!Y11</f>
        <v>314.52000000000004</v>
      </c>
      <c r="J17" s="12">
        <f>Лист1!AA11+Лист1!AB11</f>
        <v>520.46229674</v>
      </c>
      <c r="K17" s="12">
        <f>Лист1!Z11+Лист1!AC11+Лист1!AD11+Лист1!AE11+Лист1!AF11+Лист1!AG11+Лист1!AH11+Лист1!AI11+Лист1!AJ11</f>
        <v>1787.2779324800001</v>
      </c>
      <c r="L17" s="27">
        <f>Лист1!AK11+Лист1!AL11+Лист1!AM11+Лист1!AQ11+Лист1!AR11</f>
        <v>0</v>
      </c>
      <c r="M17" s="27">
        <f>Лист1!AP11</f>
        <v>104.27423999999999</v>
      </c>
      <c r="N17" s="26">
        <f>Лист1!AS11</f>
        <v>2726.5344692200006</v>
      </c>
      <c r="O17" s="63">
        <f>Лист1!AU11</f>
        <v>994.2355307800003</v>
      </c>
      <c r="P17" s="63">
        <f>Лист1!AV11</f>
        <v>-813.56</v>
      </c>
      <c r="Q17" s="1"/>
      <c r="R17" s="1"/>
    </row>
    <row r="18" spans="1:18" ht="12.75">
      <c r="A18" s="9" t="s">
        <v>41</v>
      </c>
      <c r="B18" s="68">
        <f>Лист1!B12</f>
        <v>524.2</v>
      </c>
      <c r="C18" s="23">
        <f t="shared" si="0"/>
        <v>4534.330000000001</v>
      </c>
      <c r="D18" s="24">
        <f>Лист1!D12</f>
        <v>1812.95</v>
      </c>
      <c r="E18" s="12">
        <f>Лист1!O12</f>
        <v>2964.4</v>
      </c>
      <c r="F18" s="26">
        <f>Лист1!P12</f>
        <v>671.87</v>
      </c>
      <c r="G18" s="25">
        <f>Лист1!V12</f>
        <v>593.93</v>
      </c>
      <c r="H18" s="26">
        <f>Лист1!W12</f>
        <v>3078.75</v>
      </c>
      <c r="I18" s="25">
        <f>Лист1!Y12</f>
        <v>314.52000000000004</v>
      </c>
      <c r="J18" s="12">
        <f>Лист1!AA12+Лист1!AB12</f>
        <v>519.589514224</v>
      </c>
      <c r="K18" s="12">
        <f>Лист1!Z12+Лист1!AC12+Лист1!AD12+Лист1!AE12+Лист1!AF12+Лист1!AG12+Лист1!AH12+Лист1!AI12+Лист1!AJ12</f>
        <v>1784.2085975912003</v>
      </c>
      <c r="L18" s="27">
        <f>Лист1!AK12+Лист1!AL12+Лист1!AM12+Лист1!AQ12+Лист1!AR12</f>
        <v>0</v>
      </c>
      <c r="M18" s="27">
        <f>Лист1!AP12</f>
        <v>92.37983999999999</v>
      </c>
      <c r="N18" s="26">
        <f>Лист1!AS12</f>
        <v>2710.6979518152</v>
      </c>
      <c r="O18" s="63">
        <f>Лист1!AU12</f>
        <v>368.0520481847998</v>
      </c>
      <c r="P18" s="63">
        <f>Лист1!AV12</f>
        <v>-2370.4700000000003</v>
      </c>
      <c r="Q18" s="1"/>
      <c r="R18" s="1"/>
    </row>
    <row r="19" spans="1:18" ht="12.75">
      <c r="A19" s="9" t="s">
        <v>42</v>
      </c>
      <c r="B19" s="68">
        <f>Лист1!B13</f>
        <v>524.2</v>
      </c>
      <c r="C19" s="23">
        <f t="shared" si="0"/>
        <v>4534.330000000001</v>
      </c>
      <c r="D19" s="24">
        <f>Лист1!D13</f>
        <v>1812.85</v>
      </c>
      <c r="E19" s="12">
        <f>Лист1!O13</f>
        <v>1472.8999999999999</v>
      </c>
      <c r="F19" s="26">
        <f>Лист1!P13</f>
        <v>333.69000000000005</v>
      </c>
      <c r="G19" s="25">
        <f>Лист1!V13</f>
        <v>1856.7500000000002</v>
      </c>
      <c r="H19" s="26">
        <f>Лист1!W13</f>
        <v>4003.29</v>
      </c>
      <c r="I19" s="25">
        <f>Лист1!Y13</f>
        <v>314.52000000000004</v>
      </c>
      <c r="J19" s="12">
        <f>Лист1!AA13+Лист1!AB13</f>
        <v>519.589514224</v>
      </c>
      <c r="K19" s="12">
        <f>Лист1!Z13+Лист1!AC13+Лист1!AD13+Лист1!AE13+Лист1!AF13+Лист1!AG13+Лист1!AH13+Лист1!AI13+Лист1!AJ13</f>
        <v>1782.5230379912002</v>
      </c>
      <c r="L19" s="27">
        <f>Лист1!AK13+Лист1!AL13+Лист1!AM13+Лист1!AQ13+Лист1!AR13</f>
        <v>0</v>
      </c>
      <c r="M19" s="27">
        <f>Лист1!AP13</f>
        <v>98.32704</v>
      </c>
      <c r="N19" s="26">
        <f>Лист1!AS13</f>
        <v>2714.9595922152002</v>
      </c>
      <c r="O19" s="63">
        <f>Лист1!AU13</f>
        <v>1288.3304077847997</v>
      </c>
      <c r="P19" s="63">
        <f>Лист1!AV13</f>
        <v>383.85000000000036</v>
      </c>
      <c r="Q19" s="1"/>
      <c r="R19" s="1"/>
    </row>
    <row r="20" spans="1:18" ht="12.75">
      <c r="A20" s="9" t="s">
        <v>43</v>
      </c>
      <c r="B20" s="68">
        <f>Лист1!B14</f>
        <v>524.2</v>
      </c>
      <c r="C20" s="23">
        <f t="shared" si="0"/>
        <v>4534.330000000001</v>
      </c>
      <c r="D20" s="24">
        <f>Лист1!D14</f>
        <v>1812.9000000000008</v>
      </c>
      <c r="E20" s="12">
        <f>Лист1!O14</f>
        <v>2218.65</v>
      </c>
      <c r="F20" s="26">
        <f>Лист1!P14</f>
        <v>502.78</v>
      </c>
      <c r="G20" s="25">
        <f>Лист1!V14</f>
        <v>1293.57</v>
      </c>
      <c r="H20" s="26">
        <f>Лист1!W14</f>
        <v>3609.250000000001</v>
      </c>
      <c r="I20" s="25">
        <f>Лист1!Y14</f>
        <v>314.52000000000004</v>
      </c>
      <c r="J20" s="12">
        <f>Лист1!AA14+Лист1!AB14</f>
        <v>519.6210605800001</v>
      </c>
      <c r="K20" s="12">
        <f>Лист1!Z14+Лист1!AC14+Лист1!AD14+Лист1!AE14+Лист1!AF14+Лист1!AG14+Лист1!AH14+Лист1!AI14+Лист1!AJ14</f>
        <v>1782.994264436</v>
      </c>
      <c r="L20" s="27">
        <f>Лист1!AK14+Лист1!AL14+Лист1!AM14+Лист1!AQ14+Лист1!AR14</f>
        <v>0</v>
      </c>
      <c r="M20" s="27">
        <f>Лист1!AP14</f>
        <v>116.16863999999998</v>
      </c>
      <c r="N20" s="26">
        <f>Лист1!AS14</f>
        <v>2733.3039650160003</v>
      </c>
      <c r="O20" s="63">
        <f>Лист1!AU14</f>
        <v>875.9460349840006</v>
      </c>
      <c r="P20" s="63">
        <f>Лист1!AV14</f>
        <v>-925.0800000000002</v>
      </c>
      <c r="Q20" s="1"/>
      <c r="R20" s="1"/>
    </row>
    <row r="21" spans="1:18" ht="12.75">
      <c r="A21" s="9" t="s">
        <v>44</v>
      </c>
      <c r="B21" s="68">
        <f>Лист1!B15</f>
        <v>524.2</v>
      </c>
      <c r="C21" s="23">
        <f t="shared" si="0"/>
        <v>4534.330000000001</v>
      </c>
      <c r="D21" s="24">
        <f>Лист1!D15</f>
        <v>1812.9000000000008</v>
      </c>
      <c r="E21" s="12">
        <f>Лист1!O15</f>
        <v>2218.65</v>
      </c>
      <c r="F21" s="26">
        <f>Лист1!P15</f>
        <v>502.78</v>
      </c>
      <c r="G21" s="25">
        <f>Лист1!V15</f>
        <v>657.27</v>
      </c>
      <c r="H21" s="26">
        <f>Лист1!W15</f>
        <v>2972.9500000000007</v>
      </c>
      <c r="I21" s="25">
        <f>Лист1!Y15</f>
        <v>314.52000000000004</v>
      </c>
      <c r="J21" s="12">
        <f>Лист1!AA15+Лист1!AB15</f>
        <v>519.6210605800001</v>
      </c>
      <c r="K21" s="12">
        <f>Лист1!Z15+Лист1!AC15+Лист1!AD15+Лист1!AE15+Лист1!AF15+Лист1!AG15+Лист1!AH15+Лист1!AI15+Лист1!AJ15</f>
        <v>1783.160666484</v>
      </c>
      <c r="L21" s="27">
        <f>Лист1!AK15+Лист1!AL15+Лист1!AM15+Лист1!AQ15+Лист1!AR15</f>
        <v>0</v>
      </c>
      <c r="M21" s="27">
        <f>Лист1!AP15</f>
        <v>138.37152</v>
      </c>
      <c r="N21" s="26">
        <f>Лист1!AS15</f>
        <v>2755.6732470640004</v>
      </c>
      <c r="O21" s="63">
        <f>Лист1!AU15</f>
        <v>217.27675293600032</v>
      </c>
      <c r="P21" s="63">
        <f>Лист1!AV15</f>
        <v>-1561.38</v>
      </c>
      <c r="Q21" s="1"/>
      <c r="R21" s="1"/>
    </row>
    <row r="22" spans="1:18" ht="12.75">
      <c r="A22" s="9" t="s">
        <v>34</v>
      </c>
      <c r="B22" s="68">
        <f>Лист1!B16</f>
        <v>524.2</v>
      </c>
      <c r="C22" s="23">
        <f>B22*8.65</f>
        <v>4534.330000000001</v>
      </c>
      <c r="D22" s="24">
        <f>Лист1!D16</f>
        <v>1812.9000000000008</v>
      </c>
      <c r="E22" s="12">
        <f>Лист1!O16</f>
        <v>2218.65</v>
      </c>
      <c r="F22" s="26">
        <f>Лист1!P16</f>
        <v>502.78</v>
      </c>
      <c r="G22" s="25">
        <f>Лист1!V16</f>
        <v>3454.0699999999997</v>
      </c>
      <c r="H22" s="26">
        <f>Лист1!W16</f>
        <v>5769.75</v>
      </c>
      <c r="I22" s="25">
        <f>Лист1!Y16</f>
        <v>314.52000000000004</v>
      </c>
      <c r="J22" s="12">
        <f>Лист1!AA16+Лист1!AB16</f>
        <v>525.7726</v>
      </c>
      <c r="K22" s="12">
        <f>Лист1!Z16+Лист1!AC16+Лист1!AD16+Лист1!AE16+Лист1!AF16+Лист1!AG16+Лист1!AH16+Лист1!AI16+Лист1!AJ16</f>
        <v>1799.6834400000002</v>
      </c>
      <c r="L22" s="27">
        <f>Лист1!AK16+Лист1!AL16+Лист1!AM16+Лист1!AQ16+Лист1!AR16</f>
        <v>0</v>
      </c>
      <c r="M22" s="27">
        <f>Лист1!AP16</f>
        <v>168.504</v>
      </c>
      <c r="N22" s="26">
        <f>Лист1!AS16</f>
        <v>2808.48004</v>
      </c>
      <c r="O22" s="63">
        <f>Лист1!AU16</f>
        <v>2961.26996</v>
      </c>
      <c r="P22" s="63">
        <f>Лист1!AV16</f>
        <v>1235.4199999999996</v>
      </c>
      <c r="Q22" s="1"/>
      <c r="R22" s="1"/>
    </row>
    <row r="23" spans="1:18" ht="12.75">
      <c r="A23" s="9" t="s">
        <v>35</v>
      </c>
      <c r="B23" s="68">
        <f>Лист1!B17</f>
        <v>524.2</v>
      </c>
      <c r="C23" s="23">
        <f t="shared" si="0"/>
        <v>4534.330000000001</v>
      </c>
      <c r="D23" s="24">
        <f>Лист1!D17</f>
        <v>1812.9000000000008</v>
      </c>
      <c r="E23" s="12">
        <f>Лист1!O17</f>
        <v>2218.65</v>
      </c>
      <c r="F23" s="26">
        <f>Лист1!P17</f>
        <v>502.78</v>
      </c>
      <c r="G23" s="25">
        <f>Лист1!V17</f>
        <v>2523.0699999999997</v>
      </c>
      <c r="H23" s="26">
        <f>Лист1!W17</f>
        <v>4838.75</v>
      </c>
      <c r="I23" s="25">
        <f>Лист1!Y17</f>
        <v>314.52000000000004</v>
      </c>
      <c r="J23" s="12">
        <f>Лист1!AA17+Лист1!AB17</f>
        <v>525.7726</v>
      </c>
      <c r="K23" s="12">
        <f>Лист1!Z17+Лист1!AC17+Лист1!AD17+Лист1!AE17+Лист1!AF17+Лист1!AG17+Лист1!AH17+Лист1!AI17+Лист1!AJ17</f>
        <v>1799.6834400000002</v>
      </c>
      <c r="L23" s="27">
        <f>Лист1!AK17+Лист1!AL17+Лист1!AM17+Лист1!AQ17+Лист1!AR17</f>
        <v>0</v>
      </c>
      <c r="M23" s="27">
        <f>Лист1!AP17</f>
        <v>186.34560000000002</v>
      </c>
      <c r="N23" s="26">
        <f>Лист1!AS17</f>
        <v>2826.32164</v>
      </c>
      <c r="O23" s="63">
        <f>Лист1!AU17</f>
        <v>2012.4283599999999</v>
      </c>
      <c r="P23" s="63">
        <f>Лист1!AV17</f>
        <v>304.4199999999996</v>
      </c>
      <c r="Q23" s="1"/>
      <c r="R23" s="1"/>
    </row>
    <row r="24" spans="1:18" ht="13.5" thickBot="1">
      <c r="A24" s="28" t="s">
        <v>36</v>
      </c>
      <c r="B24" s="68">
        <f>Лист1!B18</f>
        <v>524.2</v>
      </c>
      <c r="C24" s="29">
        <f t="shared" si="0"/>
        <v>4534.330000000001</v>
      </c>
      <c r="D24" s="24">
        <f>Лист1!D18</f>
        <v>1812.9000000000008</v>
      </c>
      <c r="E24" s="12">
        <f>Лист1!O18</f>
        <v>2218.65</v>
      </c>
      <c r="F24" s="26">
        <f>Лист1!P18</f>
        <v>502.78</v>
      </c>
      <c r="G24" s="25">
        <f>Лист1!V18</f>
        <v>2258.52</v>
      </c>
      <c r="H24" s="26">
        <f>Лист1!W18</f>
        <v>4574.200000000001</v>
      </c>
      <c r="I24" s="25">
        <f>Лист1!Y18</f>
        <v>314.52000000000004</v>
      </c>
      <c r="J24" s="12">
        <f>Лист1!AA18+Лист1!AB18</f>
        <v>525.7726</v>
      </c>
      <c r="K24" s="12">
        <f>Лист1!Z18+Лист1!AC18+Лист1!AD18+Лист1!AE18+Лист1!AF18+Лист1!AG18+Лист1!AH18+Лист1!AI18+Лист1!AJ18</f>
        <v>1799.6834400000002</v>
      </c>
      <c r="L24" s="27">
        <f>Лист1!AK18+Лист1!AL18+Лист1!AM18+Лист1!AQ18+Лист1!AR18</f>
        <v>0</v>
      </c>
      <c r="M24" s="27">
        <f>Лист1!AP18</f>
        <v>203.79072</v>
      </c>
      <c r="N24" s="26">
        <f>Лист1!AS18</f>
        <v>2843.76676</v>
      </c>
      <c r="O24" s="63">
        <f>Лист1!AU18</f>
        <v>1730.4332400000008</v>
      </c>
      <c r="P24" s="63">
        <f>Лист1!AV18</f>
        <v>39.86999999999989</v>
      </c>
      <c r="Q24" s="1"/>
      <c r="R24" s="1"/>
    </row>
    <row r="25" spans="1:18" s="18" customFormat="1" ht="13.5" thickBot="1">
      <c r="A25" s="30" t="s">
        <v>5</v>
      </c>
      <c r="B25" s="31"/>
      <c r="C25" s="32">
        <f aca="true" t="shared" si="1" ref="C25:I25">SUM(C15:C24)</f>
        <v>45343.30000000001</v>
      </c>
      <c r="D25" s="58">
        <f t="shared" si="1"/>
        <v>15642.782500000008</v>
      </c>
      <c r="E25" s="32">
        <f t="shared" si="1"/>
        <v>21817.850000000002</v>
      </c>
      <c r="F25" s="59">
        <f t="shared" si="1"/>
        <v>5017.049999999999</v>
      </c>
      <c r="G25" s="58">
        <f t="shared" si="1"/>
        <v>14656.05</v>
      </c>
      <c r="H25" s="59">
        <f t="shared" si="1"/>
        <v>35315.88250000001</v>
      </c>
      <c r="I25" s="58">
        <f t="shared" si="1"/>
        <v>3082.2960000000003</v>
      </c>
      <c r="J25" s="58">
        <f aca="true" t="shared" si="2" ref="J25:P25">SUM(J15:J24)</f>
        <v>5113.046465028001</v>
      </c>
      <c r="K25" s="58">
        <f t="shared" si="2"/>
        <v>17537.3054370544</v>
      </c>
      <c r="L25" s="58">
        <f t="shared" si="2"/>
        <v>0</v>
      </c>
      <c r="M25" s="58">
        <f t="shared" si="2"/>
        <v>1381.7328</v>
      </c>
      <c r="N25" s="58">
        <f t="shared" si="2"/>
        <v>27114.380702082402</v>
      </c>
      <c r="O25" s="58">
        <f t="shared" si="2"/>
        <v>8201.501797917601</v>
      </c>
      <c r="P25" s="64">
        <f t="shared" si="2"/>
        <v>-7161.8</v>
      </c>
      <c r="Q25" s="61"/>
      <c r="R25" s="61"/>
    </row>
    <row r="26" spans="1:18" ht="13.5" thickBot="1">
      <c r="A26" s="197" t="s">
        <v>60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65"/>
      <c r="Q26" s="1"/>
      <c r="R26" s="1"/>
    </row>
    <row r="27" spans="1:18" s="18" customFormat="1" ht="13.5" thickBot="1">
      <c r="A27" s="66" t="s">
        <v>45</v>
      </c>
      <c r="B27" s="33"/>
      <c r="C27" s="34">
        <f>C25</f>
        <v>45343.30000000001</v>
      </c>
      <c r="D27" s="34">
        <f aca="true" t="shared" si="3" ref="D27:P27">D25</f>
        <v>15642.782500000008</v>
      </c>
      <c r="E27" s="34">
        <f t="shared" si="3"/>
        <v>21817.850000000002</v>
      </c>
      <c r="F27" s="34">
        <f t="shared" si="3"/>
        <v>5017.049999999999</v>
      </c>
      <c r="G27" s="34">
        <f t="shared" si="3"/>
        <v>14656.05</v>
      </c>
      <c r="H27" s="34">
        <f t="shared" si="3"/>
        <v>35315.88250000001</v>
      </c>
      <c r="I27" s="34">
        <f t="shared" si="3"/>
        <v>3082.2960000000003</v>
      </c>
      <c r="J27" s="34">
        <f t="shared" si="3"/>
        <v>5113.046465028001</v>
      </c>
      <c r="K27" s="34">
        <f t="shared" si="3"/>
        <v>17537.3054370544</v>
      </c>
      <c r="L27" s="34">
        <f t="shared" si="3"/>
        <v>0</v>
      </c>
      <c r="M27" s="34">
        <f t="shared" si="3"/>
        <v>1381.7328</v>
      </c>
      <c r="N27" s="142">
        <f t="shared" si="3"/>
        <v>27114.380702082402</v>
      </c>
      <c r="O27" s="141">
        <f t="shared" si="3"/>
        <v>8201.501797917601</v>
      </c>
      <c r="P27" s="34">
        <f t="shared" si="3"/>
        <v>-7161.8</v>
      </c>
      <c r="Q27" s="62"/>
      <c r="R27" s="61"/>
    </row>
    <row r="28" spans="1:18" ht="13.5" thickBot="1">
      <c r="A28" s="145" t="s">
        <v>82</v>
      </c>
      <c r="B28" s="137"/>
      <c r="C28" s="132"/>
      <c r="D28" s="132"/>
      <c r="E28" s="130"/>
      <c r="F28" s="130"/>
      <c r="G28" s="130"/>
      <c r="H28" s="130"/>
      <c r="I28" s="130"/>
      <c r="J28" s="137"/>
      <c r="K28" s="130"/>
      <c r="L28" s="130"/>
      <c r="M28" s="130"/>
      <c r="N28" s="143"/>
      <c r="O28" s="130"/>
      <c r="P28" s="130"/>
      <c r="Q28" s="1"/>
      <c r="R28" s="1"/>
    </row>
    <row r="29" spans="1:16" ht="13.5" thickBot="1">
      <c r="A29" s="8" t="s">
        <v>83</v>
      </c>
      <c r="B29" s="144">
        <f>Лист1!B23</f>
        <v>524.2</v>
      </c>
      <c r="C29" s="147">
        <f aca="true" t="shared" si="4" ref="C29:C40">B29*8.65</f>
        <v>4534.330000000001</v>
      </c>
      <c r="D29" s="133">
        <f>Лист1!D23</f>
        <v>1812.9000000000008</v>
      </c>
      <c r="E29" s="63">
        <f>Лист1!O23</f>
        <v>2218.65</v>
      </c>
      <c r="F29" s="135">
        <f>Лист1!P23</f>
        <v>502.78</v>
      </c>
      <c r="G29" s="63">
        <f>Лист1!V23</f>
        <v>1402.5100000000002</v>
      </c>
      <c r="H29" s="135">
        <f>Лист1!W23</f>
        <v>3718.190000000001</v>
      </c>
      <c r="I29" s="63">
        <f>Лист1!Y23</f>
        <v>314.52000000000004</v>
      </c>
      <c r="J29" s="138">
        <f>Лист1!AA23+Лист1!AB23</f>
        <v>524.2</v>
      </c>
      <c r="K29" s="63">
        <f>Лист1!Z23+Лист1!AC23+Лист1!AD23+Лист1!AE23+Лист1!AF23+Лист1!AG23+Лист1!AH23+Лист1!AI23+Лист1!AJ23</f>
        <v>1798.006</v>
      </c>
      <c r="L29" s="139">
        <f>Лист1!AK23+Лист1!AL23+Лист1!AM23+Лист1!AQ23+Лист1!AR23</f>
        <v>0</v>
      </c>
      <c r="M29" s="139">
        <f>Лист1!AP23</f>
        <v>213.35999999999999</v>
      </c>
      <c r="N29" s="63">
        <f>Лист1!AS23</f>
        <v>2850.0860000000007</v>
      </c>
      <c r="O29" s="135">
        <f>Лист1!AU23</f>
        <v>868.1040000000003</v>
      </c>
      <c r="P29" s="63">
        <f>Лист1!AV23</f>
        <v>-816.1399999999999</v>
      </c>
    </row>
    <row r="30" spans="1:16" ht="13.5" thickBot="1">
      <c r="A30" s="8" t="s">
        <v>84</v>
      </c>
      <c r="B30" s="144">
        <f>Лист1!B24</f>
        <v>524.2</v>
      </c>
      <c r="C30" s="147">
        <f t="shared" si="4"/>
        <v>4534.330000000001</v>
      </c>
      <c r="D30" s="133">
        <f>Лист1!D24</f>
        <v>1812.9000000000008</v>
      </c>
      <c r="E30" s="63">
        <f>Лист1!O24</f>
        <v>2218.65</v>
      </c>
      <c r="F30" s="135">
        <f>Лист1!P24</f>
        <v>502.78</v>
      </c>
      <c r="G30" s="63">
        <f>Лист1!V24</f>
        <v>2475.12</v>
      </c>
      <c r="H30" s="135">
        <f>Лист1!W24</f>
        <v>4790.800000000001</v>
      </c>
      <c r="I30" s="63">
        <f>Лист1!Y24</f>
        <v>314.52000000000004</v>
      </c>
      <c r="J30" s="138">
        <f>Лист1!AA24+Лист1!AB24</f>
        <v>524.2</v>
      </c>
      <c r="K30" s="63">
        <f>Лист1!Z24+Лист1!AC24+Лист1!AD24+Лист1!AE24+Лист1!AF24+Лист1!AG24+Лист1!AH24+Лист1!AI24+Лист1!AJ24</f>
        <v>1798.006</v>
      </c>
      <c r="L30" s="139">
        <f>Лист1!AK24+Лист1!AL24+Лист1!AM24+Лист1!AQ24+Лист1!AR24</f>
        <v>1336.59</v>
      </c>
      <c r="M30" s="139">
        <f>Лист1!AP24</f>
        <v>170.93999999999997</v>
      </c>
      <c r="N30" s="63">
        <f>Лист1!AS24</f>
        <v>4144.256</v>
      </c>
      <c r="O30" s="135">
        <f>Лист1!AU24</f>
        <v>646.5440000000008</v>
      </c>
      <c r="P30" s="63">
        <f>Лист1!AV24</f>
        <v>256.4699999999998</v>
      </c>
    </row>
    <row r="31" spans="1:18" ht="13.5" thickBot="1">
      <c r="A31" s="131" t="s">
        <v>38</v>
      </c>
      <c r="B31" s="144">
        <f>Лист1!B25</f>
        <v>524.2</v>
      </c>
      <c r="C31" s="147">
        <f t="shared" si="4"/>
        <v>4534.330000000001</v>
      </c>
      <c r="D31" s="133">
        <f>Лист1!D25</f>
        <v>1812.9000000000008</v>
      </c>
      <c r="E31" s="63">
        <f>Лист1!O25</f>
        <v>2218.65</v>
      </c>
      <c r="F31" s="135">
        <f>Лист1!P25</f>
        <v>502.78</v>
      </c>
      <c r="G31" s="63">
        <f>Лист1!V25</f>
        <v>1167.0800000000002</v>
      </c>
      <c r="H31" s="135">
        <f>Лист1!W25</f>
        <v>3482.760000000001</v>
      </c>
      <c r="I31" s="63">
        <f>Лист1!Y25</f>
        <v>314.52000000000004</v>
      </c>
      <c r="J31" s="138">
        <f>Лист1!AA25+Лист1!AB25</f>
        <v>524.2</v>
      </c>
      <c r="K31" s="63">
        <f>Лист1!Z25+Лист1!AC25+Лист1!AD25+Лист1!AE25+Лист1!AF25+Лист1!AG25+Лист1!AH25+Лист1!AI25+Лист1!AJ25</f>
        <v>1798.006</v>
      </c>
      <c r="L31" s="139">
        <f>Лист1!AK25+Лист1!AL25+Лист1!AM25+Лист1!AQ25+Лист1!AR25</f>
        <v>900</v>
      </c>
      <c r="M31" s="139">
        <f>Лист1!AP25</f>
        <v>160.85999999999999</v>
      </c>
      <c r="N31" s="63">
        <f>Лист1!AS25</f>
        <v>3697.5860000000007</v>
      </c>
      <c r="O31" s="135">
        <f>Лист1!AU25</f>
        <v>-214.82599999999957</v>
      </c>
      <c r="P31" s="63">
        <f>Лист1!AV25</f>
        <v>-1051.57</v>
      </c>
      <c r="Q31" s="1"/>
      <c r="R31" s="1"/>
    </row>
    <row r="32" spans="1:18" ht="12.75">
      <c r="A32" s="131" t="s">
        <v>39</v>
      </c>
      <c r="B32" s="144">
        <f>Лист1!B26</f>
        <v>524.2</v>
      </c>
      <c r="C32" s="36">
        <f t="shared" si="4"/>
        <v>4534.330000000001</v>
      </c>
      <c r="D32" s="133">
        <f>Лист1!D26</f>
        <v>1812.9000000000008</v>
      </c>
      <c r="E32" s="63">
        <f>Лист1!O26</f>
        <v>2218.65</v>
      </c>
      <c r="F32" s="135">
        <f>Лист1!P26</f>
        <v>502.78</v>
      </c>
      <c r="G32" s="63">
        <f>Лист1!V26</f>
        <v>1518.91</v>
      </c>
      <c r="H32" s="135">
        <f>Лист1!W26</f>
        <v>3834.590000000001</v>
      </c>
      <c r="I32" s="63">
        <f>Лист1!Y26</f>
        <v>314.52000000000004</v>
      </c>
      <c r="J32" s="138">
        <f>Лист1!AA26+Лист1!AB26</f>
        <v>524.2</v>
      </c>
      <c r="K32" s="63">
        <f>Лист1!Z26+Лист1!AC26+Лист1!AD26+Лист1!AE26+Лист1!AF26+Лист1!AG26+Лист1!AH26+Лист1!AI26+Лист1!AJ26</f>
        <v>1798.006</v>
      </c>
      <c r="L32" s="139">
        <f>Лист1!AK26+Лист1!AL26+Лист1!AM26+Лист1!AQ26+Лист1!AR26</f>
        <v>0</v>
      </c>
      <c r="M32" s="139">
        <f>Лист1!AP26</f>
        <v>128.94</v>
      </c>
      <c r="N32" s="63">
        <f>Лист1!AS26</f>
        <v>2765.6660000000006</v>
      </c>
      <c r="O32" s="135">
        <f>Лист1!AU26</f>
        <v>1068.9240000000004</v>
      </c>
      <c r="P32" s="63">
        <f>Лист1!AV26</f>
        <v>-699.74</v>
      </c>
      <c r="Q32" s="1"/>
      <c r="R32" s="1"/>
    </row>
    <row r="33" spans="1:18" ht="12.75">
      <c r="A33" s="131" t="s">
        <v>40</v>
      </c>
      <c r="B33" s="144">
        <f>Лист1!B27</f>
        <v>524.2</v>
      </c>
      <c r="C33" s="23">
        <f t="shared" si="4"/>
        <v>4534.330000000001</v>
      </c>
      <c r="D33" s="133">
        <f>Лист1!D27</f>
        <v>1812.9000000000008</v>
      </c>
      <c r="E33" s="63">
        <f>Лист1!O27</f>
        <v>2218.65</v>
      </c>
      <c r="F33" s="135">
        <f>Лист1!P27</f>
        <v>502.78</v>
      </c>
      <c r="G33" s="63">
        <f>Лист1!V27</f>
        <v>2202.44</v>
      </c>
      <c r="H33" s="135">
        <f>Лист1!W27</f>
        <v>4518.120000000001</v>
      </c>
      <c r="I33" s="63">
        <f>Лист1!Y27</f>
        <v>314.52000000000004</v>
      </c>
      <c r="J33" s="138">
        <f>Лист1!AA27+Лист1!AB27</f>
        <v>524.2</v>
      </c>
      <c r="K33" s="63">
        <f>Лист1!Z27+Лист1!AC27+Лист1!AD27+Лист1!AE27+Лист1!AF27+Лист1!AG27+Лист1!AH27+Лист1!AI27+Лист1!AJ27</f>
        <v>1798.006</v>
      </c>
      <c r="L33" s="139">
        <f>Лист1!AK27+Лист1!AL27+Лист1!AM27+Лист1!AQ27+Лист1!AR27</f>
        <v>0</v>
      </c>
      <c r="M33" s="139">
        <f>Лист1!AP27</f>
        <v>110.45999999999998</v>
      </c>
      <c r="N33" s="63">
        <f>Лист1!AS27</f>
        <v>2747.1860000000006</v>
      </c>
      <c r="O33" s="135">
        <f>Лист1!AU27</f>
        <v>1770.9340000000002</v>
      </c>
      <c r="P33" s="63">
        <f>Лист1!AV27</f>
        <v>-16.210000000000036</v>
      </c>
      <c r="Q33" s="1"/>
      <c r="R33" s="1"/>
    </row>
    <row r="34" spans="1:18" ht="12.75">
      <c r="A34" s="131" t="s">
        <v>41</v>
      </c>
      <c r="B34" s="144">
        <f>Лист1!B28</f>
        <v>524.5</v>
      </c>
      <c r="C34" s="23">
        <f t="shared" si="4"/>
        <v>4536.925</v>
      </c>
      <c r="D34" s="133">
        <f>Лист1!D28</f>
        <v>1453.3933687500003</v>
      </c>
      <c r="E34" s="63">
        <f>Лист1!O28</f>
        <v>2219.8599999999997</v>
      </c>
      <c r="F34" s="135">
        <f>Лист1!P28</f>
        <v>503.16999999999996</v>
      </c>
      <c r="G34" s="63">
        <f>Лист1!V28</f>
        <v>2429.72</v>
      </c>
      <c r="H34" s="135">
        <f>Лист1!W28</f>
        <v>4386.283368750001</v>
      </c>
      <c r="I34" s="63">
        <f>Лист1!Y28</f>
        <v>314.7</v>
      </c>
      <c r="J34" s="138">
        <f>Лист1!AA28+Лист1!AB28</f>
        <v>524.5</v>
      </c>
      <c r="K34" s="63">
        <f>Лист1!Z28+Лист1!AC28+Лист1!AD28+Лист1!AE28+Лист1!AF28+Лист1!AG28+Лист1!AH28+Лист1!AI28+Лист1!AJ28</f>
        <v>1799.0349999999999</v>
      </c>
      <c r="L34" s="139">
        <f>Лист1!AK28+Лист1!AL28+Лист1!AM28+Лист1!AQ28+Лист1!AR28</f>
        <v>0</v>
      </c>
      <c r="M34" s="139">
        <f>Лист1!AP28</f>
        <v>97.85999999999999</v>
      </c>
      <c r="N34" s="63">
        <f>Лист1!AS28</f>
        <v>2736.0950000000003</v>
      </c>
      <c r="O34" s="135">
        <f>Лист1!AU28</f>
        <v>1650.1883687500003</v>
      </c>
      <c r="P34" s="63">
        <f>Лист1!AV28</f>
        <v>209.86000000000013</v>
      </c>
      <c r="Q34" s="1"/>
      <c r="R34" s="1"/>
    </row>
    <row r="35" spans="1:18" ht="12.75">
      <c r="A35" s="131" t="s">
        <v>42</v>
      </c>
      <c r="B35" s="144">
        <f>Лист1!B29</f>
        <v>524.5</v>
      </c>
      <c r="C35" s="23">
        <f t="shared" si="4"/>
        <v>4536.925</v>
      </c>
      <c r="D35" s="133">
        <f>Лист1!D29</f>
        <v>1457.356242375</v>
      </c>
      <c r="E35" s="63">
        <f>Лист1!O29</f>
        <v>2728.6</v>
      </c>
      <c r="F35" s="135">
        <f>Лист1!P29</f>
        <v>0</v>
      </c>
      <c r="G35" s="63">
        <f>Лист1!V29</f>
        <v>479.77000000000004</v>
      </c>
      <c r="H35" s="135">
        <f>Лист1!W29</f>
        <v>1937.126242375</v>
      </c>
      <c r="I35" s="63">
        <f>Лист1!Y29</f>
        <v>314.7</v>
      </c>
      <c r="J35" s="138">
        <f>Лист1!AA29+Лист1!AB29</f>
        <v>524.5</v>
      </c>
      <c r="K35" s="63">
        <f>Лист1!Z29+Лист1!AC29+Лист1!AD29+Лист1!AE29+Лист1!AF29+Лист1!AG29+Лист1!AH29+Лист1!AI29+Лист1!AJ29</f>
        <v>1799.0349999999999</v>
      </c>
      <c r="L35" s="139">
        <f>Лист1!AK29+Лист1!AL29+Лист1!AM29+Лист1!AQ29+Лист1!AR29</f>
        <v>0</v>
      </c>
      <c r="M35" s="139">
        <f>Лист1!AP29</f>
        <v>104.15999999999998</v>
      </c>
      <c r="N35" s="63">
        <f>Лист1!AS29</f>
        <v>2742.395</v>
      </c>
      <c r="O35" s="135">
        <f>Лист1!AU29</f>
        <v>-805.268757625</v>
      </c>
      <c r="P35" s="63">
        <f>Лист1!AV29</f>
        <v>-2248.83</v>
      </c>
      <c r="Q35" s="1"/>
      <c r="R35" s="1"/>
    </row>
    <row r="36" spans="1:18" ht="12.75">
      <c r="A36" s="131" t="s">
        <v>43</v>
      </c>
      <c r="B36" s="144">
        <f>Лист1!B30</f>
        <v>524.5</v>
      </c>
      <c r="C36" s="23">
        <f t="shared" si="4"/>
        <v>4536.925</v>
      </c>
      <c r="D36" s="133">
        <f>Лист1!D30</f>
        <v>1551.0310940249997</v>
      </c>
      <c r="E36" s="63">
        <f>Лист1!O30</f>
        <v>2728.6</v>
      </c>
      <c r="F36" s="135">
        <f>Лист1!P30</f>
        <v>0</v>
      </c>
      <c r="G36" s="63">
        <f>Лист1!V30</f>
        <v>1638.19</v>
      </c>
      <c r="H36" s="135">
        <f>Лист1!W30</f>
        <v>3189.2210940249997</v>
      </c>
      <c r="I36" s="63">
        <f>Лист1!Y30</f>
        <v>314.7</v>
      </c>
      <c r="J36" s="138">
        <f>Лист1!AA30+Лист1!AB30</f>
        <v>524.5</v>
      </c>
      <c r="K36" s="63">
        <f>Лист1!Z30+Лист1!AC30+Лист1!AD30+Лист1!AE30+Лист1!AF30+Лист1!AG30+Лист1!AH30+Лист1!AI30+Лист1!AJ30</f>
        <v>1799.0349999999999</v>
      </c>
      <c r="L36" s="139">
        <f>Лист1!AK30+Лист1!AL30+Лист1!AM30+Лист1!AQ30+Лист1!AR30</f>
        <v>56.403999999999996</v>
      </c>
      <c r="M36" s="139">
        <f>Лист1!AP30</f>
        <v>123.05999999999997</v>
      </c>
      <c r="N36" s="63">
        <f>Лист1!AS30</f>
        <v>2817.699</v>
      </c>
      <c r="O36" s="135">
        <f>Лист1!AU30</f>
        <v>371.52209402499966</v>
      </c>
      <c r="P36" s="63">
        <f>Лист1!AV30</f>
        <v>-1090.4099999999999</v>
      </c>
      <c r="Q36" s="1"/>
      <c r="R36" s="1"/>
    </row>
    <row r="37" spans="1:18" ht="12.75">
      <c r="A37" s="131" t="s">
        <v>44</v>
      </c>
      <c r="B37" s="144">
        <f>Лист1!B31</f>
        <v>524.5</v>
      </c>
      <c r="C37" s="23">
        <f t="shared" si="4"/>
        <v>4536.925</v>
      </c>
      <c r="D37" s="133">
        <f>Лист1!D31</f>
        <v>1583.24278725</v>
      </c>
      <c r="E37" s="63">
        <f>Лист1!O31</f>
        <v>2728.6</v>
      </c>
      <c r="F37" s="135">
        <f>Лист1!P31</f>
        <v>0</v>
      </c>
      <c r="G37" s="63">
        <f>Лист1!V31</f>
        <v>1754.6699999999998</v>
      </c>
      <c r="H37" s="135">
        <f>Лист1!W31</f>
        <v>3337.91278725</v>
      </c>
      <c r="I37" s="63">
        <f>Лист1!Y31</f>
        <v>314.7</v>
      </c>
      <c r="J37" s="138">
        <f>Лист1!AA31+Лист1!AB31</f>
        <v>524.5</v>
      </c>
      <c r="K37" s="63">
        <f>Лист1!Z31+Лист1!AC31+Лист1!AD31+Лист1!AE31+Лист1!AF31+Лист1!AG31+Лист1!AH31+Лист1!AI31+Лист1!AJ31</f>
        <v>1799.0349999999999</v>
      </c>
      <c r="L37" s="139">
        <f>Лист1!AK31+Лист1!AL31+Лист1!AM31+Лист1!AQ31+Лист1!AR31</f>
        <v>0</v>
      </c>
      <c r="M37" s="139">
        <f>Лист1!AP31</f>
        <v>146.57999999999998</v>
      </c>
      <c r="N37" s="63">
        <f>Лист1!AS31</f>
        <v>2784.815</v>
      </c>
      <c r="O37" s="135">
        <f>Лист1!AU31</f>
        <v>553.0977872499998</v>
      </c>
      <c r="P37" s="63">
        <f>Лист1!AV31</f>
        <v>-973.9300000000001</v>
      </c>
      <c r="Q37" s="1"/>
      <c r="R37" s="1"/>
    </row>
    <row r="38" spans="1:18" ht="12.75">
      <c r="A38" s="131" t="s">
        <v>34</v>
      </c>
      <c r="B38" s="144">
        <f>Лист1!B32</f>
        <v>524.5</v>
      </c>
      <c r="C38" s="23">
        <f>B38*8.65</f>
        <v>4536.925</v>
      </c>
      <c r="D38" s="133">
        <f>Лист1!D32</f>
        <v>1467.1085391</v>
      </c>
      <c r="E38" s="63">
        <f>Лист1!O32</f>
        <v>2728.6</v>
      </c>
      <c r="F38" s="135">
        <f>Лист1!P32</f>
        <v>0</v>
      </c>
      <c r="G38" s="63">
        <f>Лист1!V32</f>
        <v>2671.34</v>
      </c>
      <c r="H38" s="135">
        <f>Лист1!W32</f>
        <v>4138.4485391</v>
      </c>
      <c r="I38" s="63">
        <f>Лист1!Y32</f>
        <v>314.7</v>
      </c>
      <c r="J38" s="138">
        <f>Лист1!AA32+Лист1!AB32</f>
        <v>524.5</v>
      </c>
      <c r="K38" s="63">
        <f>Лист1!Z32+Лист1!AC32+Лист1!AD32+Лист1!AE32+Лист1!AF32+Лист1!AG32+Лист1!AH32+Лист1!AI32+Лист1!AJ32</f>
        <v>1799.0349999999999</v>
      </c>
      <c r="L38" s="139">
        <f>Лист1!AK32+Лист1!AL32+Лист1!AM32+Лист1!AQ32+Лист1!AR32</f>
        <v>0</v>
      </c>
      <c r="M38" s="139">
        <f>Лист1!AP32</f>
        <v>178.5</v>
      </c>
      <c r="N38" s="63">
        <f>Лист1!AS32</f>
        <v>2816.735</v>
      </c>
      <c r="O38" s="135">
        <f>Лист1!AU32</f>
        <v>1321.7135390999997</v>
      </c>
      <c r="P38" s="63">
        <f>Лист1!AV32</f>
        <v>-57.25999999999976</v>
      </c>
      <c r="Q38" s="1"/>
      <c r="R38" s="1"/>
    </row>
    <row r="39" spans="1:18" ht="12.75">
      <c r="A39" s="131" t="s">
        <v>35</v>
      </c>
      <c r="B39" s="144">
        <f>Лист1!B33</f>
        <v>524.5</v>
      </c>
      <c r="C39" s="23">
        <f t="shared" si="4"/>
        <v>4536.925</v>
      </c>
      <c r="D39" s="133">
        <f>Лист1!D33</f>
        <v>1574.4706026749998</v>
      </c>
      <c r="E39" s="63">
        <f>Лист1!O33</f>
        <v>2728.6</v>
      </c>
      <c r="F39" s="135">
        <f>Лист1!P33</f>
        <v>0</v>
      </c>
      <c r="G39" s="63">
        <f>Лист1!V33</f>
        <v>2888.46</v>
      </c>
      <c r="H39" s="135">
        <f>Лист1!W33</f>
        <v>4462.930602675</v>
      </c>
      <c r="I39" s="63">
        <f>Лист1!Y33</f>
        <v>314.7</v>
      </c>
      <c r="J39" s="138">
        <f>Лист1!AA33+Лист1!AB33</f>
        <v>524.5</v>
      </c>
      <c r="K39" s="63">
        <f>Лист1!Z33+Лист1!AC33+Лист1!AD33+Лист1!AE33+Лист1!AF33+Лист1!AG33+Лист1!AH33+Лист1!AI33+Лист1!AJ33</f>
        <v>1799.0349999999999</v>
      </c>
      <c r="L39" s="139">
        <f>Лист1!AK33+Лист1!AL33+Лист1!AM33+Лист1!AQ33+Лист1!AR33</f>
        <v>0</v>
      </c>
      <c r="M39" s="139">
        <f>Лист1!AP33</f>
        <v>197.39999999999998</v>
      </c>
      <c r="N39" s="63">
        <f>Лист1!AS33</f>
        <v>2835.635</v>
      </c>
      <c r="O39" s="135">
        <f>Лист1!AU33</f>
        <v>1627.2956026749998</v>
      </c>
      <c r="P39" s="63">
        <f>Лист1!AV33</f>
        <v>159.86000000000013</v>
      </c>
      <c r="Q39" s="1"/>
      <c r="R39" s="1"/>
    </row>
    <row r="40" spans="1:18" ht="13.5" thickBot="1">
      <c r="A40" s="146" t="s">
        <v>36</v>
      </c>
      <c r="B40" s="144">
        <f>Лист1!B34</f>
        <v>524.5</v>
      </c>
      <c r="C40" s="29">
        <f t="shared" si="4"/>
        <v>4536.925</v>
      </c>
      <c r="D40" s="134">
        <f>Лист1!D34</f>
        <v>1654.5541916</v>
      </c>
      <c r="E40" s="136">
        <f>Лист1!O34</f>
        <v>2728.59</v>
      </c>
      <c r="F40" s="135">
        <f>Лист1!P34</f>
        <v>0</v>
      </c>
      <c r="G40" s="136">
        <f>Лист1!V34</f>
        <v>1398.43</v>
      </c>
      <c r="H40" s="135">
        <f>Лист1!W34</f>
        <v>3052.9841916</v>
      </c>
      <c r="I40" s="136">
        <f>Лист1!Y34</f>
        <v>314.7</v>
      </c>
      <c r="J40" s="138">
        <f>Лист1!AA34+Лист1!AB34</f>
        <v>524.5</v>
      </c>
      <c r="K40" s="136">
        <f>Лист1!Z34+Лист1!AC34+Лист1!AD34+Лист1!AE34+Лист1!AF34+Лист1!AG34+Лист1!AH34+Лист1!AI34+Лист1!AJ34</f>
        <v>1799.0349999999999</v>
      </c>
      <c r="L40" s="140">
        <f>Лист1!AK34+Лист1!AL34+Лист1!AM34+Лист1!AQ34+Лист1!AR34</f>
        <v>13620</v>
      </c>
      <c r="M40" s="139">
        <f>Лист1!AP34</f>
        <v>215.87999999999997</v>
      </c>
      <c r="N40" s="63">
        <f>Лист1!AS34</f>
        <v>16474.115</v>
      </c>
      <c r="O40" s="135">
        <f>Лист1!AU34</f>
        <v>-13421.130808400001</v>
      </c>
      <c r="P40" s="63">
        <f>Лист1!AV34</f>
        <v>-1330.16</v>
      </c>
      <c r="Q40" s="1"/>
      <c r="R40" s="1"/>
    </row>
    <row r="41" spans="1:18" s="18" customFormat="1" ht="13.5" thickBot="1">
      <c r="A41" s="30" t="s">
        <v>5</v>
      </c>
      <c r="B41" s="31"/>
      <c r="C41" s="64">
        <f aca="true" t="shared" si="5" ref="C41:O41">SUM(C29:C40)</f>
        <v>54430.125000000015</v>
      </c>
      <c r="D41" s="64">
        <f t="shared" si="5"/>
        <v>19805.656825775004</v>
      </c>
      <c r="E41" s="64">
        <f t="shared" si="5"/>
        <v>29684.699999999997</v>
      </c>
      <c r="F41" s="64">
        <f t="shared" si="5"/>
        <v>3017.0699999999997</v>
      </c>
      <c r="G41" s="64">
        <f t="shared" si="5"/>
        <v>22026.64</v>
      </c>
      <c r="H41" s="64">
        <f t="shared" si="5"/>
        <v>44849.36682577501</v>
      </c>
      <c r="I41" s="64">
        <f t="shared" si="5"/>
        <v>3775.499999999999</v>
      </c>
      <c r="J41" s="64">
        <f t="shared" si="5"/>
        <v>6292.5</v>
      </c>
      <c r="K41" s="64">
        <f t="shared" si="5"/>
        <v>21583.275</v>
      </c>
      <c r="L41" s="64">
        <f t="shared" si="5"/>
        <v>15912.994</v>
      </c>
      <c r="M41" s="64">
        <f t="shared" si="5"/>
        <v>1847.9999999999998</v>
      </c>
      <c r="N41" s="64">
        <f t="shared" si="5"/>
        <v>49412.269</v>
      </c>
      <c r="O41" s="64">
        <f t="shared" si="5"/>
        <v>-4562.902174224999</v>
      </c>
      <c r="P41" s="64">
        <f>SUM(P29:P40)</f>
        <v>-7658.0599999999995</v>
      </c>
      <c r="Q41" s="61"/>
      <c r="R41" s="61"/>
    </row>
    <row r="42" spans="1:18" ht="13.5" thickBot="1">
      <c r="A42" s="197" t="s">
        <v>60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65"/>
      <c r="Q42" s="1"/>
      <c r="R42" s="1"/>
    </row>
    <row r="43" spans="1:18" s="18" customFormat="1" ht="13.5" thickBot="1">
      <c r="A43" s="66" t="s">
        <v>45</v>
      </c>
      <c r="B43" s="33"/>
      <c r="C43" s="34">
        <f aca="true" t="shared" si="6" ref="C43:O43">C41+C27</f>
        <v>99773.42500000002</v>
      </c>
      <c r="D43" s="34">
        <f t="shared" si="6"/>
        <v>35448.43932577501</v>
      </c>
      <c r="E43" s="34">
        <f t="shared" si="6"/>
        <v>51502.55</v>
      </c>
      <c r="F43" s="34">
        <f t="shared" si="6"/>
        <v>8034.119999999999</v>
      </c>
      <c r="G43" s="34">
        <f t="shared" si="6"/>
        <v>36682.69</v>
      </c>
      <c r="H43" s="34">
        <f t="shared" si="6"/>
        <v>80165.24932577502</v>
      </c>
      <c r="I43" s="34">
        <f t="shared" si="6"/>
        <v>6857.795999999999</v>
      </c>
      <c r="J43" s="34">
        <f t="shared" si="6"/>
        <v>11405.546465028001</v>
      </c>
      <c r="K43" s="34">
        <f t="shared" si="6"/>
        <v>39120.58043705441</v>
      </c>
      <c r="L43" s="34">
        <f t="shared" si="6"/>
        <v>15912.994</v>
      </c>
      <c r="M43" s="34">
        <f t="shared" si="6"/>
        <v>3229.7327999999998</v>
      </c>
      <c r="N43" s="34">
        <f t="shared" si="6"/>
        <v>76526.6497020824</v>
      </c>
      <c r="O43" s="34">
        <f t="shared" si="6"/>
        <v>3638.599623692602</v>
      </c>
      <c r="P43" s="34">
        <f>P41+P27</f>
        <v>-14819.86</v>
      </c>
      <c r="Q43" s="62"/>
      <c r="R43" s="61"/>
    </row>
    <row r="46" spans="1:18" ht="12.75">
      <c r="A46" s="18" t="s">
        <v>79</v>
      </c>
      <c r="D46" s="69" t="s">
        <v>85</v>
      </c>
      <c r="Q46" s="1"/>
      <c r="R46" s="1"/>
    </row>
    <row r="47" spans="1:18" ht="12.75">
      <c r="A47" s="19" t="s">
        <v>61</v>
      </c>
      <c r="B47" s="19" t="s">
        <v>62</v>
      </c>
      <c r="C47" s="199" t="s">
        <v>63</v>
      </c>
      <c r="D47" s="199"/>
      <c r="Q47" s="1"/>
      <c r="R47" s="1"/>
    </row>
    <row r="48" spans="1:18" ht="12.75">
      <c r="A48" s="95">
        <v>23057.67</v>
      </c>
      <c r="B48" s="95">
        <v>0</v>
      </c>
      <c r="C48" s="193">
        <f>A48-B48</f>
        <v>23057.67</v>
      </c>
      <c r="D48" s="194"/>
      <c r="Q48" s="1"/>
      <c r="R48" s="1"/>
    </row>
    <row r="49" spans="1:18" ht="12.75">
      <c r="A49" s="41"/>
      <c r="Q49" s="1"/>
      <c r="R49" s="1"/>
    </row>
    <row r="50" spans="1:18" ht="12.75">
      <c r="A50" s="2" t="s">
        <v>66</v>
      </c>
      <c r="G50" s="2" t="s">
        <v>67</v>
      </c>
      <c r="Q50" s="1"/>
      <c r="R50" s="1"/>
    </row>
    <row r="51" ht="12.75">
      <c r="A51" s="1"/>
    </row>
    <row r="52" ht="12.75">
      <c r="A52" s="1"/>
    </row>
    <row r="53" ht="12.75">
      <c r="A53" s="2" t="s">
        <v>77</v>
      </c>
    </row>
    <row r="54" ht="12.75">
      <c r="A54" s="2" t="s">
        <v>68</v>
      </c>
    </row>
  </sheetData>
  <sheetProtection/>
  <mergeCells count="27">
    <mergeCell ref="A42:O42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48:D48"/>
    <mergeCell ref="N11:N12"/>
    <mergeCell ref="A26:O26"/>
    <mergeCell ref="C47:D47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2011-04-13T08:43:10Z</dcterms:modified>
  <cp:category/>
  <cp:version/>
  <cp:contentType/>
  <cp:contentStatus/>
</cp:coreProperties>
</file>