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7370" windowHeight="8955" activeTab="3"/>
  </bookViews>
  <sheets>
    <sheet name="Лист1" sheetId="1" r:id="rId1"/>
    <sheet name="для печати" sheetId="2" r:id="rId2"/>
    <sheet name="2011" sheetId="3" r:id="rId3"/>
    <sheet name="2011 печать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<sst xmlns="http://schemas.openxmlformats.org/spreadsheetml/2006/main" count="253" uniqueCount="103">
  <si>
    <t>№ п/п</t>
  </si>
  <si>
    <t>Площадь</t>
  </si>
  <si>
    <t>Тариф 100 %</t>
  </si>
  <si>
    <t>Дотация</t>
  </si>
  <si>
    <t>НАЧИСЛЕНИЕ КВАРТПЛАТЫ</t>
  </si>
  <si>
    <t>ИТОГО</t>
  </si>
  <si>
    <t>СОБРАНО НАСЕЛЕНИЕМ</t>
  </si>
  <si>
    <t>Собрано всего (+льгота и дотация)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</si>
  <si>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</si>
  <si>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</si>
  <si>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</si>
  <si>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</si>
  <si>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</si>
  <si>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</si>
  <si>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</si>
  <si>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</si>
  <si>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</si>
  <si>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</si>
  <si>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</si>
  <si>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</si>
  <si>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</si>
  <si>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</si>
  <si>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</si>
  <si>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</si>
  <si>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</si>
  <si>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</si>
  <si>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</si>
  <si>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</si>
  <si>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</si>
  <si>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</si>
  <si>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</si>
  <si>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</si>
  <si>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</si>
  <si>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</si>
  <si>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октябрь</t>
  </si>
  <si>
    <t>ноябрь</t>
  </si>
  <si>
    <t>декабрь</t>
  </si>
  <si>
    <t>2009 год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</si>
  <si>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</si>
  <si>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</si>
  <si>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</si>
  <si>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</si>
  <si>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</si>
  <si>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</si>
  <si>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</si>
  <si>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</si>
  <si>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</si>
  <si>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</si>
  <si>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</si>
  <si>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</si>
  <si>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</si>
  <si>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</si>
  <si>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</si>
  <si>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</si>
  <si>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</si>
  <si>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</si>
  <si>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</si>
  <si>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</si>
  <si>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</si>
  <si>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</si>
  <si>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на конец отчетного периода</t>
  </si>
  <si>
    <t>Собрано</t>
  </si>
  <si>
    <t>Списано</t>
  </si>
  <si>
    <t>Остаток на счете</t>
  </si>
  <si>
    <t>Доходы по нежил.помещениям</t>
  </si>
  <si>
    <t>Расходы по нежил. помещениям</t>
  </si>
  <si>
    <t>Директор ООО "Таштагольская управляющая компания"</t>
  </si>
  <si>
    <t>_______________________________/ С.С. Малыгин</t>
  </si>
  <si>
    <t>тел. 3-48-80</t>
  </si>
  <si>
    <t>Доп. работы по содержанию ТУК</t>
  </si>
  <si>
    <t>Тек. Ремонт ООО "УЖХ"</t>
  </si>
  <si>
    <t>Тек. Ремонт ООО "ТУК"</t>
  </si>
  <si>
    <t>Эл.энергия МОП</t>
  </si>
  <si>
    <t>норма часов горения</t>
  </si>
  <si>
    <t>кол-во кВт</t>
  </si>
  <si>
    <t>стоимость итого</t>
  </si>
  <si>
    <t>Собрано всего по жил.услугам</t>
  </si>
  <si>
    <t>Исп. Ю.С. Дмитриева</t>
  </si>
  <si>
    <t>Собрано за содержание и тек.рем.</t>
  </si>
  <si>
    <t>Капитальный ремонт</t>
  </si>
  <si>
    <t>Выписка по лицевому счету по адресу г. Таштагол ул. Коммунистическая, д. 25</t>
  </si>
  <si>
    <t>Лицевой счет по адресу г. Таштагол, ул. Коммунистическая, д. 25</t>
  </si>
  <si>
    <t>январь</t>
  </si>
  <si>
    <t>февраль</t>
  </si>
  <si>
    <t>2010 год</t>
  </si>
  <si>
    <t>*по состоянию на 01.01.2011 г.</t>
  </si>
  <si>
    <t>за период с марта 2009 г. по декабрь 2010 г.</t>
  </si>
  <si>
    <t>Начислено населению</t>
  </si>
  <si>
    <t>Льгота</t>
  </si>
  <si>
    <t>Собрано всего по жил. услугам</t>
  </si>
  <si>
    <t>для счетов-фактур</t>
  </si>
  <si>
    <t>Расходы по жил. помещениям</t>
  </si>
  <si>
    <t>Содержание жилья</t>
  </si>
  <si>
    <t>Тек. ремонт ООО "УЖХ-Шалым"</t>
  </si>
  <si>
    <t>Тек. ремонт ООО "ТУК"</t>
  </si>
  <si>
    <t>электроэнергия</t>
  </si>
  <si>
    <t>2011 год</t>
  </si>
  <si>
    <t>ВСЕГО</t>
  </si>
  <si>
    <t>на 01.01.2012 г.</t>
  </si>
  <si>
    <t>Услуга начисления</t>
  </si>
  <si>
    <t>*по состоянию на 01.01.2012 г.</t>
  </si>
  <si>
    <t>Исп. В.В. Колмогорова</t>
  </si>
  <si>
    <t>Лицевой счет по адресу г. Таштагол, ул. Коммунистическая, д.25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</si>
</sst>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  <numFmt numFmtId="167" formatCode="_(* #,##0.00_);_(* \(#,##0.00\);_(* &quot;-&quot;??_);_(@_)"/>
  </numFmts>
  <fonts count="45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4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4" xfId="0" applyNumberFormat="1" applyFont="1" applyFill="1" applyBorder="1" applyAlignment="1">
      <alignment horizontal="right" wrapText="1"/>
    </xf>
    <xf numFmtId="4" fontId="2" fillId="0" borderId="14" xfId="33" applyNumberFormat="1" applyFont="1" applyFill="1" applyBorder="1" applyAlignment="1">
      <alignment horizontal="right" vertical="center" wrapText="1"/>
      <protection/>
    </xf>
    <xf numFmtId="4" fontId="0" fillId="0" borderId="14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 horizontal="center" vertical="center" wrapText="1"/>
    </xf>
    <xf numFmtId="4" fontId="0" fillId="0" borderId="14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 vertical="center" wrapText="1"/>
    </xf>
    <xf numFmtId="4" fontId="1" fillId="0" borderId="14" xfId="0" applyNumberFormat="1" applyFont="1" applyFill="1" applyBorder="1" applyAlignment="1">
      <alignment horizontal="right" wrapText="1"/>
    </xf>
    <xf numFmtId="4" fontId="1" fillId="0" borderId="13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0" fontId="1" fillId="0" borderId="15" xfId="0" applyFont="1" applyFill="1" applyBorder="1" applyAlignment="1">
      <alignment horizontal="right"/>
    </xf>
    <xf numFmtId="4" fontId="1" fillId="0" borderId="16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4" fontId="2" fillId="0" borderId="17" xfId="33" applyNumberFormat="1" applyFont="1" applyFill="1" applyBorder="1" applyAlignment="1">
      <alignment horizontal="right" vertical="center" wrapText="1"/>
      <protection/>
    </xf>
    <xf numFmtId="4" fontId="2" fillId="0" borderId="10" xfId="33" applyNumberFormat="1" applyFont="1" applyFill="1" applyBorder="1" applyAlignment="1">
      <alignment horizontal="right" vertical="center" wrapText="1"/>
      <protection/>
    </xf>
    <xf numFmtId="4" fontId="0" fillId="0" borderId="10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 vertical="center" wrapText="1"/>
    </xf>
    <xf numFmtId="0" fontId="0" fillId="0" borderId="18" xfId="0" applyFont="1" applyFill="1" applyBorder="1" applyAlignment="1">
      <alignment/>
    </xf>
    <xf numFmtId="4" fontId="2" fillId="0" borderId="19" xfId="33" applyNumberFormat="1" applyFont="1" applyFill="1" applyBorder="1" applyAlignment="1">
      <alignment horizontal="right" vertical="center" wrapText="1"/>
      <protection/>
    </xf>
    <xf numFmtId="0" fontId="1" fillId="0" borderId="20" xfId="0" applyFont="1" applyFill="1" applyBorder="1" applyAlignment="1">
      <alignment horizontal="right" vertical="center" wrapText="1"/>
    </xf>
    <xf numFmtId="4" fontId="1" fillId="0" borderId="21" xfId="0" applyNumberFormat="1" applyFont="1" applyFill="1" applyBorder="1" applyAlignment="1">
      <alignment horizontal="right" wrapText="1"/>
    </xf>
    <xf numFmtId="4" fontId="1" fillId="0" borderId="22" xfId="0" applyNumberFormat="1" applyFont="1" applyFill="1" applyBorder="1" applyAlignment="1">
      <alignment horizontal="right" wrapText="1"/>
    </xf>
    <xf numFmtId="4" fontId="1" fillId="0" borderId="21" xfId="0" applyNumberFormat="1" applyFont="1" applyFill="1" applyBorder="1" applyAlignment="1">
      <alignment horizontal="right"/>
    </xf>
    <xf numFmtId="4" fontId="1" fillId="0" borderId="23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 wrapText="1"/>
    </xf>
    <xf numFmtId="4" fontId="2" fillId="0" borderId="24" xfId="33" applyNumberFormat="1" applyFont="1" applyFill="1" applyBorder="1" applyAlignment="1">
      <alignment horizontal="right" vertical="center" wrapText="1"/>
      <protection/>
    </xf>
    <xf numFmtId="4" fontId="2" fillId="0" borderId="11" xfId="33" applyNumberFormat="1" applyFont="1" applyFill="1" applyBorder="1" applyAlignment="1">
      <alignment horizontal="right" vertical="center" wrapText="1"/>
      <protection/>
    </xf>
    <xf numFmtId="4" fontId="0" fillId="0" borderId="12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4" fontId="0" fillId="33" borderId="14" xfId="0" applyNumberFormat="1" applyFont="1" applyFill="1" applyBorder="1" applyAlignment="1">
      <alignment horizontal="right"/>
    </xf>
    <xf numFmtId="0" fontId="0" fillId="33" borderId="14" xfId="0" applyFont="1" applyFill="1" applyBorder="1" applyAlignment="1">
      <alignment horizontal="right"/>
    </xf>
    <xf numFmtId="4" fontId="0" fillId="34" borderId="14" xfId="0" applyNumberFormat="1" applyFont="1" applyFill="1" applyBorder="1" applyAlignment="1">
      <alignment horizontal="center"/>
    </xf>
    <xf numFmtId="4" fontId="0" fillId="34" borderId="14" xfId="0" applyNumberFormat="1" applyFont="1" applyFill="1" applyBorder="1" applyAlignment="1">
      <alignment/>
    </xf>
    <xf numFmtId="4" fontId="0" fillId="33" borderId="14" xfId="0" applyNumberFormat="1" applyFont="1" applyFill="1" applyBorder="1" applyAlignment="1">
      <alignment/>
    </xf>
    <xf numFmtId="0" fontId="0" fillId="33" borderId="14" xfId="0" applyFont="1" applyFill="1" applyBorder="1" applyAlignment="1">
      <alignment vertical="center" wrapText="1"/>
    </xf>
    <xf numFmtId="4" fontId="1" fillId="33" borderId="14" xfId="0" applyNumberFormat="1" applyFont="1" applyFill="1" applyBorder="1" applyAlignment="1">
      <alignment wrapText="1"/>
    </xf>
    <xf numFmtId="4" fontId="0" fillId="0" borderId="14" xfId="0" applyNumberFormat="1" applyFont="1" applyFill="1" applyBorder="1" applyAlignment="1">
      <alignment wrapText="1"/>
    </xf>
    <xf numFmtId="4" fontId="2" fillId="0" borderId="14" xfId="33" applyNumberFormat="1" applyFont="1" applyFill="1" applyBorder="1" applyAlignment="1">
      <alignment vertical="center" wrapText="1"/>
      <protection/>
    </xf>
    <xf numFmtId="4" fontId="1" fillId="0" borderId="14" xfId="0" applyNumberFormat="1" applyFont="1" applyFill="1" applyBorder="1" applyAlignment="1">
      <alignment wrapText="1"/>
    </xf>
    <xf numFmtId="4" fontId="1" fillId="34" borderId="14" xfId="0" applyNumberFormat="1" applyFont="1" applyFill="1" applyBorder="1" applyAlignment="1">
      <alignment wrapText="1"/>
    </xf>
    <xf numFmtId="0" fontId="0" fillId="34" borderId="14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horizont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textRotation="90"/>
    </xf>
    <xf numFmtId="4" fontId="1" fillId="0" borderId="28" xfId="0" applyNumberFormat="1" applyFont="1" applyFill="1" applyBorder="1" applyAlignment="1">
      <alignment horizontal="right" wrapText="1"/>
    </xf>
    <xf numFmtId="4" fontId="1" fillId="0" borderId="23" xfId="0" applyNumberFormat="1" applyFont="1" applyFill="1" applyBorder="1" applyAlignment="1">
      <alignment horizontal="right" wrapText="1"/>
    </xf>
    <xf numFmtId="4" fontId="1" fillId="0" borderId="14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4" fontId="0" fillId="0" borderId="29" xfId="0" applyNumberFormat="1" applyFont="1" applyFill="1" applyBorder="1" applyAlignment="1">
      <alignment horizontal="right"/>
    </xf>
    <xf numFmtId="4" fontId="1" fillId="0" borderId="30" xfId="0" applyNumberFormat="1" applyFont="1" applyFill="1" applyBorder="1" applyAlignment="1">
      <alignment horizontal="right" wrapText="1"/>
    </xf>
    <xf numFmtId="4" fontId="0" fillId="0" borderId="31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left"/>
    </xf>
    <xf numFmtId="2" fontId="1" fillId="0" borderId="18" xfId="0" applyNumberFormat="1" applyFont="1" applyFill="1" applyBorder="1" applyAlignment="1">
      <alignment horizontal="center" vertical="center" textRotation="90" wrapText="1"/>
    </xf>
    <xf numFmtId="2" fontId="0" fillId="0" borderId="13" xfId="0" applyNumberFormat="1" applyBorder="1" applyAlignment="1">
      <alignment horizont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wrapText="1"/>
    </xf>
    <xf numFmtId="4" fontId="0" fillId="0" borderId="14" xfId="0" applyNumberFormat="1" applyFont="1" applyFill="1" applyBorder="1" applyAlignment="1">
      <alignment horizontal="center"/>
    </xf>
    <xf numFmtId="4" fontId="0" fillId="0" borderId="32" xfId="0" applyNumberFormat="1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 vertical="center" wrapText="1"/>
    </xf>
    <xf numFmtId="4" fontId="0" fillId="33" borderId="14" xfId="0" applyNumberFormat="1" applyFont="1" applyFill="1" applyBorder="1" applyAlignment="1">
      <alignment/>
    </xf>
    <xf numFmtId="4" fontId="1" fillId="34" borderId="14" xfId="0" applyNumberFormat="1" applyFont="1" applyFill="1" applyBorder="1" applyAlignment="1">
      <alignment/>
    </xf>
    <xf numFmtId="4" fontId="0" fillId="34" borderId="14" xfId="0" applyNumberFormat="1" applyFont="1" applyFill="1" applyBorder="1" applyAlignment="1">
      <alignment horizontal="right"/>
    </xf>
    <xf numFmtId="4" fontId="1" fillId="34" borderId="14" xfId="0" applyNumberFormat="1" applyFont="1" applyFill="1" applyBorder="1" applyAlignment="1">
      <alignment horizontal="right" wrapText="1"/>
    </xf>
    <xf numFmtId="4" fontId="1" fillId="34" borderId="14" xfId="0" applyNumberFormat="1" applyFont="1" applyFill="1" applyBorder="1" applyAlignment="1">
      <alignment/>
    </xf>
    <xf numFmtId="4" fontId="0" fillId="34" borderId="14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2" fillId="0" borderId="33" xfId="33" applyNumberFormat="1" applyFont="1" applyFill="1" applyBorder="1" applyAlignment="1">
      <alignment horizontal="center" vertical="center" wrapText="1"/>
      <protection/>
    </xf>
    <xf numFmtId="4" fontId="0" fillId="0" borderId="14" xfId="0" applyNumberFormat="1" applyFont="1" applyBorder="1" applyAlignment="1">
      <alignment horizontal="center"/>
    </xf>
    <xf numFmtId="4" fontId="0" fillId="35" borderId="13" xfId="0" applyNumberFormat="1" applyFont="1" applyFill="1" applyBorder="1" applyAlignment="1">
      <alignment horizontal="center"/>
    </xf>
    <xf numFmtId="4" fontId="0" fillId="34" borderId="17" xfId="0" applyNumberFormat="1" applyFont="1" applyFill="1" applyBorder="1" applyAlignment="1">
      <alignment/>
    </xf>
    <xf numFmtId="4" fontId="0" fillId="0" borderId="17" xfId="0" applyNumberFormat="1" applyFont="1" applyBorder="1" applyAlignment="1">
      <alignment horizontal="center"/>
    </xf>
    <xf numFmtId="4" fontId="0" fillId="36" borderId="14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14" xfId="0" applyNumberFormat="1" applyFont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" fontId="0" fillId="37" borderId="14" xfId="0" applyNumberFormat="1" applyFont="1" applyFill="1" applyBorder="1" applyAlignment="1">
      <alignment/>
    </xf>
    <xf numFmtId="4" fontId="2" fillId="0" borderId="32" xfId="33" applyNumberFormat="1" applyFont="1" applyFill="1" applyBorder="1" applyAlignment="1">
      <alignment horizontal="center" vertical="center" wrapText="1"/>
      <protection/>
    </xf>
    <xf numFmtId="4" fontId="0" fillId="0" borderId="14" xfId="0" applyNumberFormat="1" applyFill="1" applyBorder="1" applyAlignment="1">
      <alignment horizontal="center"/>
    </xf>
    <xf numFmtId="165" fontId="0" fillId="0" borderId="14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0" fillId="34" borderId="17" xfId="0" applyNumberFormat="1" applyFont="1" applyFill="1" applyBorder="1" applyAlignment="1">
      <alignment/>
    </xf>
    <xf numFmtId="4" fontId="0" fillId="38" borderId="14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165" fontId="0" fillId="0" borderId="14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0" fontId="0" fillId="0" borderId="13" xfId="0" applyBorder="1" applyAlignment="1">
      <alignment horizontal="center"/>
    </xf>
    <xf numFmtId="4" fontId="2" fillId="0" borderId="10" xfId="33" applyNumberFormat="1" applyFont="1" applyFill="1" applyBorder="1" applyAlignment="1">
      <alignment horizontal="center" vertical="center" wrapText="1"/>
      <protection/>
    </xf>
    <xf numFmtId="43" fontId="2" fillId="34" borderId="14" xfId="61" applyFont="1" applyFill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3" fontId="0" fillId="0" borderId="14" xfId="0" applyNumberFormat="1" applyFont="1" applyFill="1" applyBorder="1" applyAlignment="1">
      <alignment/>
    </xf>
    <xf numFmtId="4" fontId="0" fillId="37" borderId="14" xfId="0" applyNumberFormat="1" applyFont="1" applyFill="1" applyBorder="1" applyAlignment="1">
      <alignment/>
    </xf>
    <xf numFmtId="4" fontId="0" fillId="36" borderId="14" xfId="0" applyNumberFormat="1" applyFont="1" applyFill="1" applyBorder="1" applyAlignment="1">
      <alignment/>
    </xf>
    <xf numFmtId="43" fontId="2" fillId="34" borderId="12" xfId="61" applyFont="1" applyFill="1" applyBorder="1" applyAlignment="1">
      <alignment horizontal="center" vertical="center" wrapText="1"/>
    </xf>
    <xf numFmtId="4" fontId="0" fillId="34" borderId="35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center" vertical="center"/>
    </xf>
    <xf numFmtId="4" fontId="0" fillId="35" borderId="13" xfId="0" applyNumberFormat="1" applyFont="1" applyFill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35" borderId="25" xfId="0" applyNumberFormat="1" applyFont="1" applyFill="1" applyBorder="1" applyAlignment="1">
      <alignment horizontal="center"/>
    </xf>
    <xf numFmtId="4" fontId="0" fillId="0" borderId="32" xfId="0" applyNumberFormat="1" applyFont="1" applyFill="1" applyBorder="1" applyAlignment="1">
      <alignment/>
    </xf>
    <xf numFmtId="4" fontId="3" fillId="0" borderId="13" xfId="33" applyNumberFormat="1" applyFont="1" applyBorder="1" applyAlignment="1">
      <alignment horizontal="center" vertical="center" wrapText="1"/>
      <protection/>
    </xf>
    <xf numFmtId="2" fontId="0" fillId="0" borderId="14" xfId="0" applyNumberFormat="1" applyFont="1" applyBorder="1" applyAlignment="1">
      <alignment horizontal="center"/>
    </xf>
    <xf numFmtId="4" fontId="3" fillId="0" borderId="17" xfId="33" applyNumberFormat="1" applyFont="1" applyBorder="1" applyAlignment="1">
      <alignment horizontal="center" vertical="center" wrapText="1"/>
      <protection/>
    </xf>
    <xf numFmtId="4" fontId="3" fillId="0" borderId="14" xfId="33" applyNumberFormat="1" applyFont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left" vertical="center" wrapText="1"/>
    </xf>
    <xf numFmtId="4" fontId="0" fillId="35" borderId="17" xfId="0" applyNumberFormat="1" applyFont="1" applyFill="1" applyBorder="1" applyAlignment="1">
      <alignment horizontal="center"/>
    </xf>
    <xf numFmtId="4" fontId="0" fillId="34" borderId="35" xfId="0" applyNumberFormat="1" applyFont="1" applyFill="1" applyBorder="1" applyAlignment="1">
      <alignment/>
    </xf>
    <xf numFmtId="0" fontId="0" fillId="0" borderId="36" xfId="0" applyBorder="1" applyAlignment="1">
      <alignment horizontal="center"/>
    </xf>
    <xf numFmtId="0" fontId="1" fillId="0" borderId="37" xfId="0" applyFont="1" applyFill="1" applyBorder="1" applyAlignment="1">
      <alignment horizontal="left"/>
    </xf>
    <xf numFmtId="4" fontId="1" fillId="0" borderId="38" xfId="0" applyNumberFormat="1" applyFont="1" applyFill="1" applyBorder="1" applyAlignment="1">
      <alignment horizontal="right"/>
    </xf>
    <xf numFmtId="4" fontId="1" fillId="0" borderId="39" xfId="0" applyNumberFormat="1" applyFont="1" applyFill="1" applyBorder="1" applyAlignment="1">
      <alignment horizontal="right"/>
    </xf>
    <xf numFmtId="0" fontId="1" fillId="0" borderId="14" xfId="0" applyFont="1" applyFill="1" applyBorder="1" applyAlignment="1">
      <alignment/>
    </xf>
    <xf numFmtId="2" fontId="1" fillId="33" borderId="40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2" fontId="1" fillId="34" borderId="14" xfId="0" applyNumberFormat="1" applyFont="1" applyFill="1" applyBorder="1" applyAlignment="1">
      <alignment horizontal="center" vertical="center" wrapText="1"/>
    </xf>
    <xf numFmtId="2" fontId="1" fillId="34" borderId="16" xfId="0" applyNumberFormat="1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textRotation="90"/>
    </xf>
    <xf numFmtId="0" fontId="1" fillId="33" borderId="16" xfId="0" applyFont="1" applyFill="1" applyBorder="1" applyAlignment="1">
      <alignment horizontal="center" textRotation="90"/>
    </xf>
    <xf numFmtId="2" fontId="7" fillId="34" borderId="40" xfId="0" applyNumberFormat="1" applyFont="1" applyFill="1" applyBorder="1" applyAlignment="1">
      <alignment horizontal="center" vertical="center" wrapText="1"/>
    </xf>
    <xf numFmtId="2" fontId="7" fillId="34" borderId="41" xfId="0" applyNumberFormat="1" applyFont="1" applyFill="1" applyBorder="1" applyAlignment="1">
      <alignment horizontal="center" vertical="center" wrapText="1"/>
    </xf>
    <xf numFmtId="2" fontId="7" fillId="34" borderId="34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horizontal="center" vertical="center" wrapText="1"/>
    </xf>
    <xf numFmtId="2" fontId="1" fillId="0" borderId="43" xfId="0" applyNumberFormat="1" applyFont="1" applyFill="1" applyBorder="1" applyAlignment="1">
      <alignment horizontal="center" vertical="center" wrapText="1"/>
    </xf>
    <xf numFmtId="2" fontId="1" fillId="0" borderId="44" xfId="0" applyNumberFormat="1" applyFont="1" applyFill="1" applyBorder="1" applyAlignment="1">
      <alignment horizontal="center" vertical="center" wrapText="1"/>
    </xf>
    <xf numFmtId="2" fontId="1" fillId="36" borderId="26" xfId="0" applyNumberFormat="1" applyFont="1" applyFill="1" applyBorder="1" applyAlignment="1">
      <alignment horizontal="center" vertical="center" wrapText="1"/>
    </xf>
    <xf numFmtId="2" fontId="1" fillId="36" borderId="45" xfId="0" applyNumberFormat="1" applyFont="1" applyFill="1" applyBorder="1" applyAlignment="1">
      <alignment horizontal="center" vertical="center" wrapText="1"/>
    </xf>
    <xf numFmtId="2" fontId="1" fillId="36" borderId="40" xfId="0" applyNumberFormat="1" applyFont="1" applyFill="1" applyBorder="1" applyAlignment="1">
      <alignment horizontal="center" vertical="center" wrapText="1"/>
    </xf>
    <xf numFmtId="2" fontId="1" fillId="36" borderId="34" xfId="0" applyNumberFormat="1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33" borderId="4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4" borderId="42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2" fontId="1" fillId="34" borderId="40" xfId="0" applyNumberFormat="1" applyFont="1" applyFill="1" applyBorder="1" applyAlignment="1">
      <alignment horizontal="center" vertical="center" wrapText="1"/>
    </xf>
    <xf numFmtId="2" fontId="1" fillId="34" borderId="41" xfId="0" applyNumberFormat="1" applyFont="1" applyFill="1" applyBorder="1" applyAlignment="1">
      <alignment horizontal="center" vertical="center" wrapText="1"/>
    </xf>
    <xf numFmtId="2" fontId="1" fillId="34" borderId="34" xfId="0" applyNumberFormat="1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2" fontId="1" fillId="33" borderId="48" xfId="0" applyNumberFormat="1" applyFont="1" applyFill="1" applyBorder="1" applyAlignment="1">
      <alignment horizontal="center" vertical="center" wrapText="1"/>
    </xf>
    <xf numFmtId="2" fontId="1" fillId="33" borderId="49" xfId="0" applyNumberFormat="1" applyFont="1" applyFill="1" applyBorder="1" applyAlignment="1">
      <alignment horizontal="center" vertical="center" wrapText="1"/>
    </xf>
    <xf numFmtId="2" fontId="1" fillId="0" borderId="38" xfId="0" applyNumberFormat="1" applyFont="1" applyFill="1" applyBorder="1" applyAlignment="1">
      <alignment horizontal="center" vertical="center" wrapText="1"/>
    </xf>
    <xf numFmtId="2" fontId="1" fillId="0" borderId="50" xfId="0" applyNumberFormat="1" applyFont="1" applyFill="1" applyBorder="1" applyAlignment="1">
      <alignment horizontal="center" vertical="center" wrapText="1"/>
    </xf>
    <xf numFmtId="2" fontId="1" fillId="0" borderId="45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2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0" fontId="1" fillId="33" borderId="42" xfId="0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 vertical="center" textRotation="90" wrapText="1"/>
    </xf>
    <xf numFmtId="2" fontId="1" fillId="0" borderId="27" xfId="0" applyNumberFormat="1" applyFont="1" applyFill="1" applyBorder="1" applyAlignment="1">
      <alignment horizontal="center" vertical="center" textRotation="90" wrapText="1"/>
    </xf>
    <xf numFmtId="0" fontId="1" fillId="0" borderId="52" xfId="0" applyFont="1" applyFill="1" applyBorder="1" applyAlignment="1">
      <alignment horizontal="left"/>
    </xf>
    <xf numFmtId="0" fontId="1" fillId="0" borderId="5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4" fontId="1" fillId="0" borderId="42" xfId="0" applyNumberFormat="1" applyFont="1" applyFill="1" applyBorder="1" applyAlignment="1">
      <alignment horizontal="center" vertical="center" textRotation="90" wrapText="1"/>
    </xf>
    <xf numFmtId="4" fontId="1" fillId="0" borderId="14" xfId="0" applyNumberFormat="1" applyFont="1" applyFill="1" applyBorder="1" applyAlignment="1">
      <alignment horizontal="center" vertical="center" textRotation="90" wrapText="1"/>
    </xf>
    <xf numFmtId="4" fontId="1" fillId="0" borderId="26" xfId="0" applyNumberFormat="1" applyFont="1" applyFill="1" applyBorder="1" applyAlignment="1">
      <alignment horizontal="center" vertical="center" textRotation="90" wrapText="1"/>
    </xf>
    <xf numFmtId="4" fontId="1" fillId="0" borderId="55" xfId="0" applyNumberFormat="1" applyFont="1" applyFill="1" applyBorder="1" applyAlignment="1">
      <alignment horizontal="center" vertical="center" textRotation="90" wrapText="1"/>
    </xf>
    <xf numFmtId="4" fontId="1" fillId="0" borderId="17" xfId="0" applyNumberFormat="1" applyFont="1" applyFill="1" applyBorder="1" applyAlignment="1">
      <alignment horizontal="center" vertical="center" textRotation="90" wrapText="1"/>
    </xf>
    <xf numFmtId="4" fontId="1" fillId="0" borderId="19" xfId="0" applyNumberFormat="1" applyFont="1" applyFill="1" applyBorder="1" applyAlignment="1">
      <alignment horizontal="center" vertical="center" textRotation="90" wrapText="1"/>
    </xf>
    <xf numFmtId="4" fontId="1" fillId="0" borderId="51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18" xfId="0" applyNumberFormat="1" applyFont="1" applyFill="1" applyBorder="1" applyAlignment="1">
      <alignment horizontal="center" vertical="center" textRotation="90" wrapText="1"/>
    </xf>
    <xf numFmtId="2" fontId="1" fillId="0" borderId="51" xfId="0" applyNumberFormat="1" applyFont="1" applyFill="1" applyBorder="1" applyAlignment="1">
      <alignment horizontal="center" vertical="center" wrapText="1"/>
    </xf>
    <xf numFmtId="2" fontId="1" fillId="0" borderId="46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18" xfId="0" applyNumberFormat="1" applyFont="1" applyFill="1" applyBorder="1" applyAlignment="1">
      <alignment horizontal="center" vertical="center" textRotation="90" wrapText="1"/>
    </xf>
    <xf numFmtId="2" fontId="1" fillId="0" borderId="14" xfId="0" applyNumberFormat="1" applyFont="1" applyFill="1" applyBorder="1" applyAlignment="1">
      <alignment horizontal="center" vertical="center" textRotation="90" wrapText="1"/>
    </xf>
    <xf numFmtId="2" fontId="1" fillId="0" borderId="26" xfId="0" applyNumberFormat="1" applyFont="1" applyFill="1" applyBorder="1" applyAlignment="1">
      <alignment horizontal="center" vertical="center" textRotation="90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wrapText="1"/>
    </xf>
    <xf numFmtId="0" fontId="1" fillId="0" borderId="59" xfId="0" applyFont="1" applyFill="1" applyBorder="1" applyAlignment="1">
      <alignment horizontal="center" wrapText="1"/>
    </xf>
    <xf numFmtId="0" fontId="1" fillId="0" borderId="61" xfId="0" applyFont="1" applyFill="1" applyBorder="1" applyAlignment="1">
      <alignment horizontal="center" wrapText="1"/>
    </xf>
    <xf numFmtId="0" fontId="1" fillId="0" borderId="6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6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4" fontId="1" fillId="0" borderId="40" xfId="0" applyNumberFormat="1" applyFont="1" applyFill="1" applyBorder="1" applyAlignment="1">
      <alignment horizontal="center" vertical="center" wrapText="1"/>
    </xf>
    <xf numFmtId="4" fontId="1" fillId="0" borderId="59" xfId="0" applyNumberFormat="1" applyFont="1" applyFill="1" applyBorder="1" applyAlignment="1">
      <alignment horizontal="center" vertical="center" wrapText="1"/>
    </xf>
    <xf numFmtId="43" fontId="7" fillId="34" borderId="40" xfId="63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2" fontId="1" fillId="0" borderId="40" xfId="0" applyNumberFormat="1" applyFont="1" applyBorder="1" applyAlignment="1">
      <alignment horizontal="center" vertical="center" wrapText="1"/>
    </xf>
    <xf numFmtId="2" fontId="1" fillId="0" borderId="40" xfId="0" applyNumberFormat="1" applyFont="1" applyFill="1" applyBorder="1" applyAlignment="1">
      <alignment horizontal="center" vertical="center" wrapText="1"/>
    </xf>
    <xf numFmtId="2" fontId="1" fillId="0" borderId="52" xfId="0" applyNumberFormat="1" applyFont="1" applyBorder="1" applyAlignment="1">
      <alignment horizontal="center" vertical="center" wrapText="1"/>
    </xf>
    <xf numFmtId="2" fontId="1" fillId="0" borderId="53" xfId="0" applyNumberFormat="1" applyFont="1" applyBorder="1" applyAlignment="1">
      <alignment horizontal="center" vertical="center" wrapText="1"/>
    </xf>
    <xf numFmtId="2" fontId="1" fillId="0" borderId="59" xfId="0" applyNumberFormat="1" applyFont="1" applyBorder="1" applyAlignment="1">
      <alignment horizontal="center" vertical="center" wrapText="1"/>
    </xf>
    <xf numFmtId="0" fontId="1" fillId="39" borderId="40" xfId="0" applyFont="1" applyFill="1" applyBorder="1" applyAlignment="1">
      <alignment horizontal="center" vertical="center" wrapText="1"/>
    </xf>
    <xf numFmtId="4" fontId="1" fillId="0" borderId="41" xfId="0" applyNumberFormat="1" applyFont="1" applyFill="1" applyBorder="1" applyAlignment="1">
      <alignment horizontal="center" vertical="center" wrapText="1"/>
    </xf>
    <xf numFmtId="4" fontId="1" fillId="0" borderId="57" xfId="0" applyNumberFormat="1" applyFont="1" applyFill="1" applyBorder="1" applyAlignment="1">
      <alignment horizontal="center" vertical="center" wrapText="1"/>
    </xf>
    <xf numFmtId="43" fontId="7" fillId="34" borderId="41" xfId="63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2" fontId="1" fillId="0" borderId="41" xfId="0" applyNumberFormat="1" applyFont="1" applyBorder="1" applyAlignment="1">
      <alignment horizontal="center" vertical="center" wrapText="1"/>
    </xf>
    <xf numFmtId="2" fontId="1" fillId="0" borderId="41" xfId="0" applyNumberFormat="1" applyFont="1" applyFill="1" applyBorder="1" applyAlignment="1">
      <alignment horizontal="center" vertical="center" wrapText="1"/>
    </xf>
    <xf numFmtId="2" fontId="1" fillId="0" borderId="63" xfId="0" applyNumberFormat="1" applyFont="1" applyBorder="1" applyAlignment="1">
      <alignment horizontal="center" vertical="center" wrapText="1"/>
    </xf>
    <xf numFmtId="2" fontId="1" fillId="0" borderId="62" xfId="0" applyNumberFormat="1" applyFont="1" applyBorder="1" applyAlignment="1">
      <alignment horizontal="center" vertical="center" wrapText="1"/>
    </xf>
    <xf numFmtId="2" fontId="1" fillId="0" borderId="64" xfId="0" applyNumberFormat="1" applyFont="1" applyBorder="1" applyAlignment="1">
      <alignment horizontal="center" vertical="center" wrapText="1"/>
    </xf>
    <xf numFmtId="2" fontId="1" fillId="37" borderId="40" xfId="0" applyNumberFormat="1" applyFont="1" applyFill="1" applyBorder="1" applyAlignment="1">
      <alignment horizontal="center" vertical="center" wrapText="1"/>
    </xf>
    <xf numFmtId="0" fontId="1" fillId="39" borderId="41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2" fontId="1" fillId="0" borderId="54" xfId="0" applyNumberFormat="1" applyFont="1" applyFill="1" applyBorder="1" applyAlignment="1">
      <alignment horizontal="center" vertical="center" wrapText="1"/>
    </xf>
    <xf numFmtId="2" fontId="1" fillId="0" borderId="48" xfId="0" applyNumberFormat="1" applyFont="1" applyFill="1" applyBorder="1" applyAlignment="1">
      <alignment horizontal="center" vertical="center" wrapText="1"/>
    </xf>
    <xf numFmtId="2" fontId="1" fillId="0" borderId="66" xfId="0" applyNumberFormat="1" applyFont="1" applyFill="1" applyBorder="1" applyAlignment="1">
      <alignment horizontal="center" vertical="center" wrapText="1"/>
    </xf>
    <xf numFmtId="2" fontId="1" fillId="37" borderId="41" xfId="0" applyNumberFormat="1" applyFont="1" applyFill="1" applyBorder="1" applyAlignment="1">
      <alignment horizontal="center" vertical="center" wrapText="1"/>
    </xf>
    <xf numFmtId="0" fontId="0" fillId="0" borderId="65" xfId="0" applyFont="1" applyBorder="1" applyAlignment="1">
      <alignment/>
    </xf>
    <xf numFmtId="0" fontId="1" fillId="0" borderId="34" xfId="0" applyFont="1" applyFill="1" applyBorder="1" applyAlignment="1">
      <alignment horizontal="center" vertical="center" wrapText="1"/>
    </xf>
    <xf numFmtId="2" fontId="1" fillId="0" borderId="31" xfId="0" applyNumberFormat="1" applyFont="1" applyFill="1" applyBorder="1" applyAlignment="1">
      <alignment horizontal="center" vertical="center" wrapText="1"/>
    </xf>
    <xf numFmtId="2" fontId="1" fillId="0" borderId="67" xfId="0" applyNumberFormat="1" applyFont="1" applyFill="1" applyBorder="1" applyAlignment="1">
      <alignment horizontal="center" vertical="center" wrapText="1"/>
    </xf>
    <xf numFmtId="2" fontId="1" fillId="33" borderId="67" xfId="0" applyNumberFormat="1" applyFont="1" applyFill="1" applyBorder="1" applyAlignment="1">
      <alignment horizontal="center" vertical="center" wrapText="1"/>
    </xf>
    <xf numFmtId="2" fontId="1" fillId="33" borderId="41" xfId="0" applyNumberFormat="1" applyFont="1" applyFill="1" applyBorder="1" applyAlignment="1">
      <alignment horizontal="center" vertical="center" wrapText="1"/>
    </xf>
    <xf numFmtId="2" fontId="1" fillId="0" borderId="68" xfId="0" applyNumberFormat="1" applyFont="1" applyFill="1" applyBorder="1" applyAlignment="1">
      <alignment horizontal="center" vertical="center" wrapText="1"/>
    </xf>
    <xf numFmtId="2" fontId="1" fillId="0" borderId="69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/>
    </xf>
    <xf numFmtId="4" fontId="1" fillId="33" borderId="16" xfId="0" applyNumberFormat="1" applyFont="1" applyFill="1" applyBorder="1" applyAlignment="1">
      <alignment horizontal="right"/>
    </xf>
    <xf numFmtId="4" fontId="1" fillId="33" borderId="45" xfId="0" applyNumberFormat="1" applyFont="1" applyFill="1" applyBorder="1" applyAlignment="1">
      <alignment horizontal="right"/>
    </xf>
    <xf numFmtId="4" fontId="1" fillId="34" borderId="16" xfId="0" applyNumberFormat="1" applyFont="1" applyFill="1" applyBorder="1" applyAlignment="1">
      <alignment horizontal="right"/>
    </xf>
    <xf numFmtId="0" fontId="1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4" fontId="0" fillId="0" borderId="14" xfId="0" applyNumberFormat="1" applyFont="1" applyBorder="1" applyAlignment="1">
      <alignment horizontal="center"/>
    </xf>
    <xf numFmtId="4" fontId="0" fillId="0" borderId="14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4" fontId="0" fillId="34" borderId="17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0" fillId="33" borderId="14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37" borderId="14" xfId="0" applyNumberFormat="1" applyFont="1" applyFill="1" applyBorder="1" applyAlignment="1">
      <alignment/>
    </xf>
    <xf numFmtId="0" fontId="0" fillId="0" borderId="13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" fontId="0" fillId="0" borderId="35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9" xfId="0" applyFont="1" applyBorder="1" applyAlignment="1">
      <alignment horizontal="center"/>
    </xf>
    <xf numFmtId="4" fontId="0" fillId="0" borderId="36" xfId="0" applyNumberFormat="1" applyFont="1" applyBorder="1" applyAlignment="1">
      <alignment horizontal="center"/>
    </xf>
    <xf numFmtId="0" fontId="0" fillId="0" borderId="14" xfId="0" applyFont="1" applyFill="1" applyBorder="1" applyAlignment="1">
      <alignment/>
    </xf>
    <xf numFmtId="4" fontId="0" fillId="0" borderId="13" xfId="54" applyNumberFormat="1" applyFont="1" applyFill="1" applyBorder="1" applyAlignment="1">
      <alignment horizontal="center"/>
      <protection/>
    </xf>
    <xf numFmtId="0" fontId="0" fillId="0" borderId="29" xfId="0" applyBorder="1" applyAlignment="1">
      <alignment horizontal="center"/>
    </xf>
    <xf numFmtId="4" fontId="0" fillId="34" borderId="17" xfId="54" applyNumberFormat="1" applyFont="1" applyFill="1" applyBorder="1">
      <alignment/>
      <protection/>
    </xf>
    <xf numFmtId="4" fontId="0" fillId="0" borderId="14" xfId="54" applyNumberFormat="1" applyFont="1" applyFill="1" applyBorder="1">
      <alignment/>
      <protection/>
    </xf>
    <xf numFmtId="4" fontId="0" fillId="33" borderId="14" xfId="54" applyNumberFormat="1" applyFont="1" applyFill="1" applyBorder="1">
      <alignment/>
      <protection/>
    </xf>
    <xf numFmtId="4" fontId="0" fillId="0" borderId="17" xfId="54" applyNumberFormat="1" applyFont="1" applyFill="1" applyBorder="1">
      <alignment/>
      <protection/>
    </xf>
    <xf numFmtId="4" fontId="0" fillId="34" borderId="35" xfId="54" applyNumberFormat="1" applyFont="1" applyFill="1" applyBorder="1">
      <alignment/>
      <protection/>
    </xf>
    <xf numFmtId="0" fontId="2" fillId="0" borderId="13" xfId="0" applyFont="1" applyBorder="1" applyAlignment="1">
      <alignment horizontal="center"/>
    </xf>
    <xf numFmtId="43" fontId="2" fillId="34" borderId="17" xfId="64" applyFont="1" applyFill="1" applyBorder="1" applyAlignment="1">
      <alignment horizontal="center" vertical="center" wrapText="1"/>
    </xf>
    <xf numFmtId="4" fontId="1" fillId="0" borderId="29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7" fillId="0" borderId="29" xfId="0" applyFont="1" applyBorder="1" applyAlignment="1">
      <alignment/>
    </xf>
    <xf numFmtId="4" fontId="1" fillId="0" borderId="17" xfId="54" applyNumberFormat="1" applyFont="1" applyFill="1" applyBorder="1">
      <alignment/>
      <protection/>
    </xf>
    <xf numFmtId="4" fontId="2" fillId="0" borderId="14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2" fillId="0" borderId="35" xfId="0" applyNumberFormat="1" applyFont="1" applyBorder="1" applyAlignment="1">
      <alignment horizontal="center"/>
    </xf>
    <xf numFmtId="0" fontId="27" fillId="0" borderId="13" xfId="0" applyFont="1" applyBorder="1" applyAlignment="1">
      <alignment/>
    </xf>
    <xf numFmtId="4" fontId="1" fillId="34" borderId="17" xfId="54" applyNumberFormat="1" applyFont="1" applyFill="1" applyBorder="1">
      <alignment/>
      <protection/>
    </xf>
    <xf numFmtId="0" fontId="0" fillId="0" borderId="26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4" fontId="1" fillId="0" borderId="21" xfId="0" applyNumberFormat="1" applyFont="1" applyFill="1" applyBorder="1" applyAlignment="1">
      <alignment/>
    </xf>
    <xf numFmtId="0" fontId="0" fillId="0" borderId="50" xfId="0" applyFont="1" applyFill="1" applyBorder="1" applyAlignment="1">
      <alignment/>
    </xf>
    <xf numFmtId="4" fontId="1" fillId="0" borderId="23" xfId="0" applyNumberFormat="1" applyFont="1" applyFill="1" applyBorder="1" applyAlignment="1">
      <alignment/>
    </xf>
    <xf numFmtId="0" fontId="0" fillId="0" borderId="62" xfId="0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right"/>
    </xf>
    <xf numFmtId="4" fontId="1" fillId="0" borderId="22" xfId="0" applyNumberFormat="1" applyFont="1" applyFill="1" applyBorder="1" applyAlignment="1">
      <alignment horizontal="right"/>
    </xf>
    <xf numFmtId="4" fontId="1" fillId="0" borderId="30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 wrapText="1"/>
    </xf>
    <xf numFmtId="4" fontId="0" fillId="0" borderId="12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3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 vertical="center" wrapText="1"/>
    </xf>
    <xf numFmtId="4" fontId="0" fillId="0" borderId="13" xfId="0" applyNumberFormat="1" applyFont="1" applyFill="1" applyBorder="1" applyAlignment="1">
      <alignment horizontal="right"/>
    </xf>
    <xf numFmtId="4" fontId="0" fillId="0" borderId="29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4" fontId="0" fillId="0" borderId="32" xfId="0" applyNumberFormat="1" applyFont="1" applyFill="1" applyBorder="1" applyAlignment="1">
      <alignment horizontal="right"/>
    </xf>
    <xf numFmtId="4" fontId="0" fillId="0" borderId="31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0" fontId="0" fillId="34" borderId="14" xfId="54" applyFont="1" applyFill="1" applyBorder="1">
      <alignment/>
      <protection/>
    </xf>
    <xf numFmtId="4" fontId="0" fillId="0" borderId="32" xfId="0" applyNumberFormat="1" applyFont="1" applyBorder="1" applyAlignment="1">
      <alignment horizontal="center"/>
    </xf>
    <xf numFmtId="4" fontId="0" fillId="37" borderId="14" xfId="54" applyNumberFormat="1" applyFont="1" applyFill="1" applyBorder="1">
      <alignment/>
      <protection/>
    </xf>
    <xf numFmtId="4" fontId="0" fillId="0" borderId="29" xfId="0" applyNumberFormat="1" applyFont="1" applyBorder="1" applyAlignment="1">
      <alignment/>
    </xf>
    <xf numFmtId="0" fontId="0" fillId="0" borderId="29" xfId="54" applyBorder="1" applyAlignment="1">
      <alignment horizontal="center"/>
      <protection/>
    </xf>
    <xf numFmtId="0" fontId="0" fillId="0" borderId="14" xfId="54" applyFont="1" applyBorder="1">
      <alignment/>
      <protection/>
    </xf>
    <xf numFmtId="4" fontId="0" fillId="0" borderId="19" xfId="54" applyNumberFormat="1" applyFont="1" applyFill="1" applyBorder="1">
      <alignment/>
      <protection/>
    </xf>
    <xf numFmtId="4" fontId="0" fillId="37" borderId="26" xfId="54" applyNumberFormat="1" applyFont="1" applyFill="1" applyBorder="1">
      <alignment/>
      <protection/>
    </xf>
    <xf numFmtId="0" fontId="2" fillId="0" borderId="13" xfId="0" applyFont="1" applyBorder="1" applyAlignment="1">
      <alignment/>
    </xf>
    <xf numFmtId="4" fontId="0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" fontId="0" fillId="33" borderId="14" xfId="54" applyNumberFormat="1" applyFont="1" applyFill="1" applyBorder="1" applyAlignment="1">
      <alignment horizontal="center"/>
      <protection/>
    </xf>
    <xf numFmtId="0" fontId="0" fillId="0" borderId="19" xfId="54" applyFont="1" applyBorder="1">
      <alignment/>
      <protection/>
    </xf>
    <xf numFmtId="0" fontId="0" fillId="0" borderId="17" xfId="54" applyFont="1" applyBorder="1">
      <alignment/>
      <protection/>
    </xf>
    <xf numFmtId="4" fontId="1" fillId="0" borderId="0" xfId="0" applyNumberFormat="1" applyFont="1" applyFill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Ц СЧЕТА 1 кв 201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Финансовый_ЛИЦ СЧЕТА 1 кв 2011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&#1050;&#1086;&#1084;&#1084;&#1091;&#1085;&#1080;&#1089;&#1090;&#1080;&#1095;&#1077;&#1089;&#1082;&#1072;&#1103;,%2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0%20&#1075;&#1086;&#1076;\&#1042;&#1099;&#1087;&#1080;&#1089;&#1082;&#1080;%202010%20&#1075;&#1086;&#1076;\&#1058;&#1072;&#1096;&#1090;&#1072;&#1075;&#1086;&#1083;\&#1051;&#1080;&#1094;&#1077;&#1074;&#1086;&#1081;%20&#1089;&#1095;&#1077;&#1090;%20&#1050;&#1086;&#1084;&#1084;&#1091;&#1085;&#1072;&#1083;&#1100;&#1085;&#1072;&#1103;,%207%20&#1089;%202010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 полностью"/>
      <sheetName val="2010 печать"/>
      <sheetName val="2011"/>
      <sheetName val="2011 печать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9">
          <cell r="BC3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7"/>
  <sheetViews>
    <sheetView zoomScalePageLayoutView="0" workbookViewId="0" topLeftCell="A1">
      <pane xSplit="2" ySplit="7" topLeftCell="AH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37" sqref="C37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0.125" style="2" customWidth="1"/>
    <col min="4" max="4" width="10.375" style="2" customWidth="1"/>
    <col min="5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4" width="9.125" style="2" customWidth="1"/>
    <col min="15" max="15" width="10.125" style="2" bestFit="1" customWidth="1"/>
    <col min="16" max="16" width="10.125" style="2" customWidth="1"/>
    <col min="17" max="18" width="9.125" style="2" customWidth="1"/>
    <col min="19" max="19" width="10.625" style="2" customWidth="1"/>
    <col min="20" max="20" width="10.125" style="2" customWidth="1"/>
    <col min="21" max="21" width="9.125" style="2" customWidth="1"/>
    <col min="22" max="22" width="10.125" style="2" bestFit="1" customWidth="1"/>
    <col min="23" max="23" width="11.375" style="2" customWidth="1"/>
    <col min="24" max="24" width="9.25390625" style="2" bestFit="1" customWidth="1"/>
    <col min="25" max="25" width="10.25390625" style="2" customWidth="1"/>
    <col min="26" max="30" width="9.25390625" style="2" bestFit="1" customWidth="1"/>
    <col min="31" max="31" width="10.125" style="2" bestFit="1" customWidth="1"/>
    <col min="32" max="34" width="9.25390625" style="2" bestFit="1" customWidth="1"/>
    <col min="35" max="36" width="9.25390625" style="2" customWidth="1"/>
    <col min="37" max="37" width="10.125" style="2" bestFit="1" customWidth="1"/>
    <col min="38" max="38" width="10.125" style="2" customWidth="1"/>
    <col min="39" max="39" width="9.25390625" style="2" bestFit="1" customWidth="1"/>
    <col min="40" max="41" width="9.25390625" style="2" customWidth="1"/>
    <col min="42" max="42" width="10.625" style="2" customWidth="1"/>
    <col min="43" max="44" width="10.125" style="2" bestFit="1" customWidth="1"/>
    <col min="45" max="46" width="10.375" style="2" customWidth="1"/>
    <col min="47" max="47" width="10.75390625" style="2" customWidth="1"/>
    <col min="48" max="48" width="14.00390625" style="2" customWidth="1"/>
    <col min="49" max="16384" width="9.125" style="2" customWidth="1"/>
  </cols>
  <sheetData>
    <row r="1" spans="1:14" ht="21" customHeight="1">
      <c r="A1" s="171" t="s">
        <v>81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</row>
    <row r="2" spans="1:14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</row>
    <row r="3" spans="1:48" ht="13.5" customHeight="1">
      <c r="A3" s="172" t="s">
        <v>0</v>
      </c>
      <c r="B3" s="175" t="s">
        <v>1</v>
      </c>
      <c r="C3" s="175" t="s">
        <v>2</v>
      </c>
      <c r="D3" s="175" t="s">
        <v>3</v>
      </c>
      <c r="E3" s="178" t="s">
        <v>4</v>
      </c>
      <c r="F3" s="178"/>
      <c r="G3" s="178"/>
      <c r="H3" s="178"/>
      <c r="I3" s="178"/>
      <c r="J3" s="178"/>
      <c r="K3" s="178"/>
      <c r="L3" s="178"/>
      <c r="M3" s="178"/>
      <c r="N3" s="178"/>
      <c r="O3" s="156" t="s">
        <v>5</v>
      </c>
      <c r="P3" s="156"/>
      <c r="Q3" s="158" t="s">
        <v>6</v>
      </c>
      <c r="R3" s="158"/>
      <c r="S3" s="158"/>
      <c r="T3" s="158"/>
      <c r="U3" s="158"/>
      <c r="V3" s="158"/>
      <c r="W3" s="160" t="s">
        <v>76</v>
      </c>
      <c r="X3" s="142" t="s">
        <v>64</v>
      </c>
      <c r="Y3" s="145" t="s">
        <v>8</v>
      </c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68" t="s">
        <v>65</v>
      </c>
      <c r="AU3" s="153" t="s">
        <v>9</v>
      </c>
      <c r="AV3" s="163" t="s">
        <v>10</v>
      </c>
    </row>
    <row r="4" spans="1:48" ht="36" customHeight="1" thickBot="1">
      <c r="A4" s="173"/>
      <c r="B4" s="176"/>
      <c r="C4" s="176"/>
      <c r="D4" s="176"/>
      <c r="E4" s="157" t="s">
        <v>11</v>
      </c>
      <c r="F4" s="157"/>
      <c r="G4" s="157" t="s">
        <v>12</v>
      </c>
      <c r="H4" s="157"/>
      <c r="I4" s="157" t="s">
        <v>13</v>
      </c>
      <c r="J4" s="157"/>
      <c r="K4" s="157" t="s">
        <v>14</v>
      </c>
      <c r="L4" s="157"/>
      <c r="M4" s="157" t="s">
        <v>15</v>
      </c>
      <c r="N4" s="157"/>
      <c r="O4" s="157"/>
      <c r="P4" s="157"/>
      <c r="Q4" s="159"/>
      <c r="R4" s="159"/>
      <c r="S4" s="159"/>
      <c r="T4" s="159"/>
      <c r="U4" s="159"/>
      <c r="V4" s="159"/>
      <c r="W4" s="161"/>
      <c r="X4" s="143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69"/>
      <c r="AU4" s="154"/>
      <c r="AV4" s="164"/>
    </row>
    <row r="5" spans="1:48" ht="29.25" customHeight="1" thickBot="1">
      <c r="A5" s="173"/>
      <c r="B5" s="176"/>
      <c r="C5" s="176"/>
      <c r="D5" s="176"/>
      <c r="E5" s="140" t="s">
        <v>16</v>
      </c>
      <c r="F5" s="140" t="s">
        <v>17</v>
      </c>
      <c r="G5" s="140" t="s">
        <v>16</v>
      </c>
      <c r="H5" s="140" t="s">
        <v>17</v>
      </c>
      <c r="I5" s="140" t="s">
        <v>16</v>
      </c>
      <c r="J5" s="140" t="s">
        <v>17</v>
      </c>
      <c r="K5" s="140" t="s">
        <v>16</v>
      </c>
      <c r="L5" s="140" t="s">
        <v>17</v>
      </c>
      <c r="M5" s="140" t="s">
        <v>16</v>
      </c>
      <c r="N5" s="140" t="s">
        <v>17</v>
      </c>
      <c r="O5" s="140" t="s">
        <v>16</v>
      </c>
      <c r="P5" s="140" t="s">
        <v>17</v>
      </c>
      <c r="Q5" s="138" t="s">
        <v>18</v>
      </c>
      <c r="R5" s="138" t="s">
        <v>19</v>
      </c>
      <c r="S5" s="138" t="s">
        <v>20</v>
      </c>
      <c r="T5" s="138" t="s">
        <v>21</v>
      </c>
      <c r="U5" s="138" t="s">
        <v>22</v>
      </c>
      <c r="V5" s="138" t="s">
        <v>23</v>
      </c>
      <c r="W5" s="161"/>
      <c r="X5" s="143"/>
      <c r="Y5" s="136" t="s">
        <v>24</v>
      </c>
      <c r="Z5" s="136" t="s">
        <v>25</v>
      </c>
      <c r="AA5" s="136" t="s">
        <v>26</v>
      </c>
      <c r="AB5" s="136" t="s">
        <v>27</v>
      </c>
      <c r="AC5" s="136" t="s">
        <v>28</v>
      </c>
      <c r="AD5" s="136" t="s">
        <v>27</v>
      </c>
      <c r="AE5" s="136" t="s">
        <v>29</v>
      </c>
      <c r="AF5" s="136" t="s">
        <v>27</v>
      </c>
      <c r="AG5" s="136" t="s">
        <v>30</v>
      </c>
      <c r="AH5" s="136" t="s">
        <v>27</v>
      </c>
      <c r="AI5" s="149" t="s">
        <v>69</v>
      </c>
      <c r="AJ5" s="151" t="s">
        <v>27</v>
      </c>
      <c r="AK5" s="166" t="s">
        <v>70</v>
      </c>
      <c r="AL5" s="134" t="s">
        <v>71</v>
      </c>
      <c r="AM5" s="134" t="s">
        <v>27</v>
      </c>
      <c r="AN5" s="146" t="s">
        <v>72</v>
      </c>
      <c r="AO5" s="147"/>
      <c r="AP5" s="148"/>
      <c r="AQ5" s="136" t="s">
        <v>32</v>
      </c>
      <c r="AR5" s="136" t="s">
        <v>27</v>
      </c>
      <c r="AS5" s="136" t="s">
        <v>33</v>
      </c>
      <c r="AT5" s="169"/>
      <c r="AU5" s="154"/>
      <c r="AV5" s="164"/>
    </row>
    <row r="6" spans="1:48" ht="54" customHeight="1" thickBot="1">
      <c r="A6" s="174"/>
      <c r="B6" s="177"/>
      <c r="C6" s="177"/>
      <c r="D6" s="177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39"/>
      <c r="R6" s="139"/>
      <c r="S6" s="139"/>
      <c r="T6" s="139"/>
      <c r="U6" s="139"/>
      <c r="V6" s="139"/>
      <c r="W6" s="162"/>
      <c r="X6" s="144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50"/>
      <c r="AJ6" s="152"/>
      <c r="AK6" s="167"/>
      <c r="AL6" s="135"/>
      <c r="AM6" s="135"/>
      <c r="AN6" s="88" t="s">
        <v>73</v>
      </c>
      <c r="AO6" s="88" t="s">
        <v>74</v>
      </c>
      <c r="AP6" s="88" t="s">
        <v>75</v>
      </c>
      <c r="AQ6" s="137"/>
      <c r="AR6" s="137"/>
      <c r="AS6" s="137"/>
      <c r="AT6" s="170"/>
      <c r="AU6" s="155"/>
      <c r="AV6" s="165"/>
    </row>
    <row r="7" spans="1:48" ht="12.75">
      <c r="A7" s="6">
        <v>1</v>
      </c>
      <c r="B7" s="7">
        <v>2</v>
      </c>
      <c r="C7" s="6">
        <v>3</v>
      </c>
      <c r="D7" s="7">
        <v>4</v>
      </c>
      <c r="E7" s="6">
        <v>5</v>
      </c>
      <c r="F7" s="7">
        <v>6</v>
      </c>
      <c r="G7" s="6">
        <v>7</v>
      </c>
      <c r="H7" s="7">
        <v>8</v>
      </c>
      <c r="I7" s="6">
        <v>9</v>
      </c>
      <c r="J7" s="7">
        <v>10</v>
      </c>
      <c r="K7" s="6">
        <v>11</v>
      </c>
      <c r="L7" s="7">
        <v>12</v>
      </c>
      <c r="M7" s="6">
        <v>13</v>
      </c>
      <c r="N7" s="7">
        <v>14</v>
      </c>
      <c r="O7" s="6">
        <v>15</v>
      </c>
      <c r="P7" s="7">
        <v>16</v>
      </c>
      <c r="Q7" s="6">
        <v>17</v>
      </c>
      <c r="R7" s="7">
        <v>18</v>
      </c>
      <c r="S7" s="6">
        <v>19</v>
      </c>
      <c r="T7" s="7">
        <v>20</v>
      </c>
      <c r="U7" s="6">
        <v>21</v>
      </c>
      <c r="V7" s="7">
        <v>22</v>
      </c>
      <c r="W7" s="6">
        <v>23</v>
      </c>
      <c r="X7" s="7">
        <v>24</v>
      </c>
      <c r="Y7" s="6">
        <v>25</v>
      </c>
      <c r="Z7" s="7">
        <v>26</v>
      </c>
      <c r="AA7" s="6">
        <v>27</v>
      </c>
      <c r="AB7" s="7">
        <v>28</v>
      </c>
      <c r="AC7" s="6">
        <v>29</v>
      </c>
      <c r="AD7" s="7">
        <v>30</v>
      </c>
      <c r="AE7" s="6">
        <v>31</v>
      </c>
      <c r="AF7" s="7">
        <v>32</v>
      </c>
      <c r="AG7" s="6">
        <v>33</v>
      </c>
      <c r="AH7" s="7">
        <v>34</v>
      </c>
      <c r="AI7" s="6">
        <v>35</v>
      </c>
      <c r="AJ7" s="7">
        <v>36</v>
      </c>
      <c r="AK7" s="6">
        <v>37</v>
      </c>
      <c r="AL7" s="7">
        <v>38</v>
      </c>
      <c r="AM7" s="6">
        <v>39</v>
      </c>
      <c r="AN7" s="7">
        <v>40</v>
      </c>
      <c r="AO7" s="6">
        <v>41</v>
      </c>
      <c r="AP7" s="7">
        <v>42</v>
      </c>
      <c r="AQ7" s="6">
        <v>43</v>
      </c>
      <c r="AR7" s="7">
        <v>44</v>
      </c>
      <c r="AS7" s="6">
        <v>45</v>
      </c>
      <c r="AT7" s="7">
        <v>46</v>
      </c>
      <c r="AU7" s="6">
        <v>47</v>
      </c>
      <c r="AV7" s="7">
        <v>48</v>
      </c>
    </row>
    <row r="8" spans="1:48" ht="15" customHeight="1" hidden="1">
      <c r="A8" s="5" t="s">
        <v>37</v>
      </c>
      <c r="B8" s="49"/>
      <c r="C8" s="50"/>
      <c r="D8" s="50"/>
      <c r="E8" s="47"/>
      <c r="F8" s="47"/>
      <c r="G8" s="47"/>
      <c r="H8" s="47"/>
      <c r="I8" s="47"/>
      <c r="J8" s="47"/>
      <c r="K8" s="47"/>
      <c r="L8" s="47"/>
      <c r="M8" s="47"/>
      <c r="N8" s="47"/>
      <c r="O8" s="46"/>
      <c r="P8" s="46"/>
      <c r="Q8" s="53"/>
      <c r="R8" s="53"/>
      <c r="S8" s="53"/>
      <c r="T8" s="53"/>
      <c r="U8" s="53"/>
      <c r="V8" s="45"/>
      <c r="W8" s="75"/>
      <c r="X8" s="76"/>
      <c r="Y8" s="12"/>
      <c r="Z8" s="12"/>
      <c r="AA8" s="12"/>
      <c r="AB8" s="12"/>
      <c r="AC8" s="12"/>
      <c r="AD8" s="12"/>
      <c r="AE8" s="12"/>
      <c r="AF8" s="12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12"/>
      <c r="AS8" s="12"/>
      <c r="AT8" s="12"/>
      <c r="AU8" s="12"/>
      <c r="AV8" s="26"/>
    </row>
    <row r="9" spans="1:48" ht="12.75" hidden="1">
      <c r="A9" s="9" t="s">
        <v>38</v>
      </c>
      <c r="B9" s="105">
        <v>896.9</v>
      </c>
      <c r="C9" s="94">
        <f aca="true" t="shared" si="0" ref="C9:C18">B9*8.65</f>
        <v>7758.185</v>
      </c>
      <c r="D9" s="114">
        <f>C9*0.125</f>
        <v>969.773125</v>
      </c>
      <c r="E9" s="82">
        <v>473.16</v>
      </c>
      <c r="F9" s="82">
        <v>47.2</v>
      </c>
      <c r="G9" s="82">
        <v>638.77</v>
      </c>
      <c r="H9" s="82">
        <v>63.73</v>
      </c>
      <c r="I9" s="82">
        <v>1537.77</v>
      </c>
      <c r="J9" s="82">
        <v>153.4</v>
      </c>
      <c r="K9" s="82">
        <v>1064.64</v>
      </c>
      <c r="L9" s="82">
        <v>106.2</v>
      </c>
      <c r="M9" s="82">
        <v>378.55</v>
      </c>
      <c r="N9" s="108">
        <v>37.76</v>
      </c>
      <c r="O9" s="71">
        <f aca="true" t="shared" si="1" ref="O9:O18">E9+G9+I9+K9+M9</f>
        <v>4092.8900000000003</v>
      </c>
      <c r="P9" s="83">
        <f aca="true" t="shared" si="2" ref="P9:P18">N9+L9+J9+H9+F9</f>
        <v>408.29</v>
      </c>
      <c r="Q9" s="110">
        <v>0</v>
      </c>
      <c r="R9" s="110">
        <v>0</v>
      </c>
      <c r="S9" s="110">
        <v>0</v>
      </c>
      <c r="T9" s="110">
        <v>0</v>
      </c>
      <c r="U9" s="110">
        <v>0</v>
      </c>
      <c r="V9" s="105">
        <f aca="true" t="shared" si="3" ref="V9:V18">SUM(Q9:U9)</f>
        <v>0</v>
      </c>
      <c r="W9" s="100">
        <f aca="true" t="shared" si="4" ref="W9:W18">D9+P9+V9</f>
        <v>1378.0631250000001</v>
      </c>
      <c r="X9" s="100"/>
      <c r="Y9" s="99">
        <f>0.6*B9*0.9</f>
        <v>484.326</v>
      </c>
      <c r="Z9" s="99">
        <f>B9*0.2*0.9081</f>
        <v>162.894978</v>
      </c>
      <c r="AA9" s="99">
        <f>0.85*B9*0.8909+0.01</f>
        <v>679.2009785</v>
      </c>
      <c r="AB9" s="99">
        <f aca="true" t="shared" si="5" ref="AB9:AB18">AA9*0.18</f>
        <v>122.25617613</v>
      </c>
      <c r="AC9" s="99">
        <f>(0.83*B9)*0.8928</f>
        <v>664.6244256</v>
      </c>
      <c r="AD9" s="99">
        <f aca="true" t="shared" si="6" ref="AD9:AD18">AC9*0.18</f>
        <v>119.632396608</v>
      </c>
      <c r="AE9" s="99">
        <f>1.91*B9*0.8927</f>
        <v>1529.2656233</v>
      </c>
      <c r="AF9" s="99">
        <f aca="true" t="shared" si="7" ref="AF9:AF18">AE9*0.18</f>
        <v>275.267812194</v>
      </c>
      <c r="AG9" s="99">
        <v>0</v>
      </c>
      <c r="AH9" s="99">
        <f aca="true" t="shared" si="8" ref="AH9:AJ18">AG9*0.18</f>
        <v>0</v>
      </c>
      <c r="AI9" s="113"/>
      <c r="AJ9" s="113">
        <f t="shared" si="8"/>
        <v>0</v>
      </c>
      <c r="AK9" s="101"/>
      <c r="AL9" s="101"/>
      <c r="AM9" s="74">
        <f>(AK9+AL9)*0.18</f>
        <v>0</v>
      </c>
      <c r="AN9" s="102">
        <v>383</v>
      </c>
      <c r="AO9" s="103">
        <v>0.3</v>
      </c>
      <c r="AP9" s="99">
        <f aca="true" t="shared" si="9" ref="AP9:AP18">AN9*AO9*1.12*1.18</f>
        <v>151.85184</v>
      </c>
      <c r="AQ9" s="104"/>
      <c r="AR9" s="104">
        <f>AQ9*0.18</f>
        <v>0</v>
      </c>
      <c r="AS9" s="104">
        <f>SUM(Y9:AM9)</f>
        <v>4037.468390332</v>
      </c>
      <c r="AT9" s="112"/>
      <c r="AU9" s="12">
        <f aca="true" t="shared" si="10" ref="AU9:AU18">W9+X9-AS9-AT9</f>
        <v>-2659.405265332</v>
      </c>
      <c r="AV9" s="26">
        <f aca="true" t="shared" si="11" ref="AV9:AV18">V9-O9</f>
        <v>-4092.8900000000003</v>
      </c>
    </row>
    <row r="10" spans="1:48" ht="12.75" hidden="1">
      <c r="A10" s="9" t="s">
        <v>39</v>
      </c>
      <c r="B10" s="105">
        <v>896.9</v>
      </c>
      <c r="C10" s="106">
        <f t="shared" si="0"/>
        <v>7758.185</v>
      </c>
      <c r="D10" s="114">
        <f>C10*0.125</f>
        <v>969.773125</v>
      </c>
      <c r="E10" s="82">
        <v>479</v>
      </c>
      <c r="F10" s="82">
        <v>41.44</v>
      </c>
      <c r="G10" s="82">
        <v>646.66</v>
      </c>
      <c r="H10" s="82">
        <v>55.95</v>
      </c>
      <c r="I10" s="82">
        <v>1556.75</v>
      </c>
      <c r="J10" s="82">
        <v>134.68</v>
      </c>
      <c r="K10" s="82">
        <v>1077.78</v>
      </c>
      <c r="L10" s="82">
        <v>93.24</v>
      </c>
      <c r="M10" s="82">
        <v>383.22</v>
      </c>
      <c r="N10" s="108">
        <v>33.15</v>
      </c>
      <c r="O10" s="72">
        <f t="shared" si="1"/>
        <v>4143.41</v>
      </c>
      <c r="P10" s="83">
        <f t="shared" si="2"/>
        <v>358.46</v>
      </c>
      <c r="Q10" s="109">
        <v>194.95</v>
      </c>
      <c r="R10" s="110">
        <v>263.2</v>
      </c>
      <c r="S10" s="110">
        <v>633.6</v>
      </c>
      <c r="T10" s="110">
        <v>438.65</v>
      </c>
      <c r="U10" s="110">
        <v>155.97</v>
      </c>
      <c r="V10" s="105">
        <f t="shared" si="3"/>
        <v>1686.3700000000001</v>
      </c>
      <c r="W10" s="115">
        <f t="shared" si="4"/>
        <v>3014.603125</v>
      </c>
      <c r="X10" s="100"/>
      <c r="Y10" s="99">
        <f>0.6*B10*0.9</f>
        <v>484.326</v>
      </c>
      <c r="Z10" s="99">
        <f>B10*0.2*0.9234</f>
        <v>165.639492</v>
      </c>
      <c r="AA10" s="99">
        <f>0.85*B10*0.8909+0.01</f>
        <v>679.2009785</v>
      </c>
      <c r="AB10" s="99">
        <f t="shared" si="5"/>
        <v>122.25617613</v>
      </c>
      <c r="AC10" s="99">
        <f>(0.83*B10)*0.8928</f>
        <v>664.6244256</v>
      </c>
      <c r="AD10" s="99">
        <f t="shared" si="6"/>
        <v>119.632396608</v>
      </c>
      <c r="AE10" s="99">
        <f>1.91*B10*0.8927</f>
        <v>1529.2656233</v>
      </c>
      <c r="AF10" s="99">
        <f t="shared" si="7"/>
        <v>275.267812194</v>
      </c>
      <c r="AG10" s="99">
        <v>0</v>
      </c>
      <c r="AH10" s="99">
        <f t="shared" si="8"/>
        <v>0</v>
      </c>
      <c r="AI10" s="113"/>
      <c r="AJ10" s="86">
        <f t="shared" si="8"/>
        <v>0</v>
      </c>
      <c r="AK10" s="101"/>
      <c r="AL10" s="101"/>
      <c r="AM10" s="74">
        <f>(AK10+AL10)*0.18</f>
        <v>0</v>
      </c>
      <c r="AN10" s="87">
        <v>307</v>
      </c>
      <c r="AO10" s="103">
        <v>0.3</v>
      </c>
      <c r="AP10" s="99">
        <f t="shared" si="9"/>
        <v>121.71936</v>
      </c>
      <c r="AQ10" s="89"/>
      <c r="AR10" s="98">
        <f aca="true" t="shared" si="12" ref="AR10:AR18">AQ10*0.18</f>
        <v>0</v>
      </c>
      <c r="AS10" s="90">
        <f>SUM(Y10:AM10)+AP10+AP9</f>
        <v>4313.784104332</v>
      </c>
      <c r="AT10" s="93"/>
      <c r="AU10" s="12">
        <f t="shared" si="10"/>
        <v>-1299.1809793320003</v>
      </c>
      <c r="AV10" s="26">
        <f t="shared" si="11"/>
        <v>-2457.04</v>
      </c>
    </row>
    <row r="11" spans="1:48" ht="12.75" hidden="1">
      <c r="A11" s="9" t="s">
        <v>40</v>
      </c>
      <c r="B11" s="105">
        <v>896.9</v>
      </c>
      <c r="C11" s="106">
        <f t="shared" si="0"/>
        <v>7758.185</v>
      </c>
      <c r="D11" s="114">
        <f>C11-E11-F11-G11-H11-I11-J11-K11-L11-M11-N11</f>
        <v>2784.905</v>
      </c>
      <c r="E11" s="91">
        <v>515.14</v>
      </c>
      <c r="F11" s="91">
        <v>58.86</v>
      </c>
      <c r="G11" s="91">
        <v>697.84</v>
      </c>
      <c r="H11" s="91">
        <v>79.75</v>
      </c>
      <c r="I11" s="91">
        <v>1676.67</v>
      </c>
      <c r="J11" s="91">
        <v>191.58</v>
      </c>
      <c r="K11" s="91">
        <v>1161.51</v>
      </c>
      <c r="L11" s="91">
        <v>132.72</v>
      </c>
      <c r="M11" s="91">
        <v>412.13</v>
      </c>
      <c r="N11" s="92">
        <v>47.08</v>
      </c>
      <c r="O11" s="116">
        <f t="shared" si="1"/>
        <v>4463.29</v>
      </c>
      <c r="P11" s="117">
        <f t="shared" si="2"/>
        <v>509.99</v>
      </c>
      <c r="Q11" s="110">
        <v>296.33</v>
      </c>
      <c r="R11" s="110">
        <v>400.02</v>
      </c>
      <c r="S11" s="110">
        <v>963.05</v>
      </c>
      <c r="T11" s="110">
        <v>666.75</v>
      </c>
      <c r="U11" s="110">
        <v>237.06</v>
      </c>
      <c r="V11" s="105">
        <f t="shared" si="3"/>
        <v>2563.2099999999996</v>
      </c>
      <c r="W11" s="100">
        <f t="shared" si="4"/>
        <v>5858.105</v>
      </c>
      <c r="X11" s="100"/>
      <c r="Y11" s="99">
        <f aca="true" t="shared" si="13" ref="Y11:Y18">0.6*B11</f>
        <v>538.14</v>
      </c>
      <c r="Z11" s="99">
        <f>B11*0.2*1.011</f>
        <v>181.35317999999998</v>
      </c>
      <c r="AA11" s="99">
        <f>0.85*B11*0.9899</f>
        <v>754.6651135</v>
      </c>
      <c r="AB11" s="99">
        <f t="shared" si="5"/>
        <v>135.83972043</v>
      </c>
      <c r="AC11" s="99">
        <f>(0.83*B11)*0.992</f>
        <v>738.4715839999999</v>
      </c>
      <c r="AD11" s="99">
        <f t="shared" si="6"/>
        <v>132.92488511999997</v>
      </c>
      <c r="AE11" s="99">
        <f>1.91*B11*0.992</f>
        <v>1699.374368</v>
      </c>
      <c r="AF11" s="99">
        <f t="shared" si="7"/>
        <v>305.88738624</v>
      </c>
      <c r="AG11" s="99">
        <v>0</v>
      </c>
      <c r="AH11" s="99">
        <f t="shared" si="8"/>
        <v>0</v>
      </c>
      <c r="AI11" s="113"/>
      <c r="AJ11" s="86">
        <f t="shared" si="8"/>
        <v>0</v>
      </c>
      <c r="AK11" s="101">
        <f>1321.7+3480</f>
        <v>4801.7</v>
      </c>
      <c r="AL11" s="101"/>
      <c r="AM11" s="74">
        <f>(AK11+AL11)*0.18</f>
        <v>864.3059999999999</v>
      </c>
      <c r="AN11" s="87">
        <v>263</v>
      </c>
      <c r="AO11" s="103">
        <v>0.3</v>
      </c>
      <c r="AP11" s="99">
        <f t="shared" si="9"/>
        <v>104.27423999999999</v>
      </c>
      <c r="AQ11" s="104"/>
      <c r="AR11" s="104">
        <f t="shared" si="12"/>
        <v>0</v>
      </c>
      <c r="AS11" s="104">
        <f aca="true" t="shared" si="14" ref="AS11:AS18">SUM(Y11:AM11)+AP11</f>
        <v>10256.936477289999</v>
      </c>
      <c r="AT11" s="112"/>
      <c r="AU11" s="12">
        <f t="shared" si="10"/>
        <v>-4398.831477289999</v>
      </c>
      <c r="AV11" s="26">
        <f t="shared" si="11"/>
        <v>-1900.0800000000004</v>
      </c>
    </row>
    <row r="12" spans="1:48" ht="12.75" hidden="1">
      <c r="A12" s="9" t="s">
        <v>41</v>
      </c>
      <c r="B12" s="105">
        <v>896.9</v>
      </c>
      <c r="C12" s="106">
        <f t="shared" si="0"/>
        <v>7758.185</v>
      </c>
      <c r="D12" s="114">
        <v>2784.19</v>
      </c>
      <c r="E12" s="91">
        <v>744.28</v>
      </c>
      <c r="F12" s="91">
        <v>75.86</v>
      </c>
      <c r="G12" s="91">
        <v>1008.19</v>
      </c>
      <c r="H12" s="91">
        <v>102.83</v>
      </c>
      <c r="I12" s="91">
        <v>1695.66</v>
      </c>
      <c r="J12" s="91">
        <v>172.86</v>
      </c>
      <c r="K12" s="91">
        <v>1678.05</v>
      </c>
      <c r="L12" s="91">
        <v>171.1</v>
      </c>
      <c r="M12" s="91">
        <v>595.4</v>
      </c>
      <c r="N12" s="118">
        <v>60.69</v>
      </c>
      <c r="O12" s="72">
        <f t="shared" si="1"/>
        <v>5721.58</v>
      </c>
      <c r="P12" s="83">
        <f t="shared" si="2"/>
        <v>583.3399999999999</v>
      </c>
      <c r="Q12" s="110">
        <v>423.76</v>
      </c>
      <c r="R12" s="110">
        <v>573.44</v>
      </c>
      <c r="S12" s="110">
        <v>1329.34</v>
      </c>
      <c r="T12" s="110">
        <v>954.88</v>
      </c>
      <c r="U12" s="110">
        <v>339.07</v>
      </c>
      <c r="V12" s="105">
        <f t="shared" si="3"/>
        <v>3620.4900000000002</v>
      </c>
      <c r="W12" s="100">
        <f t="shared" si="4"/>
        <v>6988.02</v>
      </c>
      <c r="X12" s="100"/>
      <c r="Y12" s="99">
        <f t="shared" si="13"/>
        <v>538.14</v>
      </c>
      <c r="Z12" s="99">
        <f>B12*0.2*1.01045</f>
        <v>181.254521</v>
      </c>
      <c r="AA12" s="99">
        <f>0.85*B12*0.98824</f>
        <v>753.3995876</v>
      </c>
      <c r="AB12" s="99">
        <f t="shared" si="5"/>
        <v>135.611925768</v>
      </c>
      <c r="AC12" s="99">
        <f>(0.83*B12)*0.99023</f>
        <v>737.15394821</v>
      </c>
      <c r="AD12" s="99">
        <f t="shared" si="6"/>
        <v>132.6877106778</v>
      </c>
      <c r="AE12" s="99">
        <f>(1.91)*B12*0.99023-0.01</f>
        <v>1696.33221817</v>
      </c>
      <c r="AF12" s="99">
        <f t="shared" si="7"/>
        <v>305.3397992706</v>
      </c>
      <c r="AG12" s="99">
        <v>0</v>
      </c>
      <c r="AH12" s="99">
        <f t="shared" si="8"/>
        <v>0</v>
      </c>
      <c r="AI12" s="113"/>
      <c r="AJ12" s="113">
        <f t="shared" si="8"/>
        <v>0</v>
      </c>
      <c r="AK12" s="101"/>
      <c r="AL12" s="101"/>
      <c r="AM12" s="74">
        <f>(AK12+AL12)*0.18</f>
        <v>0</v>
      </c>
      <c r="AN12" s="87">
        <v>233</v>
      </c>
      <c r="AO12" s="103">
        <v>0.3</v>
      </c>
      <c r="AP12" s="99">
        <f t="shared" si="9"/>
        <v>92.37983999999999</v>
      </c>
      <c r="AQ12" s="104"/>
      <c r="AR12" s="104">
        <f t="shared" si="12"/>
        <v>0</v>
      </c>
      <c r="AS12" s="104">
        <f t="shared" si="14"/>
        <v>4572.2995506964</v>
      </c>
      <c r="AT12" s="112"/>
      <c r="AU12" s="12">
        <f t="shared" si="10"/>
        <v>2415.7204493036006</v>
      </c>
      <c r="AV12" s="26">
        <f t="shared" si="11"/>
        <v>-2101.0899999999997</v>
      </c>
    </row>
    <row r="13" spans="1:48" ht="12.75" hidden="1">
      <c r="A13" s="9" t="s">
        <v>42</v>
      </c>
      <c r="B13" s="105">
        <v>896.9</v>
      </c>
      <c r="C13" s="106">
        <f t="shared" si="0"/>
        <v>7758.185</v>
      </c>
      <c r="D13" s="114">
        <v>2784.25</v>
      </c>
      <c r="E13" s="91">
        <v>300.58</v>
      </c>
      <c r="F13" s="91">
        <v>27.44</v>
      </c>
      <c r="G13" s="91">
        <v>407.22</v>
      </c>
      <c r="H13" s="91">
        <v>37.17</v>
      </c>
      <c r="I13" s="91">
        <v>1705.1</v>
      </c>
      <c r="J13" s="91">
        <v>163.4</v>
      </c>
      <c r="K13" s="91">
        <v>677.81</v>
      </c>
      <c r="L13" s="91">
        <v>61.86</v>
      </c>
      <c r="M13" s="91">
        <v>240.52</v>
      </c>
      <c r="N13" s="118">
        <v>21.92</v>
      </c>
      <c r="O13" s="72">
        <f t="shared" si="1"/>
        <v>3331.2299999999996</v>
      </c>
      <c r="P13" s="83">
        <f t="shared" si="2"/>
        <v>311.79</v>
      </c>
      <c r="Q13" s="110">
        <v>785.99</v>
      </c>
      <c r="R13" s="110">
        <v>1064.32</v>
      </c>
      <c r="S13" s="110">
        <v>2189.01</v>
      </c>
      <c r="T13" s="110">
        <v>1771.77</v>
      </c>
      <c r="U13" s="110">
        <v>628.83</v>
      </c>
      <c r="V13" s="105">
        <f t="shared" si="3"/>
        <v>6439.92</v>
      </c>
      <c r="W13" s="100">
        <f t="shared" si="4"/>
        <v>9535.96</v>
      </c>
      <c r="X13" s="100"/>
      <c r="Y13" s="99">
        <f t="shared" si="13"/>
        <v>538.14</v>
      </c>
      <c r="Z13" s="99">
        <f>B13*0.2*0.99426</f>
        <v>178.3503588</v>
      </c>
      <c r="AA13" s="99">
        <f>0.85*B13*0.98824</f>
        <v>753.3995876</v>
      </c>
      <c r="AB13" s="99">
        <f t="shared" si="5"/>
        <v>135.611925768</v>
      </c>
      <c r="AC13" s="99">
        <f>0.83*B13*0.99023</f>
        <v>737.15394821</v>
      </c>
      <c r="AD13" s="99">
        <f t="shared" si="6"/>
        <v>132.6877106778</v>
      </c>
      <c r="AE13" s="99">
        <f>1.91*B13*0.99023</f>
        <v>1696.34221817</v>
      </c>
      <c r="AF13" s="99">
        <f t="shared" si="7"/>
        <v>305.3415992706</v>
      </c>
      <c r="AG13" s="99">
        <v>0</v>
      </c>
      <c r="AH13" s="99">
        <f t="shared" si="8"/>
        <v>0</v>
      </c>
      <c r="AI13" s="113"/>
      <c r="AJ13" s="86">
        <f t="shared" si="8"/>
        <v>0</v>
      </c>
      <c r="AK13" s="101"/>
      <c r="AL13" s="101"/>
      <c r="AM13" s="101">
        <f>AK13*0.18</f>
        <v>0</v>
      </c>
      <c r="AN13" s="97">
        <v>248</v>
      </c>
      <c r="AO13" s="103">
        <v>0.3</v>
      </c>
      <c r="AP13" s="99">
        <f t="shared" si="9"/>
        <v>98.32704</v>
      </c>
      <c r="AQ13" s="104"/>
      <c r="AR13" s="104">
        <f t="shared" si="12"/>
        <v>0</v>
      </c>
      <c r="AS13" s="104">
        <f t="shared" si="14"/>
        <v>4575.3543884964</v>
      </c>
      <c r="AT13" s="112"/>
      <c r="AU13" s="12">
        <f t="shared" si="10"/>
        <v>4960.605611503599</v>
      </c>
      <c r="AV13" s="26">
        <f t="shared" si="11"/>
        <v>3108.6900000000005</v>
      </c>
    </row>
    <row r="14" spans="1:48" ht="12.75" hidden="1">
      <c r="A14" s="9" t="s">
        <v>43</v>
      </c>
      <c r="B14" s="105">
        <v>896.9</v>
      </c>
      <c r="C14" s="106">
        <f t="shared" si="0"/>
        <v>7758.185</v>
      </c>
      <c r="D14" s="114">
        <f>C14-E14-F14-G14-H14-I14-J14-K14-L14-M14-N14</f>
        <v>2784.215000000001</v>
      </c>
      <c r="E14" s="91">
        <v>525.08</v>
      </c>
      <c r="F14" s="91">
        <v>49</v>
      </c>
      <c r="G14" s="91">
        <v>711.28</v>
      </c>
      <c r="H14" s="91">
        <v>66.42</v>
      </c>
      <c r="I14" s="91">
        <v>1708.98</v>
      </c>
      <c r="J14" s="91">
        <v>159.53</v>
      </c>
      <c r="K14" s="91">
        <v>1183.88</v>
      </c>
      <c r="L14" s="91">
        <v>110.53</v>
      </c>
      <c r="M14" s="91">
        <v>420.07</v>
      </c>
      <c r="N14" s="118">
        <v>39.2</v>
      </c>
      <c r="O14" s="72">
        <f t="shared" si="1"/>
        <v>4549.29</v>
      </c>
      <c r="P14" s="83">
        <f t="shared" si="2"/>
        <v>424.68</v>
      </c>
      <c r="Q14" s="110">
        <v>337.84</v>
      </c>
      <c r="R14" s="110">
        <v>457.34</v>
      </c>
      <c r="S14" s="110">
        <v>1414.04</v>
      </c>
      <c r="T14" s="110">
        <v>761.42</v>
      </c>
      <c r="U14" s="110">
        <v>270.3</v>
      </c>
      <c r="V14" s="105">
        <f t="shared" si="3"/>
        <v>3240.94</v>
      </c>
      <c r="W14" s="100">
        <f t="shared" si="4"/>
        <v>6449.835000000001</v>
      </c>
      <c r="X14" s="100"/>
      <c r="Y14" s="99">
        <f t="shared" si="13"/>
        <v>538.14</v>
      </c>
      <c r="Z14" s="99">
        <f>B14*0.2*0.99875</f>
        <v>179.155775</v>
      </c>
      <c r="AA14" s="99">
        <f>0.85*B14*0.9883</f>
        <v>753.4453295</v>
      </c>
      <c r="AB14" s="99">
        <f t="shared" si="5"/>
        <v>135.62015931</v>
      </c>
      <c r="AC14" s="99">
        <f>0.83*B14*0.9903</f>
        <v>737.2060580999998</v>
      </c>
      <c r="AD14" s="99">
        <f t="shared" si="6"/>
        <v>132.69709045799996</v>
      </c>
      <c r="AE14" s="99">
        <f>1.91*B14*0.9902</f>
        <v>1696.2908258</v>
      </c>
      <c r="AF14" s="99">
        <f t="shared" si="7"/>
        <v>305.332348644</v>
      </c>
      <c r="AG14" s="99">
        <v>0</v>
      </c>
      <c r="AH14" s="99">
        <f t="shared" si="8"/>
        <v>0</v>
      </c>
      <c r="AI14" s="113"/>
      <c r="AJ14" s="86">
        <f t="shared" si="8"/>
        <v>0</v>
      </c>
      <c r="AK14" s="101">
        <v>3526.28</v>
      </c>
      <c r="AL14" s="101"/>
      <c r="AM14" s="74">
        <f>(AK14+AL14)*0.18</f>
        <v>634.7304</v>
      </c>
      <c r="AN14" s="97">
        <v>293</v>
      </c>
      <c r="AO14" s="103">
        <v>0.3</v>
      </c>
      <c r="AP14" s="99">
        <f t="shared" si="9"/>
        <v>116.16863999999998</v>
      </c>
      <c r="AQ14" s="104"/>
      <c r="AR14" s="104">
        <f t="shared" si="12"/>
        <v>0</v>
      </c>
      <c r="AS14" s="104">
        <f t="shared" si="14"/>
        <v>8755.066626812</v>
      </c>
      <c r="AT14" s="112"/>
      <c r="AU14" s="12">
        <f t="shared" si="10"/>
        <v>-2305.2316268119994</v>
      </c>
      <c r="AV14" s="26">
        <f t="shared" si="11"/>
        <v>-1308.35</v>
      </c>
    </row>
    <row r="15" spans="1:48" ht="12.75" hidden="1">
      <c r="A15" s="9" t="s">
        <v>44</v>
      </c>
      <c r="B15" s="105">
        <v>896.9</v>
      </c>
      <c r="C15" s="106">
        <f t="shared" si="0"/>
        <v>7758.185</v>
      </c>
      <c r="D15" s="114">
        <f>C15-E15-F15-G15-H15-I15-J15-K15-L15-M15-N15</f>
        <v>2784.215000000001</v>
      </c>
      <c r="E15" s="82">
        <v>525.08</v>
      </c>
      <c r="F15" s="82">
        <v>49</v>
      </c>
      <c r="G15" s="82">
        <v>711.28</v>
      </c>
      <c r="H15" s="82">
        <v>66.42</v>
      </c>
      <c r="I15" s="82">
        <v>1708.98</v>
      </c>
      <c r="J15" s="82">
        <v>159.53</v>
      </c>
      <c r="K15" s="82">
        <v>1183.88</v>
      </c>
      <c r="L15" s="82">
        <v>110.53</v>
      </c>
      <c r="M15" s="82">
        <v>420.07</v>
      </c>
      <c r="N15" s="108">
        <v>39.2</v>
      </c>
      <c r="O15" s="72">
        <f t="shared" si="1"/>
        <v>4549.29</v>
      </c>
      <c r="P15" s="83">
        <f t="shared" si="2"/>
        <v>424.68</v>
      </c>
      <c r="Q15" s="110">
        <v>435.01</v>
      </c>
      <c r="R15" s="110">
        <v>589.56</v>
      </c>
      <c r="S15" s="110">
        <v>1468.6</v>
      </c>
      <c r="T15" s="110">
        <v>981.31</v>
      </c>
      <c r="U15" s="110">
        <v>348.22</v>
      </c>
      <c r="V15" s="105">
        <f t="shared" si="3"/>
        <v>3822.7</v>
      </c>
      <c r="W15" s="100">
        <f t="shared" si="4"/>
        <v>7031.595000000001</v>
      </c>
      <c r="X15" s="100"/>
      <c r="Y15" s="99">
        <f t="shared" si="13"/>
        <v>538.14</v>
      </c>
      <c r="Z15" s="99">
        <f>B15*0.2*0.9997</f>
        <v>179.326186</v>
      </c>
      <c r="AA15" s="99">
        <f>0.85*B15*0.9883</f>
        <v>753.4453295</v>
      </c>
      <c r="AB15" s="99">
        <f t="shared" si="5"/>
        <v>135.62015931</v>
      </c>
      <c r="AC15" s="99">
        <f>(0.83*B15)*0.9902</f>
        <v>737.1316153999999</v>
      </c>
      <c r="AD15" s="99">
        <f t="shared" si="6"/>
        <v>132.68369077199998</v>
      </c>
      <c r="AE15" s="99">
        <f>1.91*B15*0.9902</f>
        <v>1696.2908258</v>
      </c>
      <c r="AF15" s="99">
        <f t="shared" si="7"/>
        <v>305.332348644</v>
      </c>
      <c r="AG15" s="99">
        <v>0</v>
      </c>
      <c r="AH15" s="99">
        <f t="shared" si="8"/>
        <v>0</v>
      </c>
      <c r="AI15" s="113"/>
      <c r="AJ15" s="86">
        <f t="shared" si="8"/>
        <v>0</v>
      </c>
      <c r="AK15" s="101">
        <v>2455.88</v>
      </c>
      <c r="AL15" s="101"/>
      <c r="AM15" s="74">
        <f>(AK15+AL15)*0.18</f>
        <v>442.0584</v>
      </c>
      <c r="AN15" s="97">
        <v>349</v>
      </c>
      <c r="AO15" s="103">
        <v>0.3</v>
      </c>
      <c r="AP15" s="99">
        <f t="shared" si="9"/>
        <v>138.37152</v>
      </c>
      <c r="AQ15" s="104"/>
      <c r="AR15" s="104">
        <f t="shared" si="12"/>
        <v>0</v>
      </c>
      <c r="AS15" s="104">
        <f t="shared" si="14"/>
        <v>7514.280075426</v>
      </c>
      <c r="AT15" s="112"/>
      <c r="AU15" s="12">
        <f t="shared" si="10"/>
        <v>-482.68507542599855</v>
      </c>
      <c r="AV15" s="26">
        <f t="shared" si="11"/>
        <v>-726.5900000000001</v>
      </c>
    </row>
    <row r="16" spans="1:48" ht="12.75" hidden="1">
      <c r="A16" s="9" t="s">
        <v>34</v>
      </c>
      <c r="B16" s="122">
        <v>896.9</v>
      </c>
      <c r="C16" s="81">
        <f t="shared" si="0"/>
        <v>7758.185</v>
      </c>
      <c r="D16" s="114">
        <f>C16-O16-P16</f>
        <v>2782.905</v>
      </c>
      <c r="E16" s="82">
        <v>525.08</v>
      </c>
      <c r="F16" s="82">
        <v>49</v>
      </c>
      <c r="G16" s="82">
        <v>711.28</v>
      </c>
      <c r="H16" s="82">
        <v>66.42</v>
      </c>
      <c r="I16" s="82">
        <v>1708.98</v>
      </c>
      <c r="J16" s="82">
        <v>160.84</v>
      </c>
      <c r="K16" s="82">
        <v>1183.88</v>
      </c>
      <c r="L16" s="82">
        <v>110.53</v>
      </c>
      <c r="M16" s="82">
        <v>420.07</v>
      </c>
      <c r="N16" s="85">
        <v>39.2</v>
      </c>
      <c r="O16" s="119">
        <f t="shared" si="1"/>
        <v>4549.29</v>
      </c>
      <c r="P16" s="120">
        <f t="shared" si="2"/>
        <v>425.99000000000007</v>
      </c>
      <c r="Q16" s="110">
        <v>511.59</v>
      </c>
      <c r="R16" s="110">
        <v>692.8</v>
      </c>
      <c r="S16" s="110">
        <v>1691.74</v>
      </c>
      <c r="T16" s="110">
        <v>1153.25</v>
      </c>
      <c r="U16" s="110">
        <v>409.27</v>
      </c>
      <c r="V16" s="85">
        <f t="shared" si="3"/>
        <v>4458.65</v>
      </c>
      <c r="W16" s="84">
        <f t="shared" si="4"/>
        <v>7667.545</v>
      </c>
      <c r="X16" s="79"/>
      <c r="Y16" s="121">
        <f t="shared" si="13"/>
        <v>538.14</v>
      </c>
      <c r="Z16" s="14">
        <f>B16*0.2</f>
        <v>179.38</v>
      </c>
      <c r="AA16" s="14">
        <f>0.85*B16</f>
        <v>762.365</v>
      </c>
      <c r="AB16" s="14">
        <f t="shared" si="5"/>
        <v>137.2257</v>
      </c>
      <c r="AC16" s="14">
        <f>(0.83*B16)</f>
        <v>744.4269999999999</v>
      </c>
      <c r="AD16" s="14">
        <f t="shared" si="6"/>
        <v>133.99685999999997</v>
      </c>
      <c r="AE16" s="14">
        <f>1.91*B16</f>
        <v>1713.079</v>
      </c>
      <c r="AF16" s="14">
        <f t="shared" si="7"/>
        <v>308.35422</v>
      </c>
      <c r="AG16" s="14">
        <v>0</v>
      </c>
      <c r="AH16" s="14">
        <f t="shared" si="8"/>
        <v>0</v>
      </c>
      <c r="AI16" s="113"/>
      <c r="AJ16" s="86">
        <f t="shared" si="8"/>
        <v>0</v>
      </c>
      <c r="AK16" s="74"/>
      <c r="AL16" s="74"/>
      <c r="AM16" s="74">
        <f>(AK16+AL16)*0.18</f>
        <v>0</v>
      </c>
      <c r="AN16" s="111">
        <v>425</v>
      </c>
      <c r="AO16" s="96">
        <v>0.3</v>
      </c>
      <c r="AP16" s="14">
        <f t="shared" si="9"/>
        <v>168.504</v>
      </c>
      <c r="AQ16" s="90"/>
      <c r="AR16" s="90">
        <f t="shared" si="12"/>
        <v>0</v>
      </c>
      <c r="AS16" s="90">
        <f t="shared" si="14"/>
        <v>4685.47178</v>
      </c>
      <c r="AT16" s="93"/>
      <c r="AU16" s="12">
        <f t="shared" si="10"/>
        <v>2982.07322</v>
      </c>
      <c r="AV16" s="26">
        <f t="shared" si="11"/>
        <v>-90.64000000000033</v>
      </c>
    </row>
    <row r="17" spans="1:48" ht="12.75" hidden="1">
      <c r="A17" s="9" t="s">
        <v>35</v>
      </c>
      <c r="B17" s="122">
        <v>896.9</v>
      </c>
      <c r="C17" s="81">
        <f t="shared" si="0"/>
        <v>7758.185</v>
      </c>
      <c r="D17" s="114">
        <f>C17-O17-P17</f>
        <v>2784.225000000001</v>
      </c>
      <c r="E17" s="82">
        <v>525.08</v>
      </c>
      <c r="F17" s="82">
        <v>49</v>
      </c>
      <c r="G17" s="82">
        <v>711.28</v>
      </c>
      <c r="H17" s="82">
        <v>66.42</v>
      </c>
      <c r="I17" s="82">
        <v>1708.97</v>
      </c>
      <c r="J17" s="82">
        <v>159.53</v>
      </c>
      <c r="K17" s="82">
        <v>1183.88</v>
      </c>
      <c r="L17" s="82">
        <v>110.53</v>
      </c>
      <c r="M17" s="82">
        <v>420.07</v>
      </c>
      <c r="N17" s="108">
        <v>39.2</v>
      </c>
      <c r="O17" s="119">
        <f t="shared" si="1"/>
        <v>4549.28</v>
      </c>
      <c r="P17" s="120">
        <f t="shared" si="2"/>
        <v>424.68</v>
      </c>
      <c r="Q17" s="123">
        <v>442.26</v>
      </c>
      <c r="R17" s="123">
        <v>599.28</v>
      </c>
      <c r="S17" s="123">
        <v>1450.25</v>
      </c>
      <c r="T17" s="123">
        <v>997.34</v>
      </c>
      <c r="U17" s="123">
        <v>353.81</v>
      </c>
      <c r="V17" s="85">
        <f t="shared" si="3"/>
        <v>3842.94</v>
      </c>
      <c r="W17" s="84">
        <f t="shared" si="4"/>
        <v>7051.845000000001</v>
      </c>
      <c r="X17" s="84"/>
      <c r="Y17" s="14">
        <f t="shared" si="13"/>
        <v>538.14</v>
      </c>
      <c r="Z17" s="14">
        <f>B17*0.2</f>
        <v>179.38</v>
      </c>
      <c r="AA17" s="14">
        <f>0.85*B17</f>
        <v>762.365</v>
      </c>
      <c r="AB17" s="14">
        <f t="shared" si="5"/>
        <v>137.2257</v>
      </c>
      <c r="AC17" s="14">
        <f>(0.83*B17)</f>
        <v>744.4269999999999</v>
      </c>
      <c r="AD17" s="14">
        <f t="shared" si="6"/>
        <v>133.99685999999997</v>
      </c>
      <c r="AE17" s="14">
        <f>1.91*B17</f>
        <v>1713.079</v>
      </c>
      <c r="AF17" s="14">
        <f t="shared" si="7"/>
        <v>308.35422</v>
      </c>
      <c r="AG17" s="14">
        <v>0</v>
      </c>
      <c r="AH17" s="14">
        <f t="shared" si="8"/>
        <v>0</v>
      </c>
      <c r="AI17" s="113"/>
      <c r="AJ17" s="86">
        <f t="shared" si="8"/>
        <v>0</v>
      </c>
      <c r="AK17" s="74"/>
      <c r="AL17" s="74"/>
      <c r="AM17" s="74">
        <f>AK17*0.18</f>
        <v>0</v>
      </c>
      <c r="AN17" s="111">
        <v>470</v>
      </c>
      <c r="AO17" s="96">
        <v>0.3</v>
      </c>
      <c r="AP17" s="14">
        <f t="shared" si="9"/>
        <v>186.34560000000002</v>
      </c>
      <c r="AQ17" s="90"/>
      <c r="AR17" s="90">
        <f t="shared" si="12"/>
        <v>0</v>
      </c>
      <c r="AS17" s="90">
        <f t="shared" si="14"/>
        <v>4703.31338</v>
      </c>
      <c r="AT17" s="93"/>
      <c r="AU17" s="12">
        <f t="shared" si="10"/>
        <v>2348.5316200000016</v>
      </c>
      <c r="AV17" s="26">
        <f t="shared" si="11"/>
        <v>-706.3399999999997</v>
      </c>
    </row>
    <row r="18" spans="1:48" ht="12.75" hidden="1">
      <c r="A18" s="9" t="s">
        <v>36</v>
      </c>
      <c r="B18" s="124">
        <v>896.9</v>
      </c>
      <c r="C18" s="106">
        <f t="shared" si="0"/>
        <v>7758.185</v>
      </c>
      <c r="D18" s="107">
        <f>C18-E18-F18-G18-H18-I18-J18-K18-L18-M18-N18</f>
        <v>2784.215000000001</v>
      </c>
      <c r="E18" s="125">
        <v>525.08</v>
      </c>
      <c r="F18" s="125">
        <v>49</v>
      </c>
      <c r="G18" s="125">
        <v>711.28</v>
      </c>
      <c r="H18" s="125">
        <v>66.42</v>
      </c>
      <c r="I18" s="125">
        <v>1708.98</v>
      </c>
      <c r="J18" s="125">
        <v>159.53</v>
      </c>
      <c r="K18" s="125">
        <v>1183.88</v>
      </c>
      <c r="L18" s="125">
        <v>110.53</v>
      </c>
      <c r="M18" s="125">
        <v>420.07</v>
      </c>
      <c r="N18" s="125">
        <v>39.2</v>
      </c>
      <c r="O18" s="71">
        <f t="shared" si="1"/>
        <v>4549.29</v>
      </c>
      <c r="P18" s="83">
        <f t="shared" si="2"/>
        <v>424.68</v>
      </c>
      <c r="Q18" s="110">
        <v>593.28</v>
      </c>
      <c r="R18" s="110">
        <v>803.23</v>
      </c>
      <c r="S18" s="110">
        <v>1935.19</v>
      </c>
      <c r="T18" s="110">
        <v>1337.22</v>
      </c>
      <c r="U18" s="110">
        <v>474.66</v>
      </c>
      <c r="V18" s="85">
        <f t="shared" si="3"/>
        <v>5143.58</v>
      </c>
      <c r="W18" s="84">
        <f t="shared" si="4"/>
        <v>8352.475</v>
      </c>
      <c r="X18" s="84"/>
      <c r="Y18" s="14">
        <f t="shared" si="13"/>
        <v>538.14</v>
      </c>
      <c r="Z18" s="14">
        <f>B18*0.2</f>
        <v>179.38</v>
      </c>
      <c r="AA18" s="14">
        <f>0.85*B18</f>
        <v>762.365</v>
      </c>
      <c r="AB18" s="14">
        <f t="shared" si="5"/>
        <v>137.2257</v>
      </c>
      <c r="AC18" s="14">
        <f>(0.83*B18)</f>
        <v>744.4269999999999</v>
      </c>
      <c r="AD18" s="14">
        <f t="shared" si="6"/>
        <v>133.99685999999997</v>
      </c>
      <c r="AE18" s="14">
        <f>1.91*B18</f>
        <v>1713.079</v>
      </c>
      <c r="AF18" s="14">
        <f t="shared" si="7"/>
        <v>308.35422</v>
      </c>
      <c r="AG18" s="14">
        <v>0</v>
      </c>
      <c r="AH18" s="14">
        <f t="shared" si="8"/>
        <v>0</v>
      </c>
      <c r="AI18" s="113"/>
      <c r="AJ18" s="86">
        <f t="shared" si="8"/>
        <v>0</v>
      </c>
      <c r="AK18" s="74"/>
      <c r="AL18" s="74"/>
      <c r="AM18" s="74">
        <f>AK18*0.18</f>
        <v>0</v>
      </c>
      <c r="AN18" s="111">
        <v>514</v>
      </c>
      <c r="AO18" s="96">
        <v>0.3</v>
      </c>
      <c r="AP18" s="14">
        <f t="shared" si="9"/>
        <v>203.79072</v>
      </c>
      <c r="AQ18" s="90"/>
      <c r="AR18" s="90">
        <f t="shared" si="12"/>
        <v>0</v>
      </c>
      <c r="AS18" s="90">
        <f t="shared" si="14"/>
        <v>4720.7585</v>
      </c>
      <c r="AT18" s="93"/>
      <c r="AU18" s="12">
        <f t="shared" si="10"/>
        <v>3631.7165000000005</v>
      </c>
      <c r="AV18" s="26">
        <f t="shared" si="11"/>
        <v>594.29</v>
      </c>
    </row>
    <row r="19" spans="1:48" s="18" customFormat="1" ht="12.75" hidden="1">
      <c r="A19" s="15" t="s">
        <v>5</v>
      </c>
      <c r="B19" s="51"/>
      <c r="C19" s="51">
        <f aca="true" t="shared" si="15" ref="C19:AM19">SUM(C9:C18)</f>
        <v>77581.84999999999</v>
      </c>
      <c r="D19" s="51">
        <f t="shared" si="15"/>
        <v>24212.666250000002</v>
      </c>
      <c r="E19" s="48">
        <f t="shared" si="15"/>
        <v>5137.5599999999995</v>
      </c>
      <c r="F19" s="48">
        <f t="shared" si="15"/>
        <v>495.8</v>
      </c>
      <c r="G19" s="48">
        <f t="shared" si="15"/>
        <v>6955.079999999999</v>
      </c>
      <c r="H19" s="48">
        <f t="shared" si="15"/>
        <v>671.53</v>
      </c>
      <c r="I19" s="48">
        <f t="shared" si="15"/>
        <v>16716.84</v>
      </c>
      <c r="J19" s="48">
        <f t="shared" si="15"/>
        <v>1614.8799999999999</v>
      </c>
      <c r="K19" s="48">
        <f t="shared" si="15"/>
        <v>11579.190000000002</v>
      </c>
      <c r="L19" s="48">
        <f t="shared" si="15"/>
        <v>1117.77</v>
      </c>
      <c r="M19" s="48">
        <f t="shared" si="15"/>
        <v>4110.170000000001</v>
      </c>
      <c r="N19" s="48">
        <f t="shared" si="15"/>
        <v>396.59999999999997</v>
      </c>
      <c r="O19" s="48">
        <f t="shared" si="15"/>
        <v>44498.84</v>
      </c>
      <c r="P19" s="48">
        <f t="shared" si="15"/>
        <v>4296.58</v>
      </c>
      <c r="Q19" s="52">
        <f t="shared" si="15"/>
        <v>4021.01</v>
      </c>
      <c r="R19" s="52">
        <f t="shared" si="15"/>
        <v>5443.1900000000005</v>
      </c>
      <c r="S19" s="52">
        <f t="shared" si="15"/>
        <v>13074.82</v>
      </c>
      <c r="T19" s="52">
        <f t="shared" si="15"/>
        <v>9062.59</v>
      </c>
      <c r="U19" s="52">
        <f t="shared" si="15"/>
        <v>3217.1899999999996</v>
      </c>
      <c r="V19" s="52">
        <f t="shared" si="15"/>
        <v>34818.799999999996</v>
      </c>
      <c r="W19" s="52">
        <f t="shared" si="15"/>
        <v>63328.04625</v>
      </c>
      <c r="X19" s="77">
        <f t="shared" si="15"/>
        <v>0</v>
      </c>
      <c r="Y19" s="16">
        <f t="shared" si="15"/>
        <v>5273.772</v>
      </c>
      <c r="Z19" s="16">
        <f t="shared" si="15"/>
        <v>1766.1144908</v>
      </c>
      <c r="AA19" s="16">
        <f t="shared" si="15"/>
        <v>7413.8519047</v>
      </c>
      <c r="AB19" s="16">
        <f t="shared" si="15"/>
        <v>1334.493342846</v>
      </c>
      <c r="AC19" s="16">
        <f t="shared" si="15"/>
        <v>7249.647005119998</v>
      </c>
      <c r="AD19" s="16">
        <f t="shared" si="15"/>
        <v>1304.9364609215997</v>
      </c>
      <c r="AE19" s="16">
        <f t="shared" si="15"/>
        <v>16682.398702540002</v>
      </c>
      <c r="AF19" s="16">
        <f t="shared" si="15"/>
        <v>3002.8317664572005</v>
      </c>
      <c r="AG19" s="16">
        <f t="shared" si="15"/>
        <v>0</v>
      </c>
      <c r="AH19" s="16">
        <f t="shared" si="15"/>
        <v>0</v>
      </c>
      <c r="AI19" s="16">
        <f t="shared" si="15"/>
        <v>0</v>
      </c>
      <c r="AJ19" s="16">
        <f t="shared" si="15"/>
        <v>0</v>
      </c>
      <c r="AK19" s="16">
        <f t="shared" si="15"/>
        <v>10783.86</v>
      </c>
      <c r="AL19" s="16">
        <f t="shared" si="15"/>
        <v>0</v>
      </c>
      <c r="AM19" s="16">
        <f t="shared" si="15"/>
        <v>1941.0947999999999</v>
      </c>
      <c r="AN19" s="16"/>
      <c r="AO19" s="16"/>
      <c r="AP19" s="16">
        <f aca="true" t="shared" si="16" ref="AP19:AV19">SUM(AP9:AP18)</f>
        <v>1381.7328</v>
      </c>
      <c r="AQ19" s="16">
        <f t="shared" si="16"/>
        <v>0</v>
      </c>
      <c r="AR19" s="16">
        <f t="shared" si="16"/>
        <v>0</v>
      </c>
      <c r="AS19" s="16">
        <f t="shared" si="16"/>
        <v>58134.7332733848</v>
      </c>
      <c r="AT19" s="16">
        <f t="shared" si="16"/>
        <v>0</v>
      </c>
      <c r="AU19" s="16">
        <f t="shared" si="16"/>
        <v>5193.312976615204</v>
      </c>
      <c r="AV19" s="17">
        <f t="shared" si="16"/>
        <v>-9680.04</v>
      </c>
    </row>
    <row r="20" spans="1:48" ht="12.75" hidden="1">
      <c r="A20" s="9"/>
      <c r="B20" s="10"/>
      <c r="C20" s="11"/>
      <c r="D20" s="11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2"/>
      <c r="P20" s="42"/>
      <c r="Q20" s="44"/>
      <c r="R20" s="44"/>
      <c r="S20" s="44"/>
      <c r="T20" s="44"/>
      <c r="U20" s="44"/>
      <c r="V20" s="44"/>
      <c r="W20" s="78"/>
      <c r="X20" s="79"/>
      <c r="Y20" s="14"/>
      <c r="Z20" s="14"/>
      <c r="AA20" s="14"/>
      <c r="AB20" s="14"/>
      <c r="AC20" s="14"/>
      <c r="AD20" s="14"/>
      <c r="AE20" s="14"/>
      <c r="AF20" s="14"/>
      <c r="AG20" s="13"/>
      <c r="AH20" s="13"/>
      <c r="AI20" s="13"/>
      <c r="AJ20" s="13"/>
      <c r="AK20" s="73"/>
      <c r="AL20" s="73"/>
      <c r="AM20" s="74"/>
      <c r="AN20" s="74"/>
      <c r="AO20" s="74"/>
      <c r="AP20" s="19"/>
      <c r="AQ20" s="13"/>
      <c r="AR20" s="14"/>
      <c r="AS20" s="14"/>
      <c r="AT20" s="14"/>
      <c r="AU20" s="14"/>
      <c r="AV20" s="8"/>
    </row>
    <row r="21" spans="1:48" s="18" customFormat="1" ht="13.5" hidden="1" thickBot="1">
      <c r="A21" s="20" t="s">
        <v>45</v>
      </c>
      <c r="B21" s="21"/>
      <c r="C21" s="21">
        <f>C19</f>
        <v>77581.84999999999</v>
      </c>
      <c r="D21" s="21">
        <f aca="true" t="shared" si="17" ref="D21:AV21">D19</f>
        <v>24212.666250000002</v>
      </c>
      <c r="E21" s="21">
        <f t="shared" si="17"/>
        <v>5137.5599999999995</v>
      </c>
      <c r="F21" s="21">
        <f t="shared" si="17"/>
        <v>495.8</v>
      </c>
      <c r="G21" s="21">
        <f t="shared" si="17"/>
        <v>6955.079999999999</v>
      </c>
      <c r="H21" s="21">
        <f t="shared" si="17"/>
        <v>671.53</v>
      </c>
      <c r="I21" s="21">
        <f t="shared" si="17"/>
        <v>16716.84</v>
      </c>
      <c r="J21" s="21">
        <f t="shared" si="17"/>
        <v>1614.8799999999999</v>
      </c>
      <c r="K21" s="21">
        <f t="shared" si="17"/>
        <v>11579.190000000002</v>
      </c>
      <c r="L21" s="21">
        <f t="shared" si="17"/>
        <v>1117.77</v>
      </c>
      <c r="M21" s="21">
        <f t="shared" si="17"/>
        <v>4110.170000000001</v>
      </c>
      <c r="N21" s="21">
        <f t="shared" si="17"/>
        <v>396.59999999999997</v>
      </c>
      <c r="O21" s="21">
        <f t="shared" si="17"/>
        <v>44498.84</v>
      </c>
      <c r="P21" s="21">
        <f t="shared" si="17"/>
        <v>4296.58</v>
      </c>
      <c r="Q21" s="21">
        <f t="shared" si="17"/>
        <v>4021.01</v>
      </c>
      <c r="R21" s="21">
        <f t="shared" si="17"/>
        <v>5443.1900000000005</v>
      </c>
      <c r="S21" s="21">
        <f t="shared" si="17"/>
        <v>13074.82</v>
      </c>
      <c r="T21" s="21">
        <f t="shared" si="17"/>
        <v>9062.59</v>
      </c>
      <c r="U21" s="21">
        <f t="shared" si="17"/>
        <v>3217.1899999999996</v>
      </c>
      <c r="V21" s="21">
        <f t="shared" si="17"/>
        <v>34818.799999999996</v>
      </c>
      <c r="W21" s="21">
        <f t="shared" si="17"/>
        <v>63328.04625</v>
      </c>
      <c r="X21" s="21">
        <f t="shared" si="17"/>
        <v>0</v>
      </c>
      <c r="Y21" s="21">
        <f t="shared" si="17"/>
        <v>5273.772</v>
      </c>
      <c r="Z21" s="21">
        <f t="shared" si="17"/>
        <v>1766.1144908</v>
      </c>
      <c r="AA21" s="21">
        <f t="shared" si="17"/>
        <v>7413.8519047</v>
      </c>
      <c r="AB21" s="21">
        <f t="shared" si="17"/>
        <v>1334.493342846</v>
      </c>
      <c r="AC21" s="21">
        <f t="shared" si="17"/>
        <v>7249.647005119998</v>
      </c>
      <c r="AD21" s="21">
        <f t="shared" si="17"/>
        <v>1304.9364609215997</v>
      </c>
      <c r="AE21" s="21">
        <f t="shared" si="17"/>
        <v>16682.398702540002</v>
      </c>
      <c r="AF21" s="21">
        <f t="shared" si="17"/>
        <v>3002.8317664572005</v>
      </c>
      <c r="AG21" s="21">
        <f t="shared" si="17"/>
        <v>0</v>
      </c>
      <c r="AH21" s="21">
        <f t="shared" si="17"/>
        <v>0</v>
      </c>
      <c r="AI21" s="21">
        <f t="shared" si="17"/>
        <v>0</v>
      </c>
      <c r="AJ21" s="21">
        <f t="shared" si="17"/>
        <v>0</v>
      </c>
      <c r="AK21" s="21">
        <f t="shared" si="17"/>
        <v>10783.86</v>
      </c>
      <c r="AL21" s="21">
        <f t="shared" si="17"/>
        <v>0</v>
      </c>
      <c r="AM21" s="21">
        <f t="shared" si="17"/>
        <v>1941.0947999999999</v>
      </c>
      <c r="AN21" s="21">
        <f t="shared" si="17"/>
        <v>0</v>
      </c>
      <c r="AO21" s="21">
        <f t="shared" si="17"/>
        <v>0</v>
      </c>
      <c r="AP21" s="21">
        <f t="shared" si="17"/>
        <v>1381.7328</v>
      </c>
      <c r="AQ21" s="21">
        <f t="shared" si="17"/>
        <v>0</v>
      </c>
      <c r="AR21" s="21">
        <f t="shared" si="17"/>
        <v>0</v>
      </c>
      <c r="AS21" s="21">
        <f t="shared" si="17"/>
        <v>58134.7332733848</v>
      </c>
      <c r="AT21" s="21">
        <f t="shared" si="17"/>
        <v>0</v>
      </c>
      <c r="AU21" s="21">
        <f t="shared" si="17"/>
        <v>5193.312976615204</v>
      </c>
      <c r="AV21" s="21">
        <f t="shared" si="17"/>
        <v>-9680.04</v>
      </c>
    </row>
    <row r="22" spans="1:48" ht="15" customHeight="1" hidden="1">
      <c r="A22" s="5" t="s">
        <v>84</v>
      </c>
      <c r="B22" s="49"/>
      <c r="C22" s="50"/>
      <c r="D22" s="50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6"/>
      <c r="P22" s="46"/>
      <c r="Q22" s="53"/>
      <c r="R22" s="53"/>
      <c r="S22" s="53"/>
      <c r="T22" s="53"/>
      <c r="U22" s="53"/>
      <c r="V22" s="45"/>
      <c r="W22" s="75"/>
      <c r="X22" s="76"/>
      <c r="Y22" s="12"/>
      <c r="Z22" s="12"/>
      <c r="AA22" s="12"/>
      <c r="AB22" s="12"/>
      <c r="AC22" s="12"/>
      <c r="AD22" s="12"/>
      <c r="AE22" s="12"/>
      <c r="AF22" s="12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12"/>
      <c r="AS22" s="12"/>
      <c r="AT22" s="12"/>
      <c r="AU22" s="12"/>
      <c r="AV22" s="26"/>
    </row>
    <row r="23" spans="1:48" ht="15" customHeight="1" hidden="1">
      <c r="A23" s="126" t="s">
        <v>82</v>
      </c>
      <c r="B23" s="124">
        <v>896.9</v>
      </c>
      <c r="C23" s="106">
        <f aca="true" t="shared" si="18" ref="C23:C34">B23*8.65</f>
        <v>7758.185</v>
      </c>
      <c r="D23" s="107">
        <f>C23-E23-F23-G23-H23-I23-J23-K23-L23-M23-N23</f>
        <v>2784.2050000000004</v>
      </c>
      <c r="E23" s="82">
        <v>505.88</v>
      </c>
      <c r="F23" s="82">
        <v>68.2</v>
      </c>
      <c r="G23" s="82">
        <v>685.26</v>
      </c>
      <c r="H23" s="82">
        <v>92.45</v>
      </c>
      <c r="I23" s="82">
        <v>1646.46</v>
      </c>
      <c r="J23" s="82">
        <v>222.05</v>
      </c>
      <c r="K23" s="82">
        <v>1140.56</v>
      </c>
      <c r="L23" s="82">
        <v>153.85</v>
      </c>
      <c r="M23" s="82">
        <v>404.71</v>
      </c>
      <c r="N23" s="108">
        <v>54.56</v>
      </c>
      <c r="O23" s="71">
        <f aca="true" t="shared" si="19" ref="O23:O34">E23+G23+I23+K23+M23</f>
        <v>4382.87</v>
      </c>
      <c r="P23" s="127">
        <f aca="true" t="shared" si="20" ref="P23:P34">N23+L23+J23+H23+F23</f>
        <v>591.1100000000001</v>
      </c>
      <c r="Q23" s="109">
        <v>487.6</v>
      </c>
      <c r="R23" s="110">
        <v>660.44</v>
      </c>
      <c r="S23" s="110">
        <v>1589.84</v>
      </c>
      <c r="T23" s="110">
        <v>1099.29</v>
      </c>
      <c r="U23" s="110">
        <v>390.05</v>
      </c>
      <c r="V23" s="105">
        <f>SUM(Q23:U23)</f>
        <v>4227.22</v>
      </c>
      <c r="W23" s="128">
        <f aca="true" t="shared" si="21" ref="W23:W34">D23+P23+V23</f>
        <v>7602.535000000001</v>
      </c>
      <c r="X23" s="84"/>
      <c r="Y23" s="14">
        <f aca="true" t="shared" si="22" ref="Y23:Y34">0.6*B23</f>
        <v>538.14</v>
      </c>
      <c r="Z23" s="14">
        <f aca="true" t="shared" si="23" ref="Z23:Z34">B23*0.2</f>
        <v>179.38</v>
      </c>
      <c r="AA23" s="14">
        <f aca="true" t="shared" si="24" ref="AA23:AA34">1*B23</f>
        <v>896.9</v>
      </c>
      <c r="AB23" s="14">
        <v>0</v>
      </c>
      <c r="AC23" s="14">
        <f>0.98*B23</f>
        <v>878.962</v>
      </c>
      <c r="AD23" s="14">
        <v>0</v>
      </c>
      <c r="AE23" s="14">
        <f aca="true" t="shared" si="25" ref="AE23:AE34">2.25*B23</f>
        <v>2018.0249999999999</v>
      </c>
      <c r="AF23" s="14">
        <v>0</v>
      </c>
      <c r="AG23" s="14">
        <v>0</v>
      </c>
      <c r="AH23" s="14">
        <f>AG23*0.18</f>
        <v>0</v>
      </c>
      <c r="AI23" s="86"/>
      <c r="AJ23" s="86"/>
      <c r="AK23" s="74"/>
      <c r="AL23" s="74"/>
      <c r="AM23" s="74"/>
      <c r="AN23" s="111">
        <v>508</v>
      </c>
      <c r="AO23" s="96">
        <v>0.3</v>
      </c>
      <c r="AP23" s="14">
        <f aca="true" t="shared" si="26" ref="AP23:AP34">AN23*AO23*1.4</f>
        <v>213.35999999999999</v>
      </c>
      <c r="AQ23" s="90"/>
      <c r="AR23" s="90">
        <f aca="true" t="shared" si="27" ref="AR23:AR34">AQ23*0.18</f>
        <v>0</v>
      </c>
      <c r="AS23" s="90">
        <f>SUM(Y23:AR23)-AN23-AO23</f>
        <v>4724.767</v>
      </c>
      <c r="AT23" s="93"/>
      <c r="AU23" s="12">
        <f aca="true" t="shared" si="28" ref="AU23:AU34">W23+X23-AS23-AT23</f>
        <v>2877.768000000001</v>
      </c>
      <c r="AV23" s="26">
        <f aca="true" t="shared" si="29" ref="AV23:AV34">V23-O23</f>
        <v>-155.64999999999964</v>
      </c>
    </row>
    <row r="24" spans="1:48" ht="15" customHeight="1" hidden="1">
      <c r="A24" s="126" t="s">
        <v>83</v>
      </c>
      <c r="B24" s="124">
        <v>896.9</v>
      </c>
      <c r="C24" s="106">
        <f t="shared" si="18"/>
        <v>7758.185</v>
      </c>
      <c r="D24" s="107">
        <f>C24-E24-F24-G24-H24-I24-J24-K24-L24-M24-N24</f>
        <v>2784.2150000000006</v>
      </c>
      <c r="E24" s="82">
        <v>502.04</v>
      </c>
      <c r="F24" s="82">
        <v>72.04</v>
      </c>
      <c r="G24" s="82">
        <v>680.05</v>
      </c>
      <c r="H24" s="82">
        <v>97.65</v>
      </c>
      <c r="I24" s="82">
        <v>1633.97</v>
      </c>
      <c r="J24" s="82">
        <v>234.54</v>
      </c>
      <c r="K24" s="82">
        <v>1131.91</v>
      </c>
      <c r="L24" s="82">
        <v>162.5</v>
      </c>
      <c r="M24" s="82">
        <v>401.64</v>
      </c>
      <c r="N24" s="108">
        <v>57.63</v>
      </c>
      <c r="O24" s="71">
        <f t="shared" si="19"/>
        <v>4349.610000000001</v>
      </c>
      <c r="P24" s="83">
        <f t="shared" si="20"/>
        <v>624.3599999999999</v>
      </c>
      <c r="Q24" s="110">
        <v>788.85</v>
      </c>
      <c r="R24" s="110">
        <v>1068.86</v>
      </c>
      <c r="S24" s="110">
        <v>2571.26</v>
      </c>
      <c r="T24" s="110">
        <v>1778.9</v>
      </c>
      <c r="U24" s="110">
        <v>631.15</v>
      </c>
      <c r="V24" s="105">
        <f>SUM(Q24:U24)</f>
        <v>6839.02</v>
      </c>
      <c r="W24" s="84">
        <f t="shared" si="21"/>
        <v>10247.595000000001</v>
      </c>
      <c r="X24" s="84"/>
      <c r="Y24" s="14">
        <f t="shared" si="22"/>
        <v>538.14</v>
      </c>
      <c r="Z24" s="14">
        <f t="shared" si="23"/>
        <v>179.38</v>
      </c>
      <c r="AA24" s="14">
        <f t="shared" si="24"/>
        <v>896.9</v>
      </c>
      <c r="AB24" s="14">
        <v>0</v>
      </c>
      <c r="AC24" s="14">
        <f>0.98*B24</f>
        <v>878.962</v>
      </c>
      <c r="AD24" s="14">
        <v>0</v>
      </c>
      <c r="AE24" s="14">
        <f t="shared" si="25"/>
        <v>2018.0249999999999</v>
      </c>
      <c r="AF24" s="14">
        <v>0</v>
      </c>
      <c r="AG24" s="14">
        <v>0</v>
      </c>
      <c r="AH24" s="14">
        <f>AG24*0.18</f>
        <v>0</v>
      </c>
      <c r="AI24" s="86"/>
      <c r="AJ24" s="86"/>
      <c r="AK24" s="74"/>
      <c r="AL24" s="74"/>
      <c r="AM24" s="74"/>
      <c r="AN24" s="111">
        <v>407</v>
      </c>
      <c r="AO24" s="96">
        <v>0.3</v>
      </c>
      <c r="AP24" s="14">
        <f t="shared" si="26"/>
        <v>170.93999999999997</v>
      </c>
      <c r="AQ24" s="90"/>
      <c r="AR24" s="90">
        <f t="shared" si="27"/>
        <v>0</v>
      </c>
      <c r="AS24" s="90">
        <f>SUM(Y24:AR24)-AN24-AO24</f>
        <v>4682.347</v>
      </c>
      <c r="AT24" s="93"/>
      <c r="AU24" s="12">
        <f t="shared" si="28"/>
        <v>5565.248000000001</v>
      </c>
      <c r="AV24" s="26">
        <f t="shared" si="29"/>
        <v>2489.41</v>
      </c>
    </row>
    <row r="25" spans="1:48" ht="12.75" hidden="1">
      <c r="A25" s="9" t="s">
        <v>38</v>
      </c>
      <c r="B25" s="124">
        <v>896.9</v>
      </c>
      <c r="C25" s="106">
        <f t="shared" si="18"/>
        <v>7758.185</v>
      </c>
      <c r="D25" s="107">
        <f>C25-E25-F25-G25-H25-I25-J25-K25-L25-M25-N25</f>
        <v>2784.2150000000006</v>
      </c>
      <c r="E25" s="82">
        <v>502.04</v>
      </c>
      <c r="F25" s="82">
        <v>72.04</v>
      </c>
      <c r="G25" s="82">
        <v>680.05</v>
      </c>
      <c r="H25" s="82">
        <v>97.65</v>
      </c>
      <c r="I25" s="82">
        <v>1633.97</v>
      </c>
      <c r="J25" s="82">
        <v>234.54</v>
      </c>
      <c r="K25" s="82">
        <v>1131.91</v>
      </c>
      <c r="L25" s="82">
        <v>162.5</v>
      </c>
      <c r="M25" s="82">
        <v>401.64</v>
      </c>
      <c r="N25" s="108">
        <v>57.63</v>
      </c>
      <c r="O25" s="71">
        <f t="shared" si="19"/>
        <v>4349.610000000001</v>
      </c>
      <c r="P25" s="83">
        <f t="shared" si="20"/>
        <v>624.3599999999999</v>
      </c>
      <c r="Q25" s="110">
        <v>556.26</v>
      </c>
      <c r="R25" s="110">
        <v>753.3</v>
      </c>
      <c r="S25" s="110">
        <v>1810.67</v>
      </c>
      <c r="T25" s="110">
        <v>1253.95</v>
      </c>
      <c r="U25" s="110">
        <v>444.95</v>
      </c>
      <c r="V25" s="105">
        <f>SUM(Q25:U25)</f>
        <v>4819.13</v>
      </c>
      <c r="W25" s="84">
        <f t="shared" si="21"/>
        <v>8227.705000000002</v>
      </c>
      <c r="X25" s="84"/>
      <c r="Y25" s="14">
        <f t="shared" si="22"/>
        <v>538.14</v>
      </c>
      <c r="Z25" s="14">
        <f t="shared" si="23"/>
        <v>179.38</v>
      </c>
      <c r="AA25" s="14">
        <f t="shared" si="24"/>
        <v>896.9</v>
      </c>
      <c r="AB25" s="14">
        <v>0</v>
      </c>
      <c r="AC25" s="14">
        <f>0.98*B25</f>
        <v>878.962</v>
      </c>
      <c r="AD25" s="14">
        <v>0</v>
      </c>
      <c r="AE25" s="14">
        <f t="shared" si="25"/>
        <v>2018.0249999999999</v>
      </c>
      <c r="AF25" s="14">
        <v>0</v>
      </c>
      <c r="AG25" s="14"/>
      <c r="AH25" s="14"/>
      <c r="AI25" s="86"/>
      <c r="AJ25" s="86"/>
      <c r="AK25" s="74"/>
      <c r="AL25" s="74"/>
      <c r="AM25" s="74"/>
      <c r="AN25" s="111">
        <v>383</v>
      </c>
      <c r="AO25" s="96">
        <v>0.3</v>
      </c>
      <c r="AP25" s="14">
        <f t="shared" si="26"/>
        <v>160.85999999999999</v>
      </c>
      <c r="AQ25" s="90"/>
      <c r="AR25" s="90">
        <f t="shared" si="27"/>
        <v>0</v>
      </c>
      <c r="AS25" s="90">
        <f>SUM(Y25:AR25)-AN25-AO25</f>
        <v>4672.267</v>
      </c>
      <c r="AT25" s="93"/>
      <c r="AU25" s="12">
        <f t="shared" si="28"/>
        <v>3555.438000000002</v>
      </c>
      <c r="AV25" s="26">
        <f t="shared" si="29"/>
        <v>469.5199999999995</v>
      </c>
    </row>
    <row r="26" spans="1:48" ht="12.75" hidden="1">
      <c r="A26" s="9" t="s">
        <v>39</v>
      </c>
      <c r="B26" s="124">
        <v>896.9</v>
      </c>
      <c r="C26" s="106">
        <f t="shared" si="18"/>
        <v>7758.185</v>
      </c>
      <c r="D26" s="107">
        <f>C26-E26-F26-G26-H26-I26-J26-K26-L26-M26-N26</f>
        <v>2784.215</v>
      </c>
      <c r="E26" s="82">
        <v>502.04</v>
      </c>
      <c r="F26" s="82">
        <v>72.04</v>
      </c>
      <c r="G26" s="82">
        <v>680.05</v>
      </c>
      <c r="H26" s="82">
        <v>97.65</v>
      </c>
      <c r="I26" s="82">
        <v>1633.97</v>
      </c>
      <c r="J26" s="82">
        <v>234.54</v>
      </c>
      <c r="K26" s="82">
        <v>1131.9</v>
      </c>
      <c r="L26" s="82">
        <v>162.5</v>
      </c>
      <c r="M26" s="82">
        <v>401.65</v>
      </c>
      <c r="N26" s="108">
        <v>57.63</v>
      </c>
      <c r="O26" s="71">
        <f t="shared" si="19"/>
        <v>4349.61</v>
      </c>
      <c r="P26" s="83">
        <f t="shared" si="20"/>
        <v>624.3599999999999</v>
      </c>
      <c r="Q26" s="110">
        <v>398.62</v>
      </c>
      <c r="R26" s="110">
        <v>539.94</v>
      </c>
      <c r="S26" s="110">
        <v>1298.2</v>
      </c>
      <c r="T26" s="110">
        <v>898.68</v>
      </c>
      <c r="U26" s="110">
        <v>318.92</v>
      </c>
      <c r="V26" s="105">
        <f aca="true" t="shared" si="30" ref="V26:V34">SUM(Q26:U26)</f>
        <v>3454.36</v>
      </c>
      <c r="W26" s="84">
        <f t="shared" si="21"/>
        <v>6862.9349999999995</v>
      </c>
      <c r="X26" s="84"/>
      <c r="Y26" s="14">
        <f t="shared" si="22"/>
        <v>538.14</v>
      </c>
      <c r="Z26" s="14">
        <f t="shared" si="23"/>
        <v>179.38</v>
      </c>
      <c r="AA26" s="14">
        <f t="shared" si="24"/>
        <v>896.9</v>
      </c>
      <c r="AB26" s="14">
        <v>0</v>
      </c>
      <c r="AC26" s="14">
        <f aca="true" t="shared" si="31" ref="AC26:AC34">(0.98*B26)</f>
        <v>878.962</v>
      </c>
      <c r="AD26" s="14">
        <v>0</v>
      </c>
      <c r="AE26" s="14">
        <f t="shared" si="25"/>
        <v>2018.0249999999999</v>
      </c>
      <c r="AF26" s="14">
        <v>0</v>
      </c>
      <c r="AG26" s="14"/>
      <c r="AH26" s="14"/>
      <c r="AI26" s="86"/>
      <c r="AJ26" s="86"/>
      <c r="AK26" s="74"/>
      <c r="AL26" s="74"/>
      <c r="AM26" s="74"/>
      <c r="AN26" s="111">
        <v>307</v>
      </c>
      <c r="AO26" s="96">
        <v>0.3</v>
      </c>
      <c r="AP26" s="14">
        <f t="shared" si="26"/>
        <v>128.94</v>
      </c>
      <c r="AQ26" s="90"/>
      <c r="AR26" s="90">
        <f t="shared" si="27"/>
        <v>0</v>
      </c>
      <c r="AS26" s="90">
        <f>SUM(Y26:AR26)-AN26-AO26</f>
        <v>4640.347</v>
      </c>
      <c r="AT26" s="93"/>
      <c r="AU26" s="12">
        <f t="shared" si="28"/>
        <v>2222.5879999999997</v>
      </c>
      <c r="AV26" s="26">
        <f t="shared" si="29"/>
        <v>-895.2499999999995</v>
      </c>
    </row>
    <row r="27" spans="1:48" ht="12.75" hidden="1">
      <c r="A27" s="9" t="s">
        <v>40</v>
      </c>
      <c r="B27" s="105">
        <v>896.9</v>
      </c>
      <c r="C27" s="106">
        <f t="shared" si="18"/>
        <v>7758.185</v>
      </c>
      <c r="D27" s="107">
        <f>C27-E27-F27-G27-H27-I27-J27-K27-L27-M27-N27</f>
        <v>2784.2350000000006</v>
      </c>
      <c r="E27" s="82">
        <v>502.05</v>
      </c>
      <c r="F27" s="82">
        <v>72.04</v>
      </c>
      <c r="G27" s="82">
        <v>680.03</v>
      </c>
      <c r="H27" s="82">
        <v>97.65</v>
      </c>
      <c r="I27" s="82">
        <v>1633.97</v>
      </c>
      <c r="J27" s="82">
        <v>234.54</v>
      </c>
      <c r="K27" s="82">
        <v>1131.91</v>
      </c>
      <c r="L27" s="82">
        <v>162.5</v>
      </c>
      <c r="M27" s="82">
        <v>401.63</v>
      </c>
      <c r="N27" s="108">
        <v>57.63</v>
      </c>
      <c r="O27" s="71">
        <f t="shared" si="19"/>
        <v>4349.59</v>
      </c>
      <c r="P27" s="83">
        <f t="shared" si="20"/>
        <v>624.3599999999999</v>
      </c>
      <c r="Q27" s="110">
        <v>396.97</v>
      </c>
      <c r="R27" s="110">
        <v>537.66</v>
      </c>
      <c r="S27" s="110">
        <v>1292.03</v>
      </c>
      <c r="T27" s="110">
        <v>894.9</v>
      </c>
      <c r="U27" s="110">
        <v>317.54</v>
      </c>
      <c r="V27" s="105">
        <f t="shared" si="30"/>
        <v>3439.1</v>
      </c>
      <c r="W27" s="84">
        <f t="shared" si="21"/>
        <v>6847.695</v>
      </c>
      <c r="X27" s="84"/>
      <c r="Y27" s="14">
        <f t="shared" si="22"/>
        <v>538.14</v>
      </c>
      <c r="Z27" s="14">
        <f t="shared" si="23"/>
        <v>179.38</v>
      </c>
      <c r="AA27" s="14">
        <f t="shared" si="24"/>
        <v>896.9</v>
      </c>
      <c r="AB27" s="14">
        <v>0</v>
      </c>
      <c r="AC27" s="14">
        <f t="shared" si="31"/>
        <v>878.962</v>
      </c>
      <c r="AD27" s="14">
        <v>0</v>
      </c>
      <c r="AE27" s="14">
        <f t="shared" si="25"/>
        <v>2018.0249999999999</v>
      </c>
      <c r="AF27" s="14">
        <v>0</v>
      </c>
      <c r="AG27" s="14"/>
      <c r="AH27" s="14"/>
      <c r="AI27" s="86"/>
      <c r="AJ27" s="86"/>
      <c r="AK27" s="74">
        <v>17215</v>
      </c>
      <c r="AL27" s="74"/>
      <c r="AM27" s="74"/>
      <c r="AN27" s="111">
        <v>263</v>
      </c>
      <c r="AO27" s="96">
        <v>0.3</v>
      </c>
      <c r="AP27" s="14">
        <f t="shared" si="26"/>
        <v>110.45999999999998</v>
      </c>
      <c r="AQ27" s="90"/>
      <c r="AR27" s="90">
        <f t="shared" si="27"/>
        <v>0</v>
      </c>
      <c r="AS27" s="90">
        <f>SUM(Y27:AR27)-AN27-AO27</f>
        <v>21836.867</v>
      </c>
      <c r="AT27" s="93"/>
      <c r="AU27" s="12">
        <f t="shared" si="28"/>
        <v>-14989.171999999999</v>
      </c>
      <c r="AV27" s="26">
        <f t="shared" si="29"/>
        <v>-910.4900000000002</v>
      </c>
    </row>
    <row r="28" spans="1:48" ht="12.75" hidden="1">
      <c r="A28" s="9" t="s">
        <v>41</v>
      </c>
      <c r="B28" s="105">
        <v>896.9</v>
      </c>
      <c r="C28" s="106">
        <f t="shared" si="18"/>
        <v>7758.185</v>
      </c>
      <c r="D28" s="107">
        <f>(C28-E28-F28-G28-H28-I28-J28-K28-L28-M28-N28)*0.80125+0.01</f>
        <v>2239.4596812500004</v>
      </c>
      <c r="E28" s="82">
        <v>488.48</v>
      </c>
      <c r="F28" s="82">
        <v>84.34</v>
      </c>
      <c r="G28" s="82">
        <v>661.74</v>
      </c>
      <c r="H28" s="82">
        <v>114.32</v>
      </c>
      <c r="I28" s="82">
        <v>1589.88</v>
      </c>
      <c r="J28" s="82">
        <v>274.59</v>
      </c>
      <c r="K28" s="82">
        <v>1101.38</v>
      </c>
      <c r="L28" s="82">
        <v>190.25</v>
      </c>
      <c r="M28" s="82">
        <v>390.79</v>
      </c>
      <c r="N28" s="108">
        <v>67.47</v>
      </c>
      <c r="O28" s="71">
        <f t="shared" si="19"/>
        <v>4232.27</v>
      </c>
      <c r="P28" s="83">
        <f t="shared" si="20"/>
        <v>730.9699999999999</v>
      </c>
      <c r="Q28" s="110">
        <v>345.83</v>
      </c>
      <c r="R28" s="110">
        <v>468.28</v>
      </c>
      <c r="S28" s="110">
        <v>1125.23</v>
      </c>
      <c r="T28" s="110">
        <v>779.49</v>
      </c>
      <c r="U28" s="110">
        <v>276.59</v>
      </c>
      <c r="V28" s="105">
        <f t="shared" si="30"/>
        <v>2995.42</v>
      </c>
      <c r="W28" s="84">
        <f t="shared" si="21"/>
        <v>5965.84968125</v>
      </c>
      <c r="X28" s="84"/>
      <c r="Y28" s="14">
        <f t="shared" si="22"/>
        <v>538.14</v>
      </c>
      <c r="Z28" s="14">
        <f t="shared" si="23"/>
        <v>179.38</v>
      </c>
      <c r="AA28" s="14">
        <f t="shared" si="24"/>
        <v>896.9</v>
      </c>
      <c r="AB28" s="14">
        <v>0</v>
      </c>
      <c r="AC28" s="14">
        <f t="shared" si="31"/>
        <v>878.962</v>
      </c>
      <c r="AD28" s="14">
        <v>0</v>
      </c>
      <c r="AE28" s="14">
        <f t="shared" si="25"/>
        <v>2018.0249999999999</v>
      </c>
      <c r="AF28" s="14">
        <v>0</v>
      </c>
      <c r="AG28" s="14"/>
      <c r="AH28" s="14"/>
      <c r="AI28" s="86"/>
      <c r="AJ28" s="86"/>
      <c r="AK28" s="74">
        <v>4923</v>
      </c>
      <c r="AL28" s="74"/>
      <c r="AM28" s="74"/>
      <c r="AN28" s="111">
        <v>233</v>
      </c>
      <c r="AO28" s="96">
        <v>0.3</v>
      </c>
      <c r="AP28" s="14">
        <f t="shared" si="26"/>
        <v>97.85999999999999</v>
      </c>
      <c r="AQ28" s="90"/>
      <c r="AR28" s="90">
        <f t="shared" si="27"/>
        <v>0</v>
      </c>
      <c r="AS28" s="90">
        <f aca="true" t="shared" si="32" ref="AS28:AS34">SUM(Y28:AM28)+AP28</f>
        <v>9532.267</v>
      </c>
      <c r="AT28" s="93"/>
      <c r="AU28" s="12">
        <f t="shared" si="28"/>
        <v>-3566.41731875</v>
      </c>
      <c r="AV28" s="26">
        <f t="shared" si="29"/>
        <v>-1236.8500000000004</v>
      </c>
    </row>
    <row r="29" spans="1:48" ht="12.75" hidden="1">
      <c r="A29" s="9" t="s">
        <v>42</v>
      </c>
      <c r="B29" s="129">
        <v>896.9</v>
      </c>
      <c r="C29" s="106">
        <f t="shared" si="18"/>
        <v>7758.185</v>
      </c>
      <c r="D29" s="107">
        <f>(C29-E29-F29-G29-H29-I29-J29-K29-L29-M29-N29)*0.805915</f>
        <v>2243.5666206250003</v>
      </c>
      <c r="E29" s="82">
        <v>574.12</v>
      </c>
      <c r="F29" s="82">
        <v>0</v>
      </c>
      <c r="G29" s="82">
        <v>777.75</v>
      </c>
      <c r="H29" s="82">
        <v>0</v>
      </c>
      <c r="I29" s="82">
        <v>1868.64</v>
      </c>
      <c r="J29" s="82">
        <v>0</v>
      </c>
      <c r="K29" s="82">
        <v>1294.5</v>
      </c>
      <c r="L29" s="82">
        <v>0</v>
      </c>
      <c r="M29" s="82">
        <v>459.3</v>
      </c>
      <c r="N29" s="108">
        <v>0</v>
      </c>
      <c r="O29" s="71">
        <f t="shared" si="19"/>
        <v>4974.31</v>
      </c>
      <c r="P29" s="83">
        <f t="shared" si="20"/>
        <v>0</v>
      </c>
      <c r="Q29" s="110">
        <v>624.01</v>
      </c>
      <c r="R29" s="110">
        <v>845.29</v>
      </c>
      <c r="S29" s="110">
        <v>2031.08</v>
      </c>
      <c r="T29" s="110">
        <v>1406.93</v>
      </c>
      <c r="U29" s="110">
        <v>499.22</v>
      </c>
      <c r="V29" s="105">
        <f t="shared" si="30"/>
        <v>5406.530000000001</v>
      </c>
      <c r="W29" s="84">
        <f t="shared" si="21"/>
        <v>7650.096620625001</v>
      </c>
      <c r="X29" s="84"/>
      <c r="Y29" s="14">
        <f t="shared" si="22"/>
        <v>538.14</v>
      </c>
      <c r="Z29" s="14">
        <f t="shared" si="23"/>
        <v>179.38</v>
      </c>
      <c r="AA29" s="14">
        <f t="shared" si="24"/>
        <v>896.9</v>
      </c>
      <c r="AB29" s="14">
        <v>0</v>
      </c>
      <c r="AC29" s="14">
        <f t="shared" si="31"/>
        <v>878.962</v>
      </c>
      <c r="AD29" s="14">
        <v>0</v>
      </c>
      <c r="AE29" s="14">
        <f t="shared" si="25"/>
        <v>2018.0249999999999</v>
      </c>
      <c r="AF29" s="14">
        <v>0</v>
      </c>
      <c r="AG29" s="14"/>
      <c r="AH29" s="14"/>
      <c r="AI29" s="86"/>
      <c r="AJ29" s="86"/>
      <c r="AK29" s="74"/>
      <c r="AL29" s="74"/>
      <c r="AM29" s="74"/>
      <c r="AN29" s="111">
        <v>248</v>
      </c>
      <c r="AO29" s="96">
        <v>0.3</v>
      </c>
      <c r="AP29" s="14">
        <f t="shared" si="26"/>
        <v>104.15999999999998</v>
      </c>
      <c r="AQ29" s="90"/>
      <c r="AR29" s="90">
        <f t="shared" si="27"/>
        <v>0</v>
      </c>
      <c r="AS29" s="90">
        <f t="shared" si="32"/>
        <v>4615.567</v>
      </c>
      <c r="AT29" s="93"/>
      <c r="AU29" s="12">
        <f t="shared" si="28"/>
        <v>3034.5296206250014</v>
      </c>
      <c r="AV29" s="26">
        <f t="shared" si="29"/>
        <v>432.22000000000025</v>
      </c>
    </row>
    <row r="30" spans="1:48" ht="12.75" hidden="1">
      <c r="A30" s="9" t="s">
        <v>43</v>
      </c>
      <c r="B30" s="105">
        <v>896.9</v>
      </c>
      <c r="C30" s="106">
        <f t="shared" si="18"/>
        <v>7758.185</v>
      </c>
      <c r="D30" s="107">
        <f>(C30-E30-F30-G30-H30-I30-J30-K30-L30-M30-N30)*0.857717</f>
        <v>2387.776913375</v>
      </c>
      <c r="E30" s="82">
        <v>574.12</v>
      </c>
      <c r="F30" s="82">
        <v>0</v>
      </c>
      <c r="G30" s="82">
        <v>777.75</v>
      </c>
      <c r="H30" s="82">
        <v>0</v>
      </c>
      <c r="I30" s="82">
        <v>1868.64</v>
      </c>
      <c r="J30" s="82">
        <v>0</v>
      </c>
      <c r="K30" s="82">
        <v>1294.5</v>
      </c>
      <c r="L30" s="82">
        <v>0</v>
      </c>
      <c r="M30" s="82">
        <v>459.3</v>
      </c>
      <c r="N30" s="108">
        <v>0</v>
      </c>
      <c r="O30" s="71">
        <f t="shared" si="19"/>
        <v>4974.31</v>
      </c>
      <c r="P30" s="83">
        <f t="shared" si="20"/>
        <v>0</v>
      </c>
      <c r="Q30" s="110">
        <v>452.1</v>
      </c>
      <c r="R30" s="110">
        <v>612.73</v>
      </c>
      <c r="S30" s="110">
        <v>1471.95</v>
      </c>
      <c r="T30" s="110">
        <v>1019.65</v>
      </c>
      <c r="U30" s="110">
        <v>361.73</v>
      </c>
      <c r="V30" s="105">
        <f t="shared" si="30"/>
        <v>3918.16</v>
      </c>
      <c r="W30" s="84">
        <f t="shared" si="21"/>
        <v>6305.936913375</v>
      </c>
      <c r="X30" s="84"/>
      <c r="Y30" s="14">
        <f t="shared" si="22"/>
        <v>538.14</v>
      </c>
      <c r="Z30" s="14">
        <f t="shared" si="23"/>
        <v>179.38</v>
      </c>
      <c r="AA30" s="14">
        <f t="shared" si="24"/>
        <v>896.9</v>
      </c>
      <c r="AB30" s="14">
        <v>0</v>
      </c>
      <c r="AC30" s="14">
        <f t="shared" si="31"/>
        <v>878.962</v>
      </c>
      <c r="AD30" s="14">
        <v>0</v>
      </c>
      <c r="AE30" s="14">
        <f t="shared" si="25"/>
        <v>2018.0249999999999</v>
      </c>
      <c r="AF30" s="14">
        <v>0</v>
      </c>
      <c r="AG30" s="14"/>
      <c r="AH30" s="14"/>
      <c r="AI30" s="86"/>
      <c r="AJ30" s="86"/>
      <c r="AK30" s="74"/>
      <c r="AL30" s="74">
        <f>47.8</f>
        <v>47.8</v>
      </c>
      <c r="AM30" s="74"/>
      <c r="AN30" s="111">
        <v>293</v>
      </c>
      <c r="AO30" s="96">
        <v>0.3</v>
      </c>
      <c r="AP30" s="14">
        <f t="shared" si="26"/>
        <v>123.05999999999997</v>
      </c>
      <c r="AQ30" s="90"/>
      <c r="AR30" s="90">
        <f t="shared" si="27"/>
        <v>0</v>
      </c>
      <c r="AS30" s="90">
        <f t="shared" si="32"/>
        <v>4682.267000000001</v>
      </c>
      <c r="AT30" s="93"/>
      <c r="AU30" s="12">
        <f t="shared" si="28"/>
        <v>1623.669913374999</v>
      </c>
      <c r="AV30" s="26">
        <f t="shared" si="29"/>
        <v>-1056.1500000000005</v>
      </c>
    </row>
    <row r="31" spans="1:48" ht="12.75" hidden="1">
      <c r="A31" s="9" t="s">
        <v>44</v>
      </c>
      <c r="B31" s="105">
        <v>896.9</v>
      </c>
      <c r="C31" s="106">
        <f t="shared" si="18"/>
        <v>7758.185</v>
      </c>
      <c r="D31" s="107">
        <f>(C31-E31-F31-G31-H31-I31-J31-K31-L31-M31-N31)*0.87553</f>
        <v>2437.3660787500003</v>
      </c>
      <c r="E31" s="82">
        <v>574.11</v>
      </c>
      <c r="F31" s="82">
        <v>0</v>
      </c>
      <c r="G31" s="82">
        <v>777.75</v>
      </c>
      <c r="H31" s="82">
        <v>0</v>
      </c>
      <c r="I31" s="82">
        <v>1868.64</v>
      </c>
      <c r="J31" s="82">
        <v>0</v>
      </c>
      <c r="K31" s="82">
        <v>1294.5</v>
      </c>
      <c r="L31" s="82">
        <v>0</v>
      </c>
      <c r="M31" s="82">
        <v>459.31</v>
      </c>
      <c r="N31" s="108">
        <v>0</v>
      </c>
      <c r="O31" s="71">
        <f t="shared" si="19"/>
        <v>4974.31</v>
      </c>
      <c r="P31" s="83">
        <f t="shared" si="20"/>
        <v>0</v>
      </c>
      <c r="Q31" s="110">
        <v>294.78</v>
      </c>
      <c r="R31" s="110">
        <v>399.65</v>
      </c>
      <c r="S31" s="110">
        <v>960.48</v>
      </c>
      <c r="T31" s="110">
        <v>664.96</v>
      </c>
      <c r="U31" s="110">
        <v>235.8</v>
      </c>
      <c r="V31" s="105">
        <f t="shared" si="30"/>
        <v>2555.67</v>
      </c>
      <c r="W31" s="84">
        <f t="shared" si="21"/>
        <v>4993.03607875</v>
      </c>
      <c r="X31" s="84"/>
      <c r="Y31" s="14">
        <f t="shared" si="22"/>
        <v>538.14</v>
      </c>
      <c r="Z31" s="14">
        <f t="shared" si="23"/>
        <v>179.38</v>
      </c>
      <c r="AA31" s="14">
        <f t="shared" si="24"/>
        <v>896.9</v>
      </c>
      <c r="AB31" s="14">
        <v>0</v>
      </c>
      <c r="AC31" s="14">
        <f t="shared" si="31"/>
        <v>878.962</v>
      </c>
      <c r="AD31" s="14">
        <v>0</v>
      </c>
      <c r="AE31" s="14">
        <f t="shared" si="25"/>
        <v>2018.0249999999999</v>
      </c>
      <c r="AF31" s="14">
        <v>0</v>
      </c>
      <c r="AG31" s="14"/>
      <c r="AH31" s="14"/>
      <c r="AI31" s="86"/>
      <c r="AJ31" s="86"/>
      <c r="AK31" s="74"/>
      <c r="AL31" s="74"/>
      <c r="AM31" s="74"/>
      <c r="AN31" s="111">
        <v>349</v>
      </c>
      <c r="AO31" s="96">
        <v>0.3</v>
      </c>
      <c r="AP31" s="14">
        <f t="shared" si="26"/>
        <v>146.57999999999998</v>
      </c>
      <c r="AQ31" s="90"/>
      <c r="AR31" s="90">
        <f t="shared" si="27"/>
        <v>0</v>
      </c>
      <c r="AS31" s="90">
        <f t="shared" si="32"/>
        <v>4657.987</v>
      </c>
      <c r="AT31" s="93"/>
      <c r="AU31" s="12">
        <f t="shared" si="28"/>
        <v>335.04907875000026</v>
      </c>
      <c r="AV31" s="26">
        <f t="shared" si="29"/>
        <v>-2418.6400000000003</v>
      </c>
    </row>
    <row r="32" spans="1:48" ht="12.75" hidden="1">
      <c r="A32" s="9" t="s">
        <v>34</v>
      </c>
      <c r="B32" s="105">
        <v>896.9</v>
      </c>
      <c r="C32" s="106">
        <f t="shared" si="18"/>
        <v>7758.185</v>
      </c>
      <c r="D32" s="107">
        <f>(C32-E32-F32-G32-H32-I32-J32-K32-L32-M32-N32)*0.811308</f>
        <v>2258.31232686</v>
      </c>
      <c r="E32" s="82">
        <v>574.12</v>
      </c>
      <c r="F32" s="82">
        <v>0</v>
      </c>
      <c r="G32" s="82">
        <v>777.75</v>
      </c>
      <c r="H32" s="82">
        <v>0</v>
      </c>
      <c r="I32" s="82">
        <v>1868.64</v>
      </c>
      <c r="J32" s="82">
        <v>0</v>
      </c>
      <c r="K32" s="82">
        <v>1294.5</v>
      </c>
      <c r="L32" s="82">
        <v>0</v>
      </c>
      <c r="M32" s="82">
        <v>459.63</v>
      </c>
      <c r="N32" s="108">
        <v>0</v>
      </c>
      <c r="O32" s="71">
        <f t="shared" si="19"/>
        <v>4974.64</v>
      </c>
      <c r="P32" s="83">
        <f t="shared" si="20"/>
        <v>0</v>
      </c>
      <c r="Q32" s="110">
        <v>553.59</v>
      </c>
      <c r="R32" s="110">
        <v>749.94</v>
      </c>
      <c r="S32" s="110">
        <v>1801.91</v>
      </c>
      <c r="T32" s="110">
        <v>1248.19</v>
      </c>
      <c r="U32" s="110">
        <v>442.88</v>
      </c>
      <c r="V32" s="105">
        <f t="shared" si="30"/>
        <v>4796.510000000001</v>
      </c>
      <c r="W32" s="84">
        <f t="shared" si="21"/>
        <v>7054.822326860001</v>
      </c>
      <c r="X32" s="84"/>
      <c r="Y32" s="14">
        <f t="shared" si="22"/>
        <v>538.14</v>
      </c>
      <c r="Z32" s="14">
        <f t="shared" si="23"/>
        <v>179.38</v>
      </c>
      <c r="AA32" s="14">
        <f t="shared" si="24"/>
        <v>896.9</v>
      </c>
      <c r="AB32" s="14">
        <v>0</v>
      </c>
      <c r="AC32" s="14">
        <f t="shared" si="31"/>
        <v>878.962</v>
      </c>
      <c r="AD32" s="14">
        <v>0</v>
      </c>
      <c r="AE32" s="14">
        <f t="shared" si="25"/>
        <v>2018.0249999999999</v>
      </c>
      <c r="AF32" s="14">
        <v>0</v>
      </c>
      <c r="AG32" s="14"/>
      <c r="AH32" s="14"/>
      <c r="AI32" s="86"/>
      <c r="AJ32" s="86"/>
      <c r="AK32" s="74"/>
      <c r="AL32" s="74"/>
      <c r="AM32" s="74"/>
      <c r="AN32" s="111">
        <v>425</v>
      </c>
      <c r="AO32" s="96">
        <v>0.3</v>
      </c>
      <c r="AP32" s="14">
        <f t="shared" si="26"/>
        <v>178.5</v>
      </c>
      <c r="AQ32" s="90"/>
      <c r="AR32" s="90">
        <f t="shared" si="27"/>
        <v>0</v>
      </c>
      <c r="AS32" s="90">
        <f t="shared" si="32"/>
        <v>4689.907</v>
      </c>
      <c r="AT32" s="93"/>
      <c r="AU32" s="12">
        <f t="shared" si="28"/>
        <v>2364.915326860001</v>
      </c>
      <c r="AV32" s="26">
        <f t="shared" si="29"/>
        <v>-178.1299999999992</v>
      </c>
    </row>
    <row r="33" spans="1:48" ht="12.75" hidden="1">
      <c r="A33" s="9" t="s">
        <v>35</v>
      </c>
      <c r="B33" s="105">
        <v>896.9</v>
      </c>
      <c r="C33" s="106">
        <f t="shared" si="18"/>
        <v>7758.185</v>
      </c>
      <c r="D33" s="107">
        <f>(C33-E33-F33-G33-H33-I33-J33-K33-L33-M33-N33)*0.870679</f>
        <v>2423.861501125</v>
      </c>
      <c r="E33" s="82">
        <v>574.12</v>
      </c>
      <c r="F33" s="82">
        <v>0</v>
      </c>
      <c r="G33" s="82">
        <v>777.75</v>
      </c>
      <c r="H33" s="82">
        <v>0</v>
      </c>
      <c r="I33" s="82">
        <v>1868.64</v>
      </c>
      <c r="J33" s="82">
        <v>0</v>
      </c>
      <c r="K33" s="82">
        <v>1294.5</v>
      </c>
      <c r="L33" s="82">
        <v>0</v>
      </c>
      <c r="M33" s="82">
        <v>459.3</v>
      </c>
      <c r="N33" s="108">
        <v>0</v>
      </c>
      <c r="O33" s="71">
        <f t="shared" si="19"/>
        <v>4974.31</v>
      </c>
      <c r="P33" s="83">
        <f t="shared" si="20"/>
        <v>0</v>
      </c>
      <c r="Q33" s="110">
        <v>491.31</v>
      </c>
      <c r="R33" s="110">
        <v>665.52</v>
      </c>
      <c r="S33" s="110">
        <v>1599.17</v>
      </c>
      <c r="T33" s="110">
        <v>1107.7</v>
      </c>
      <c r="U33" s="110">
        <v>393.03</v>
      </c>
      <c r="V33" s="105">
        <f t="shared" si="30"/>
        <v>4256.73</v>
      </c>
      <c r="W33" s="84">
        <f t="shared" si="21"/>
        <v>6680.591501125</v>
      </c>
      <c r="X33" s="84"/>
      <c r="Y33" s="14">
        <f t="shared" si="22"/>
        <v>538.14</v>
      </c>
      <c r="Z33" s="14">
        <f t="shared" si="23"/>
        <v>179.38</v>
      </c>
      <c r="AA33" s="14">
        <f t="shared" si="24"/>
        <v>896.9</v>
      </c>
      <c r="AB33" s="14">
        <v>0</v>
      </c>
      <c r="AC33" s="14">
        <f t="shared" si="31"/>
        <v>878.962</v>
      </c>
      <c r="AD33" s="14">
        <v>0</v>
      </c>
      <c r="AE33" s="14">
        <f t="shared" si="25"/>
        <v>2018.0249999999999</v>
      </c>
      <c r="AF33" s="14">
        <v>0</v>
      </c>
      <c r="AG33" s="14"/>
      <c r="AH33" s="14"/>
      <c r="AI33" s="86"/>
      <c r="AJ33" s="86"/>
      <c r="AK33" s="74"/>
      <c r="AL33" s="74"/>
      <c r="AM33" s="74"/>
      <c r="AN33" s="111">
        <v>470</v>
      </c>
      <c r="AO33" s="96">
        <v>0.3</v>
      </c>
      <c r="AP33" s="14">
        <f t="shared" si="26"/>
        <v>197.39999999999998</v>
      </c>
      <c r="AQ33" s="90"/>
      <c r="AR33" s="90">
        <f t="shared" si="27"/>
        <v>0</v>
      </c>
      <c r="AS33" s="90">
        <f t="shared" si="32"/>
        <v>4708.807</v>
      </c>
      <c r="AT33" s="93"/>
      <c r="AU33" s="12">
        <f t="shared" si="28"/>
        <v>1971.7845011250001</v>
      </c>
      <c r="AV33" s="26">
        <f t="shared" si="29"/>
        <v>-717.5800000000008</v>
      </c>
    </row>
    <row r="34" spans="1:48" ht="12.75" hidden="1">
      <c r="A34" s="9" t="s">
        <v>36</v>
      </c>
      <c r="B34" s="105">
        <v>896.9</v>
      </c>
      <c r="C34" s="106">
        <f t="shared" si="18"/>
        <v>7758.185</v>
      </c>
      <c r="D34" s="107">
        <f>(C34-E34-F34-G34-H34-I34-J34-K34-L34-M34-N34)*0.91496</f>
        <v>2528.4416372000005</v>
      </c>
      <c r="E34" s="82">
        <v>576.52</v>
      </c>
      <c r="F34" s="82">
        <v>0</v>
      </c>
      <c r="G34" s="82">
        <v>780.88</v>
      </c>
      <c r="H34" s="82">
        <v>0</v>
      </c>
      <c r="I34" s="82">
        <v>1876.34</v>
      </c>
      <c r="J34" s="82">
        <v>0</v>
      </c>
      <c r="K34" s="82">
        <v>1299.78</v>
      </c>
      <c r="L34" s="82">
        <v>0</v>
      </c>
      <c r="M34" s="82">
        <v>461.22</v>
      </c>
      <c r="N34" s="108">
        <v>0</v>
      </c>
      <c r="O34" s="71">
        <f t="shared" si="19"/>
        <v>4994.74</v>
      </c>
      <c r="P34" s="83">
        <f t="shared" si="20"/>
        <v>0</v>
      </c>
      <c r="Q34" s="110">
        <v>633.56</v>
      </c>
      <c r="R34" s="110">
        <v>858.32</v>
      </c>
      <c r="S34" s="110">
        <v>2061.88</v>
      </c>
      <c r="T34" s="110">
        <v>1428.41</v>
      </c>
      <c r="U34" s="110">
        <v>506.76</v>
      </c>
      <c r="V34" s="105">
        <f t="shared" si="30"/>
        <v>5488.93</v>
      </c>
      <c r="W34" s="84">
        <f t="shared" si="21"/>
        <v>8017.371637200001</v>
      </c>
      <c r="X34" s="84"/>
      <c r="Y34" s="14">
        <f t="shared" si="22"/>
        <v>538.14</v>
      </c>
      <c r="Z34" s="14">
        <f t="shared" si="23"/>
        <v>179.38</v>
      </c>
      <c r="AA34" s="14">
        <f t="shared" si="24"/>
        <v>896.9</v>
      </c>
      <c r="AB34" s="14">
        <v>0</v>
      </c>
      <c r="AC34" s="14">
        <f t="shared" si="31"/>
        <v>878.962</v>
      </c>
      <c r="AD34" s="14">
        <v>0</v>
      </c>
      <c r="AE34" s="14">
        <f t="shared" si="25"/>
        <v>2018.0249999999999</v>
      </c>
      <c r="AF34" s="14">
        <v>0</v>
      </c>
      <c r="AG34" s="14"/>
      <c r="AH34" s="14"/>
      <c r="AI34" s="86"/>
      <c r="AJ34" s="86"/>
      <c r="AK34" s="74"/>
      <c r="AL34" s="74"/>
      <c r="AM34" s="74"/>
      <c r="AN34" s="111">
        <v>514</v>
      </c>
      <c r="AO34" s="96">
        <v>0.3</v>
      </c>
      <c r="AP34" s="14">
        <f t="shared" si="26"/>
        <v>215.87999999999997</v>
      </c>
      <c r="AQ34" s="90"/>
      <c r="AR34" s="90">
        <f t="shared" si="27"/>
        <v>0</v>
      </c>
      <c r="AS34" s="90">
        <f t="shared" si="32"/>
        <v>4727.287</v>
      </c>
      <c r="AT34" s="93"/>
      <c r="AU34" s="12">
        <f t="shared" si="28"/>
        <v>3290.0846372000005</v>
      </c>
      <c r="AV34" s="26">
        <f t="shared" si="29"/>
        <v>494.1900000000005</v>
      </c>
    </row>
    <row r="35" spans="1:48" s="18" customFormat="1" ht="12.75" hidden="1">
      <c r="A35" s="15" t="s">
        <v>5</v>
      </c>
      <c r="B35" s="51"/>
      <c r="C35" s="17">
        <f aca="true" t="shared" si="33" ref="C35:AU35">SUM(C23:C34)</f>
        <v>93098.21999999999</v>
      </c>
      <c r="D35" s="17">
        <f t="shared" si="33"/>
        <v>30439.869759185007</v>
      </c>
      <c r="E35" s="17">
        <f t="shared" si="33"/>
        <v>6449.639999999999</v>
      </c>
      <c r="F35" s="17">
        <f t="shared" si="33"/>
        <v>440.70000000000005</v>
      </c>
      <c r="G35" s="17">
        <f t="shared" si="33"/>
        <v>8736.81</v>
      </c>
      <c r="H35" s="17">
        <f t="shared" si="33"/>
        <v>597.3699999999999</v>
      </c>
      <c r="I35" s="17">
        <f t="shared" si="33"/>
        <v>20991.76</v>
      </c>
      <c r="J35" s="17">
        <f t="shared" si="33"/>
        <v>1434.8</v>
      </c>
      <c r="K35" s="17">
        <f t="shared" si="33"/>
        <v>14541.85</v>
      </c>
      <c r="L35" s="17">
        <f t="shared" si="33"/>
        <v>994.1</v>
      </c>
      <c r="M35" s="17">
        <f t="shared" si="33"/>
        <v>5160.120000000001</v>
      </c>
      <c r="N35" s="17">
        <f t="shared" si="33"/>
        <v>352.54999999999995</v>
      </c>
      <c r="O35" s="17">
        <f t="shared" si="33"/>
        <v>55880.17999999999</v>
      </c>
      <c r="P35" s="17">
        <f t="shared" si="33"/>
        <v>3819.519999999999</v>
      </c>
      <c r="Q35" s="17">
        <f t="shared" si="33"/>
        <v>6023.480000000001</v>
      </c>
      <c r="R35" s="17">
        <f t="shared" si="33"/>
        <v>8159.93</v>
      </c>
      <c r="S35" s="17">
        <f t="shared" si="33"/>
        <v>19613.7</v>
      </c>
      <c r="T35" s="17">
        <f t="shared" si="33"/>
        <v>13581.050000000001</v>
      </c>
      <c r="U35" s="17">
        <f t="shared" si="33"/>
        <v>4818.620000000001</v>
      </c>
      <c r="V35" s="17">
        <f t="shared" si="33"/>
        <v>52196.780000000006</v>
      </c>
      <c r="W35" s="17">
        <f t="shared" si="33"/>
        <v>86456.16975918502</v>
      </c>
      <c r="X35" s="17">
        <f t="shared" si="33"/>
        <v>0</v>
      </c>
      <c r="Y35" s="17">
        <f t="shared" si="33"/>
        <v>6457.680000000001</v>
      </c>
      <c r="Z35" s="17">
        <f t="shared" si="33"/>
        <v>2152.5600000000004</v>
      </c>
      <c r="AA35" s="17">
        <f t="shared" si="33"/>
        <v>10762.799999999997</v>
      </c>
      <c r="AB35" s="17">
        <f t="shared" si="33"/>
        <v>0</v>
      </c>
      <c r="AC35" s="17">
        <f t="shared" si="33"/>
        <v>10547.543999999996</v>
      </c>
      <c r="AD35" s="17">
        <f t="shared" si="33"/>
        <v>0</v>
      </c>
      <c r="AE35" s="17">
        <f t="shared" si="33"/>
        <v>24216.300000000003</v>
      </c>
      <c r="AF35" s="17">
        <f t="shared" si="33"/>
        <v>0</v>
      </c>
      <c r="AG35" s="17">
        <f t="shared" si="33"/>
        <v>0</v>
      </c>
      <c r="AH35" s="17">
        <f t="shared" si="33"/>
        <v>0</v>
      </c>
      <c r="AI35" s="17">
        <f t="shared" si="33"/>
        <v>0</v>
      </c>
      <c r="AJ35" s="17">
        <f t="shared" si="33"/>
        <v>0</v>
      </c>
      <c r="AK35" s="17">
        <f t="shared" si="33"/>
        <v>22138</v>
      </c>
      <c r="AL35" s="17">
        <f t="shared" si="33"/>
        <v>47.8</v>
      </c>
      <c r="AM35" s="17">
        <f t="shared" si="33"/>
        <v>0</v>
      </c>
      <c r="AN35" s="17">
        <f t="shared" si="33"/>
        <v>4400</v>
      </c>
      <c r="AO35" s="17">
        <f t="shared" si="33"/>
        <v>3.599999999999999</v>
      </c>
      <c r="AP35" s="17">
        <f t="shared" si="33"/>
        <v>1847.9999999999998</v>
      </c>
      <c r="AQ35" s="17">
        <f t="shared" si="33"/>
        <v>0</v>
      </c>
      <c r="AR35" s="17">
        <f t="shared" si="33"/>
        <v>0</v>
      </c>
      <c r="AS35" s="17">
        <f t="shared" si="33"/>
        <v>78170.68400000001</v>
      </c>
      <c r="AT35" s="17">
        <f t="shared" si="33"/>
        <v>0</v>
      </c>
      <c r="AU35" s="17">
        <f t="shared" si="33"/>
        <v>8285.485759185009</v>
      </c>
      <c r="AV35" s="17">
        <f>SUM(AV23:AV34)</f>
        <v>-3683.4000000000005</v>
      </c>
    </row>
    <row r="36" spans="1:48" ht="12.75">
      <c r="A36" s="9"/>
      <c r="B36" s="10"/>
      <c r="C36" s="11"/>
      <c r="D36" s="11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2"/>
      <c r="P36" s="42"/>
      <c r="Q36" s="44"/>
      <c r="R36" s="44"/>
      <c r="S36" s="44"/>
      <c r="T36" s="44"/>
      <c r="U36" s="44"/>
      <c r="V36" s="44"/>
      <c r="W36" s="78"/>
      <c r="X36" s="79"/>
      <c r="Y36" s="14"/>
      <c r="Z36" s="14"/>
      <c r="AA36" s="14"/>
      <c r="AB36" s="14"/>
      <c r="AC36" s="14"/>
      <c r="AD36" s="14"/>
      <c r="AE36" s="14"/>
      <c r="AF36" s="14"/>
      <c r="AG36" s="13"/>
      <c r="AH36" s="13"/>
      <c r="AI36" s="13"/>
      <c r="AJ36" s="13"/>
      <c r="AK36" s="73"/>
      <c r="AL36" s="73"/>
      <c r="AM36" s="74"/>
      <c r="AN36" s="74"/>
      <c r="AO36" s="74"/>
      <c r="AP36" s="19"/>
      <c r="AQ36" s="13"/>
      <c r="AR36" s="14"/>
      <c r="AS36" s="14"/>
      <c r="AT36" s="14"/>
      <c r="AU36" s="14"/>
      <c r="AV36" s="8"/>
    </row>
    <row r="37" spans="1:48" s="18" customFormat="1" ht="13.5" thickBot="1">
      <c r="A37" s="20" t="s">
        <v>45</v>
      </c>
      <c r="B37" s="21"/>
      <c r="C37" s="21">
        <f aca="true" t="shared" si="34" ref="C37:AU37">C35+C21</f>
        <v>170680.06999999998</v>
      </c>
      <c r="D37" s="21">
        <f t="shared" si="34"/>
        <v>54652.53600918501</v>
      </c>
      <c r="E37" s="21">
        <f t="shared" si="34"/>
        <v>11587.199999999999</v>
      </c>
      <c r="F37" s="21">
        <f t="shared" si="34"/>
        <v>936.5</v>
      </c>
      <c r="G37" s="21">
        <f t="shared" si="34"/>
        <v>15691.89</v>
      </c>
      <c r="H37" s="21">
        <f t="shared" si="34"/>
        <v>1268.8999999999999</v>
      </c>
      <c r="I37" s="21">
        <f t="shared" si="34"/>
        <v>37708.6</v>
      </c>
      <c r="J37" s="21">
        <f t="shared" si="34"/>
        <v>3049.68</v>
      </c>
      <c r="K37" s="21">
        <f t="shared" si="34"/>
        <v>26121.04</v>
      </c>
      <c r="L37" s="21">
        <f t="shared" si="34"/>
        <v>2111.87</v>
      </c>
      <c r="M37" s="21">
        <f t="shared" si="34"/>
        <v>9270.29</v>
      </c>
      <c r="N37" s="21">
        <f t="shared" si="34"/>
        <v>749.1499999999999</v>
      </c>
      <c r="O37" s="21">
        <f t="shared" si="34"/>
        <v>100379.01999999999</v>
      </c>
      <c r="P37" s="21">
        <f t="shared" si="34"/>
        <v>8116.0999999999985</v>
      </c>
      <c r="Q37" s="21">
        <f t="shared" si="34"/>
        <v>10044.490000000002</v>
      </c>
      <c r="R37" s="21">
        <f t="shared" si="34"/>
        <v>13603.12</v>
      </c>
      <c r="S37" s="21">
        <f t="shared" si="34"/>
        <v>32688.52</v>
      </c>
      <c r="T37" s="21">
        <f t="shared" si="34"/>
        <v>22643.64</v>
      </c>
      <c r="U37" s="21">
        <f t="shared" si="34"/>
        <v>8035.81</v>
      </c>
      <c r="V37" s="21">
        <f t="shared" si="34"/>
        <v>87015.58</v>
      </c>
      <c r="W37" s="21">
        <f t="shared" si="34"/>
        <v>149784.216009185</v>
      </c>
      <c r="X37" s="21">
        <f t="shared" si="34"/>
        <v>0</v>
      </c>
      <c r="Y37" s="21">
        <f t="shared" si="34"/>
        <v>11731.452000000001</v>
      </c>
      <c r="Z37" s="21">
        <f t="shared" si="34"/>
        <v>3918.6744908000005</v>
      </c>
      <c r="AA37" s="21">
        <f t="shared" si="34"/>
        <v>18176.651904699997</v>
      </c>
      <c r="AB37" s="21">
        <f t="shared" si="34"/>
        <v>1334.493342846</v>
      </c>
      <c r="AC37" s="21">
        <f t="shared" si="34"/>
        <v>17797.191005119996</v>
      </c>
      <c r="AD37" s="21">
        <f t="shared" si="34"/>
        <v>1304.9364609215997</v>
      </c>
      <c r="AE37" s="21">
        <f t="shared" si="34"/>
        <v>40898.69870254</v>
      </c>
      <c r="AF37" s="21">
        <f t="shared" si="34"/>
        <v>3002.8317664572005</v>
      </c>
      <c r="AG37" s="21">
        <f t="shared" si="34"/>
        <v>0</v>
      </c>
      <c r="AH37" s="21">
        <f t="shared" si="34"/>
        <v>0</v>
      </c>
      <c r="AI37" s="21">
        <f t="shared" si="34"/>
        <v>0</v>
      </c>
      <c r="AJ37" s="21">
        <f t="shared" si="34"/>
        <v>0</v>
      </c>
      <c r="AK37" s="21">
        <f t="shared" si="34"/>
        <v>32921.86</v>
      </c>
      <c r="AL37" s="21">
        <f t="shared" si="34"/>
        <v>47.8</v>
      </c>
      <c r="AM37" s="21">
        <f t="shared" si="34"/>
        <v>1941.0947999999999</v>
      </c>
      <c r="AN37" s="21">
        <f t="shared" si="34"/>
        <v>4400</v>
      </c>
      <c r="AO37" s="21">
        <f t="shared" si="34"/>
        <v>3.599999999999999</v>
      </c>
      <c r="AP37" s="21">
        <f t="shared" si="34"/>
        <v>3229.7327999999998</v>
      </c>
      <c r="AQ37" s="21">
        <f t="shared" si="34"/>
        <v>0</v>
      </c>
      <c r="AR37" s="21">
        <f t="shared" si="34"/>
        <v>0</v>
      </c>
      <c r="AS37" s="21">
        <f t="shared" si="34"/>
        <v>136305.4172733848</v>
      </c>
      <c r="AT37" s="21">
        <f t="shared" si="34"/>
        <v>0</v>
      </c>
      <c r="AU37" s="21">
        <f t="shared" si="34"/>
        <v>13478.798735800214</v>
      </c>
      <c r="AV37" s="21">
        <f>AV35+AV21</f>
        <v>-13363.440000000002</v>
      </c>
    </row>
  </sheetData>
  <sheetProtection/>
  <mergeCells count="56">
    <mergeCell ref="A1:N1"/>
    <mergeCell ref="A3:A6"/>
    <mergeCell ref="B3:B6"/>
    <mergeCell ref="C3:C6"/>
    <mergeCell ref="D3:D6"/>
    <mergeCell ref="E3:N3"/>
    <mergeCell ref="E4:F4"/>
    <mergeCell ref="G4:H4"/>
    <mergeCell ref="I4:J4"/>
    <mergeCell ref="K4:L4"/>
    <mergeCell ref="M4:N4"/>
    <mergeCell ref="N5:N6"/>
    <mergeCell ref="AS5:AS6"/>
    <mergeCell ref="AV3:AV6"/>
    <mergeCell ref="Z5:Z6"/>
    <mergeCell ref="AA5:AA6"/>
    <mergeCell ref="AB5:AB6"/>
    <mergeCell ref="AC5:AC6"/>
    <mergeCell ref="AD5:AD6"/>
    <mergeCell ref="AE5:AE6"/>
    <mergeCell ref="AU3:AU6"/>
    <mergeCell ref="O3:P4"/>
    <mergeCell ref="Q3:V4"/>
    <mergeCell ref="W3:W6"/>
    <mergeCell ref="P5:P6"/>
    <mergeCell ref="Q5:Q6"/>
    <mergeCell ref="AH5:AH6"/>
    <mergeCell ref="AK5:AK6"/>
    <mergeCell ref="AT3:AT6"/>
    <mergeCell ref="I5:I6"/>
    <mergeCell ref="J5:J6"/>
    <mergeCell ref="L5:L6"/>
    <mergeCell ref="M5:M6"/>
    <mergeCell ref="E5:E6"/>
    <mergeCell ref="F5:F6"/>
    <mergeCell ref="G5:G6"/>
    <mergeCell ref="H5:H6"/>
    <mergeCell ref="K5:K6"/>
    <mergeCell ref="X3:X6"/>
    <mergeCell ref="Y3:AS4"/>
    <mergeCell ref="AF5:AF6"/>
    <mergeCell ref="AG5:AG6"/>
    <mergeCell ref="AN5:AP5"/>
    <mergeCell ref="AR5:AR6"/>
    <mergeCell ref="AI5:AI6"/>
    <mergeCell ref="AJ5:AJ6"/>
    <mergeCell ref="AL5:AL6"/>
    <mergeCell ref="AQ5:AQ6"/>
    <mergeCell ref="U5:U6"/>
    <mergeCell ref="O5:O6"/>
    <mergeCell ref="R5:R6"/>
    <mergeCell ref="S5:S6"/>
    <mergeCell ref="T5:T6"/>
    <mergeCell ref="V5:V6"/>
    <mergeCell ref="AM5:AM6"/>
    <mergeCell ref="Y5:Y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3"/>
  <sheetViews>
    <sheetView workbookViewId="0" topLeftCell="A19">
      <selection activeCell="H36" sqref="H36"/>
    </sheetView>
  </sheetViews>
  <sheetFormatPr defaultColWidth="9.00390625" defaultRowHeight="12.75"/>
  <cols>
    <col min="1" max="1" width="10.00390625" style="2" customWidth="1"/>
    <col min="2" max="2" width="9.125" style="2" customWidth="1"/>
    <col min="3" max="3" width="9.875" style="2" customWidth="1"/>
    <col min="4" max="4" width="9.625" style="2" customWidth="1"/>
    <col min="5" max="5" width="10.125" style="2" bestFit="1" customWidth="1"/>
    <col min="6" max="6" width="9.875" style="2" customWidth="1"/>
    <col min="7" max="7" width="11.00390625" style="2" customWidth="1"/>
    <col min="8" max="8" width="10.125" style="2" customWidth="1"/>
    <col min="9" max="9" width="9.25390625" style="2" customWidth="1"/>
    <col min="10" max="10" width="9.875" style="2" customWidth="1"/>
    <col min="11" max="11" width="10.875" style="2" customWidth="1"/>
    <col min="12" max="12" width="11.00390625" style="2" customWidth="1"/>
    <col min="13" max="13" width="9.375" style="2" customWidth="1"/>
    <col min="14" max="14" width="10.375" style="2" customWidth="1"/>
    <col min="15" max="15" width="10.75390625" style="2" customWidth="1"/>
    <col min="16" max="16" width="13.00390625" style="2" customWidth="1"/>
    <col min="17" max="16384" width="9.125" style="2" customWidth="1"/>
  </cols>
  <sheetData>
    <row r="1" spans="2:8" ht="20.25" customHeight="1">
      <c r="B1" s="217" t="s">
        <v>46</v>
      </c>
      <c r="C1" s="217"/>
      <c r="D1" s="217"/>
      <c r="E1" s="217"/>
      <c r="F1" s="217"/>
      <c r="G1" s="217"/>
      <c r="H1" s="217"/>
    </row>
    <row r="2" spans="2:8" ht="21" customHeight="1">
      <c r="B2" s="217" t="s">
        <v>47</v>
      </c>
      <c r="C2" s="217"/>
      <c r="D2" s="217"/>
      <c r="E2" s="217"/>
      <c r="F2" s="217"/>
      <c r="G2" s="217"/>
      <c r="H2" s="217"/>
    </row>
    <row r="5" spans="1:15" ht="12.75">
      <c r="A5" s="219" t="s">
        <v>80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</row>
    <row r="6" spans="1:15" ht="12.75">
      <c r="A6" s="220" t="s">
        <v>86</v>
      </c>
      <c r="B6" s="220"/>
      <c r="C6" s="220"/>
      <c r="D6" s="220"/>
      <c r="E6" s="220"/>
      <c r="F6" s="220"/>
      <c r="G6" s="220"/>
      <c r="H6" s="80"/>
      <c r="I6" s="80"/>
      <c r="J6" s="80"/>
      <c r="K6" s="80"/>
      <c r="L6" s="80"/>
      <c r="M6" s="80"/>
      <c r="N6" s="80"/>
      <c r="O6" s="80"/>
    </row>
    <row r="7" spans="1:15" ht="12.7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6" ht="13.5" thickBot="1">
      <c r="A8" s="218" t="s">
        <v>48</v>
      </c>
      <c r="B8" s="218"/>
      <c r="C8" s="218"/>
      <c r="D8" s="218"/>
      <c r="E8" s="218">
        <v>8.65</v>
      </c>
      <c r="F8" s="218"/>
    </row>
    <row r="9" spans="1:16" ht="12.75" customHeight="1">
      <c r="A9" s="172" t="s">
        <v>49</v>
      </c>
      <c r="B9" s="190" t="s">
        <v>1</v>
      </c>
      <c r="C9" s="193" t="s">
        <v>50</v>
      </c>
      <c r="D9" s="196" t="s">
        <v>3</v>
      </c>
      <c r="E9" s="209" t="s">
        <v>51</v>
      </c>
      <c r="F9" s="210"/>
      <c r="G9" s="213" t="s">
        <v>52</v>
      </c>
      <c r="H9" s="214"/>
      <c r="I9" s="199" t="s">
        <v>8</v>
      </c>
      <c r="J9" s="145"/>
      <c r="K9" s="145"/>
      <c r="L9" s="145"/>
      <c r="M9" s="145"/>
      <c r="N9" s="200"/>
      <c r="O9" s="186" t="s">
        <v>53</v>
      </c>
      <c r="P9" s="186" t="s">
        <v>10</v>
      </c>
    </row>
    <row r="10" spans="1:16" ht="12.75">
      <c r="A10" s="173"/>
      <c r="B10" s="191"/>
      <c r="C10" s="194"/>
      <c r="D10" s="197"/>
      <c r="E10" s="211"/>
      <c r="F10" s="212"/>
      <c r="G10" s="215"/>
      <c r="H10" s="216"/>
      <c r="I10" s="201"/>
      <c r="J10" s="136"/>
      <c r="K10" s="136"/>
      <c r="L10" s="136"/>
      <c r="M10" s="136"/>
      <c r="N10" s="202"/>
      <c r="O10" s="187"/>
      <c r="P10" s="187"/>
    </row>
    <row r="11" spans="1:16" ht="26.25" customHeight="1">
      <c r="A11" s="173"/>
      <c r="B11" s="191"/>
      <c r="C11" s="194"/>
      <c r="D11" s="197"/>
      <c r="E11" s="203" t="s">
        <v>54</v>
      </c>
      <c r="F11" s="204"/>
      <c r="G11" s="70" t="s">
        <v>55</v>
      </c>
      <c r="H11" s="181" t="s">
        <v>7</v>
      </c>
      <c r="I11" s="205" t="s">
        <v>56</v>
      </c>
      <c r="J11" s="207" t="s">
        <v>26</v>
      </c>
      <c r="K11" s="207" t="s">
        <v>57</v>
      </c>
      <c r="L11" s="207" t="s">
        <v>31</v>
      </c>
      <c r="M11" s="207" t="s">
        <v>58</v>
      </c>
      <c r="N11" s="181" t="s">
        <v>33</v>
      </c>
      <c r="O11" s="187"/>
      <c r="P11" s="187"/>
    </row>
    <row r="12" spans="1:16" ht="66.75" customHeight="1" thickBot="1">
      <c r="A12" s="189"/>
      <c r="B12" s="192"/>
      <c r="C12" s="195"/>
      <c r="D12" s="198"/>
      <c r="E12" s="54" t="s">
        <v>59</v>
      </c>
      <c r="F12" s="57" t="s">
        <v>17</v>
      </c>
      <c r="G12" s="67" t="s">
        <v>78</v>
      </c>
      <c r="H12" s="182"/>
      <c r="I12" s="206"/>
      <c r="J12" s="208"/>
      <c r="K12" s="208"/>
      <c r="L12" s="208"/>
      <c r="M12" s="208"/>
      <c r="N12" s="182"/>
      <c r="O12" s="188"/>
      <c r="P12" s="188"/>
    </row>
    <row r="13" spans="1:16" ht="13.5" thickBot="1">
      <c r="A13" s="55">
        <v>1</v>
      </c>
      <c r="B13" s="56">
        <v>2</v>
      </c>
      <c r="C13" s="55">
        <v>3</v>
      </c>
      <c r="D13" s="56">
        <v>4</v>
      </c>
      <c r="E13" s="55">
        <v>5</v>
      </c>
      <c r="F13" s="56">
        <v>6</v>
      </c>
      <c r="G13" s="55">
        <v>7</v>
      </c>
      <c r="H13" s="56">
        <v>8</v>
      </c>
      <c r="I13" s="55">
        <v>9</v>
      </c>
      <c r="J13" s="56">
        <v>10</v>
      </c>
      <c r="K13" s="55">
        <v>11</v>
      </c>
      <c r="L13" s="56">
        <v>12</v>
      </c>
      <c r="M13" s="55">
        <v>13</v>
      </c>
      <c r="N13" s="56">
        <v>14</v>
      </c>
      <c r="O13" s="55">
        <v>15</v>
      </c>
      <c r="P13" s="56">
        <v>16</v>
      </c>
    </row>
    <row r="14" spans="1:18" ht="12.75">
      <c r="A14" s="6" t="s">
        <v>37</v>
      </c>
      <c r="B14" s="35"/>
      <c r="C14" s="36"/>
      <c r="D14" s="37"/>
      <c r="E14" s="38"/>
      <c r="F14" s="40"/>
      <c r="G14" s="39"/>
      <c r="H14" s="40"/>
      <c r="I14" s="39"/>
      <c r="J14" s="12"/>
      <c r="K14" s="12"/>
      <c r="L14" s="27"/>
      <c r="M14" s="60"/>
      <c r="N14" s="26"/>
      <c r="O14" s="63"/>
      <c r="P14" s="63"/>
      <c r="Q14" s="1"/>
      <c r="R14" s="1"/>
    </row>
    <row r="15" spans="1:18" ht="12.75">
      <c r="A15" s="9" t="s">
        <v>38</v>
      </c>
      <c r="B15" s="68">
        <f>Лист1!B9</f>
        <v>896.9</v>
      </c>
      <c r="C15" s="23">
        <f aca="true" t="shared" si="0" ref="C15:C24">B15*8.65</f>
        <v>7758.185</v>
      </c>
      <c r="D15" s="24">
        <f>Лист1!D9</f>
        <v>969.773125</v>
      </c>
      <c r="E15" s="12">
        <f>Лист1!O9</f>
        <v>4092.8900000000003</v>
      </c>
      <c r="F15" s="26">
        <f>Лист1!P9</f>
        <v>408.29</v>
      </c>
      <c r="G15" s="25">
        <f>Лист1!V9</f>
        <v>0</v>
      </c>
      <c r="H15" s="26">
        <f>Лист1!W9</f>
        <v>1378.0631250000001</v>
      </c>
      <c r="I15" s="25">
        <f>Лист1!Y9</f>
        <v>484.326</v>
      </c>
      <c r="J15" s="12">
        <f>Лист1!AA9+Лист1!AB9</f>
        <v>801.45715463</v>
      </c>
      <c r="K15" s="12">
        <f>Лист1!Z9+Лист1!AC9+Лист1!AD9+Лист1!AE9+Лист1!AF9+Лист1!AG9+Лист1!AH9+Лист1!AI9+Лист1!AJ9</f>
        <v>2751.6852357019998</v>
      </c>
      <c r="L15" s="27">
        <f>Лист1!AK9+Лист1!AL9+Лист1!AM9+Лист1!AQ9+Лист1!AR9</f>
        <v>0</v>
      </c>
      <c r="M15" s="27">
        <f>Лист1!AP9</f>
        <v>151.85184</v>
      </c>
      <c r="N15" s="26">
        <f>Лист1!AS9</f>
        <v>4037.468390332</v>
      </c>
      <c r="O15" s="63">
        <f>Лист1!AU9</f>
        <v>-2659.405265332</v>
      </c>
      <c r="P15" s="63">
        <f>Лист1!AV9</f>
        <v>-4092.8900000000003</v>
      </c>
      <c r="Q15" s="1"/>
      <c r="R15" s="1"/>
    </row>
    <row r="16" spans="1:18" ht="12.75">
      <c r="A16" s="9" t="s">
        <v>39</v>
      </c>
      <c r="B16" s="68">
        <f>Лист1!B10</f>
        <v>896.9</v>
      </c>
      <c r="C16" s="23">
        <f t="shared" si="0"/>
        <v>7758.185</v>
      </c>
      <c r="D16" s="24">
        <f>Лист1!D10</f>
        <v>969.773125</v>
      </c>
      <c r="E16" s="12">
        <f>Лист1!O10</f>
        <v>4143.41</v>
      </c>
      <c r="F16" s="26">
        <f>Лист1!P10</f>
        <v>358.46</v>
      </c>
      <c r="G16" s="25">
        <f>Лист1!V10</f>
        <v>1686.3700000000001</v>
      </c>
      <c r="H16" s="26">
        <f>Лист1!W10</f>
        <v>3014.603125</v>
      </c>
      <c r="I16" s="25">
        <f>Лист1!Y10</f>
        <v>484.326</v>
      </c>
      <c r="J16" s="12">
        <f>Лист1!AA10+Лист1!AB10</f>
        <v>801.45715463</v>
      </c>
      <c r="K16" s="12">
        <f>Лист1!Z10+Лист1!AC10+Лист1!AD10+Лист1!AE10+Лист1!AF10+Лист1!AG10+Лист1!AH10+Лист1!AI10+Лист1!AJ10</f>
        <v>2754.4297497019998</v>
      </c>
      <c r="L16" s="27">
        <f>Лист1!AK10+Лист1!AL10+Лист1!AM10+Лист1!AQ10+Лист1!AR10</f>
        <v>0</v>
      </c>
      <c r="M16" s="27">
        <f>Лист1!AP10</f>
        <v>121.71936</v>
      </c>
      <c r="N16" s="26">
        <f>Лист1!AS10</f>
        <v>4313.784104332</v>
      </c>
      <c r="O16" s="63">
        <f>Лист1!AU10</f>
        <v>-1299.1809793320003</v>
      </c>
      <c r="P16" s="63">
        <f>Лист1!AV10</f>
        <v>-2457.04</v>
      </c>
      <c r="Q16" s="1"/>
      <c r="R16" s="1"/>
    </row>
    <row r="17" spans="1:18" ht="12.75">
      <c r="A17" s="9" t="s">
        <v>40</v>
      </c>
      <c r="B17" s="68">
        <f>Лист1!B11</f>
        <v>896.9</v>
      </c>
      <c r="C17" s="23">
        <f t="shared" si="0"/>
        <v>7758.185</v>
      </c>
      <c r="D17" s="24">
        <f>Лист1!D11</f>
        <v>2784.905</v>
      </c>
      <c r="E17" s="12">
        <f>Лист1!O11</f>
        <v>4463.29</v>
      </c>
      <c r="F17" s="26">
        <f>Лист1!P11</f>
        <v>509.99</v>
      </c>
      <c r="G17" s="25">
        <f>Лист1!V11</f>
        <v>2563.2099999999996</v>
      </c>
      <c r="H17" s="26">
        <f>Лист1!W11</f>
        <v>5858.105</v>
      </c>
      <c r="I17" s="25">
        <f>Лист1!Y11</f>
        <v>538.14</v>
      </c>
      <c r="J17" s="12">
        <f>Лист1!AA11+Лист1!AB11</f>
        <v>890.5048339299999</v>
      </c>
      <c r="K17" s="12">
        <f>Лист1!Z11+Лист1!AC11+Лист1!AD11+Лист1!AE11+Лист1!AF11+Лист1!AG11+Лист1!AH11+Лист1!AI11+Лист1!AJ11</f>
        <v>3058.01140336</v>
      </c>
      <c r="L17" s="27">
        <f>Лист1!AK11+Лист1!AL11+Лист1!AM11+Лист1!AQ11+Лист1!AR11</f>
        <v>5666.005999999999</v>
      </c>
      <c r="M17" s="27">
        <f>Лист1!AP11</f>
        <v>104.27423999999999</v>
      </c>
      <c r="N17" s="26">
        <f>Лист1!AS11</f>
        <v>10256.936477289999</v>
      </c>
      <c r="O17" s="63">
        <f>Лист1!AU11</f>
        <v>-4398.831477289999</v>
      </c>
      <c r="P17" s="63">
        <f>Лист1!AV11</f>
        <v>-1900.0800000000004</v>
      </c>
      <c r="Q17" s="1"/>
      <c r="R17" s="1"/>
    </row>
    <row r="18" spans="1:18" ht="12.75">
      <c r="A18" s="9" t="s">
        <v>41</v>
      </c>
      <c r="B18" s="68">
        <f>Лист1!B12</f>
        <v>896.9</v>
      </c>
      <c r="C18" s="23">
        <f t="shared" si="0"/>
        <v>7758.185</v>
      </c>
      <c r="D18" s="24">
        <f>Лист1!D12</f>
        <v>2784.19</v>
      </c>
      <c r="E18" s="12">
        <f>Лист1!O12</f>
        <v>5721.58</v>
      </c>
      <c r="F18" s="26">
        <f>Лист1!P12</f>
        <v>583.3399999999999</v>
      </c>
      <c r="G18" s="25">
        <f>Лист1!V12</f>
        <v>3620.4900000000002</v>
      </c>
      <c r="H18" s="26">
        <f>Лист1!W12</f>
        <v>6988.02</v>
      </c>
      <c r="I18" s="25">
        <f>Лист1!Y12</f>
        <v>538.14</v>
      </c>
      <c r="J18" s="12">
        <f>Лист1!AA12+Лист1!AB12</f>
        <v>889.011513368</v>
      </c>
      <c r="K18" s="12">
        <f>Лист1!Z12+Лист1!AC12+Лист1!AD12+Лист1!AE12+Лист1!AF12+Лист1!AG12+Лист1!AH12+Лист1!AI12+Лист1!AJ12</f>
        <v>3052.7681973284</v>
      </c>
      <c r="L18" s="27">
        <f>Лист1!AK12+Лист1!AL12+Лист1!AM12+Лист1!AQ12+Лист1!AR12</f>
        <v>0</v>
      </c>
      <c r="M18" s="27">
        <f>Лист1!AP12</f>
        <v>92.37983999999999</v>
      </c>
      <c r="N18" s="26">
        <f>Лист1!AS12</f>
        <v>4572.2995506964</v>
      </c>
      <c r="O18" s="63">
        <f>Лист1!AU12</f>
        <v>2415.7204493036006</v>
      </c>
      <c r="P18" s="63">
        <f>Лист1!AV12</f>
        <v>-2101.0899999999997</v>
      </c>
      <c r="Q18" s="1"/>
      <c r="R18" s="1"/>
    </row>
    <row r="19" spans="1:18" ht="12.75">
      <c r="A19" s="9" t="s">
        <v>42</v>
      </c>
      <c r="B19" s="68">
        <f>Лист1!B13</f>
        <v>896.9</v>
      </c>
      <c r="C19" s="23">
        <f t="shared" si="0"/>
        <v>7758.185</v>
      </c>
      <c r="D19" s="24">
        <f>Лист1!D13</f>
        <v>2784.25</v>
      </c>
      <c r="E19" s="12">
        <f>Лист1!O13</f>
        <v>3331.2299999999996</v>
      </c>
      <c r="F19" s="26">
        <f>Лист1!P13</f>
        <v>311.79</v>
      </c>
      <c r="G19" s="25">
        <f>Лист1!V13</f>
        <v>6439.92</v>
      </c>
      <c r="H19" s="26">
        <f>Лист1!W13</f>
        <v>9535.96</v>
      </c>
      <c r="I19" s="25">
        <f>Лист1!Y13</f>
        <v>538.14</v>
      </c>
      <c r="J19" s="12">
        <f>Лист1!AA13+Лист1!AB13</f>
        <v>889.011513368</v>
      </c>
      <c r="K19" s="12">
        <f>Лист1!Z13+Лист1!AC13+Лист1!AD13+Лист1!AE13+Лист1!AF13+Лист1!AG13+Лист1!AH13+Лист1!AI13+Лист1!AJ13</f>
        <v>3049.8758351284</v>
      </c>
      <c r="L19" s="27">
        <f>Лист1!AK13+Лист1!AL13+Лист1!AM13+Лист1!AQ13+Лист1!AR13</f>
        <v>0</v>
      </c>
      <c r="M19" s="27">
        <f>Лист1!AP13</f>
        <v>98.32704</v>
      </c>
      <c r="N19" s="26">
        <f>Лист1!AS13</f>
        <v>4575.3543884964</v>
      </c>
      <c r="O19" s="63">
        <f>Лист1!AU13</f>
        <v>4960.605611503599</v>
      </c>
      <c r="P19" s="63">
        <f>Лист1!AV13</f>
        <v>3108.6900000000005</v>
      </c>
      <c r="Q19" s="1"/>
      <c r="R19" s="1"/>
    </row>
    <row r="20" spans="1:18" ht="12.75">
      <c r="A20" s="9" t="s">
        <v>43</v>
      </c>
      <c r="B20" s="68">
        <f>Лист1!B14</f>
        <v>896.9</v>
      </c>
      <c r="C20" s="23">
        <f t="shared" si="0"/>
        <v>7758.185</v>
      </c>
      <c r="D20" s="24">
        <f>Лист1!D14</f>
        <v>2784.215000000001</v>
      </c>
      <c r="E20" s="12">
        <f>Лист1!O14</f>
        <v>4549.29</v>
      </c>
      <c r="F20" s="26">
        <f>Лист1!P14</f>
        <v>424.68</v>
      </c>
      <c r="G20" s="25">
        <f>Лист1!V14</f>
        <v>3240.94</v>
      </c>
      <c r="H20" s="26">
        <f>Лист1!W14</f>
        <v>6449.835000000001</v>
      </c>
      <c r="I20" s="25">
        <f>Лист1!Y14</f>
        <v>538.14</v>
      </c>
      <c r="J20" s="12">
        <f>Лист1!AA14+Лист1!AB14</f>
        <v>889.0654888099999</v>
      </c>
      <c r="K20" s="12">
        <f>Лист1!Z14+Лист1!AC14+Лист1!AD14+Лист1!AE14+Лист1!AF14+Лист1!AG14+Лист1!AH14+Лист1!AI14+Лист1!AJ14</f>
        <v>3050.6820980019997</v>
      </c>
      <c r="L20" s="27">
        <f>Лист1!AK14+Лист1!AL14+Лист1!AM14+Лист1!AQ14+Лист1!AR14</f>
        <v>4161.0104</v>
      </c>
      <c r="M20" s="27">
        <f>Лист1!AP14</f>
        <v>116.16863999999998</v>
      </c>
      <c r="N20" s="26">
        <f>Лист1!AS14</f>
        <v>8755.066626812</v>
      </c>
      <c r="O20" s="63">
        <f>Лист1!AU14</f>
        <v>-2305.2316268119994</v>
      </c>
      <c r="P20" s="63">
        <f>Лист1!AV14</f>
        <v>-1308.35</v>
      </c>
      <c r="Q20" s="1"/>
      <c r="R20" s="1"/>
    </row>
    <row r="21" spans="1:18" ht="12.75">
      <c r="A21" s="9" t="s">
        <v>44</v>
      </c>
      <c r="B21" s="68">
        <f>Лист1!B15</f>
        <v>896.9</v>
      </c>
      <c r="C21" s="23">
        <f t="shared" si="0"/>
        <v>7758.185</v>
      </c>
      <c r="D21" s="24">
        <f>Лист1!D15</f>
        <v>2784.215000000001</v>
      </c>
      <c r="E21" s="12">
        <f>Лист1!O15</f>
        <v>4549.29</v>
      </c>
      <c r="F21" s="26">
        <f>Лист1!P15</f>
        <v>424.68</v>
      </c>
      <c r="G21" s="25">
        <f>Лист1!V15</f>
        <v>3822.7</v>
      </c>
      <c r="H21" s="26">
        <f>Лист1!W15</f>
        <v>7031.595000000001</v>
      </c>
      <c r="I21" s="25">
        <f>Лист1!Y15</f>
        <v>538.14</v>
      </c>
      <c r="J21" s="12">
        <f>Лист1!AA15+Лист1!AB15</f>
        <v>889.0654888099999</v>
      </c>
      <c r="K21" s="12">
        <f>Лист1!Z15+Лист1!AC15+Лист1!AD15+Лист1!AE15+Лист1!AF15+Лист1!AG15+Лист1!AH15+Лист1!AI15+Лист1!AJ15</f>
        <v>3050.7646666159994</v>
      </c>
      <c r="L21" s="27">
        <f>Лист1!AK15+Лист1!AL15+Лист1!AM15+Лист1!AQ15+Лист1!AR15</f>
        <v>2897.9384</v>
      </c>
      <c r="M21" s="27">
        <f>Лист1!AP15</f>
        <v>138.37152</v>
      </c>
      <c r="N21" s="26">
        <f>Лист1!AS15</f>
        <v>7514.280075426</v>
      </c>
      <c r="O21" s="63">
        <f>Лист1!AU15</f>
        <v>-482.68507542599855</v>
      </c>
      <c r="P21" s="63">
        <f>Лист1!AV15</f>
        <v>-726.5900000000001</v>
      </c>
      <c r="Q21" s="1"/>
      <c r="R21" s="1"/>
    </row>
    <row r="22" spans="1:18" ht="12.75">
      <c r="A22" s="9" t="s">
        <v>34</v>
      </c>
      <c r="B22" s="68">
        <f>Лист1!B16</f>
        <v>896.9</v>
      </c>
      <c r="C22" s="23">
        <f>B22*8.65</f>
        <v>7758.185</v>
      </c>
      <c r="D22" s="24">
        <f>Лист1!D16</f>
        <v>2782.905</v>
      </c>
      <c r="E22" s="12">
        <f>Лист1!O16</f>
        <v>4549.29</v>
      </c>
      <c r="F22" s="26">
        <f>Лист1!P16</f>
        <v>425.99000000000007</v>
      </c>
      <c r="G22" s="25">
        <f>Лист1!V16</f>
        <v>4458.65</v>
      </c>
      <c r="H22" s="26">
        <f>Лист1!W16</f>
        <v>7667.545</v>
      </c>
      <c r="I22" s="25">
        <f>Лист1!Y16</f>
        <v>538.14</v>
      </c>
      <c r="J22" s="12">
        <f>Лист1!AA16+Лист1!AB16</f>
        <v>899.5907</v>
      </c>
      <c r="K22" s="12">
        <f>Лист1!Z16+Лист1!AC16+Лист1!AD16+Лист1!AE16+Лист1!AF16+Лист1!AG16+Лист1!AH16+Лист1!AI16+Лист1!AJ16</f>
        <v>3079.23708</v>
      </c>
      <c r="L22" s="27">
        <f>Лист1!AK16+Лист1!AL16+Лист1!AM16+Лист1!AQ16+Лист1!AR16</f>
        <v>0</v>
      </c>
      <c r="M22" s="27">
        <f>Лист1!AP16</f>
        <v>168.504</v>
      </c>
      <c r="N22" s="26">
        <f>Лист1!AS16</f>
        <v>4685.47178</v>
      </c>
      <c r="O22" s="63">
        <f>Лист1!AU16</f>
        <v>2982.07322</v>
      </c>
      <c r="P22" s="63">
        <f>Лист1!AV16</f>
        <v>-90.64000000000033</v>
      </c>
      <c r="Q22" s="1"/>
      <c r="R22" s="1"/>
    </row>
    <row r="23" spans="1:18" ht="12.75">
      <c r="A23" s="9" t="s">
        <v>35</v>
      </c>
      <c r="B23" s="68">
        <f>Лист1!B17</f>
        <v>896.9</v>
      </c>
      <c r="C23" s="23">
        <f t="shared" si="0"/>
        <v>7758.185</v>
      </c>
      <c r="D23" s="24">
        <f>Лист1!D17</f>
        <v>2784.225000000001</v>
      </c>
      <c r="E23" s="12">
        <f>Лист1!O17</f>
        <v>4549.28</v>
      </c>
      <c r="F23" s="26">
        <f>Лист1!P17</f>
        <v>424.68</v>
      </c>
      <c r="G23" s="25">
        <f>Лист1!V17</f>
        <v>3842.94</v>
      </c>
      <c r="H23" s="26">
        <f>Лист1!W17</f>
        <v>7051.845000000001</v>
      </c>
      <c r="I23" s="25">
        <f>Лист1!Y17</f>
        <v>538.14</v>
      </c>
      <c r="J23" s="12">
        <f>Лист1!AA17+Лист1!AB17</f>
        <v>899.5907</v>
      </c>
      <c r="K23" s="12">
        <f>Лист1!Z17+Лист1!AC17+Лист1!AD17+Лист1!AE17+Лист1!AF17+Лист1!AG17+Лист1!AH17+Лист1!AI17+Лист1!AJ17</f>
        <v>3079.23708</v>
      </c>
      <c r="L23" s="27">
        <f>Лист1!AK17+Лист1!AL17+Лист1!AM17+Лист1!AQ17+Лист1!AR17</f>
        <v>0</v>
      </c>
      <c r="M23" s="27">
        <f>Лист1!AP17</f>
        <v>186.34560000000002</v>
      </c>
      <c r="N23" s="26">
        <f>Лист1!AS17</f>
        <v>4703.31338</v>
      </c>
      <c r="O23" s="63">
        <f>Лист1!AU17</f>
        <v>2348.5316200000016</v>
      </c>
      <c r="P23" s="63">
        <f>Лист1!AV17</f>
        <v>-706.3399999999997</v>
      </c>
      <c r="Q23" s="1"/>
      <c r="R23" s="1"/>
    </row>
    <row r="24" spans="1:18" ht="13.5" thickBot="1">
      <c r="A24" s="28" t="s">
        <v>36</v>
      </c>
      <c r="B24" s="68">
        <f>Лист1!B18</f>
        <v>896.9</v>
      </c>
      <c r="C24" s="29">
        <f t="shared" si="0"/>
        <v>7758.185</v>
      </c>
      <c r="D24" s="24">
        <f>Лист1!D18</f>
        <v>2784.215000000001</v>
      </c>
      <c r="E24" s="12">
        <f>Лист1!O18</f>
        <v>4549.29</v>
      </c>
      <c r="F24" s="26">
        <f>Лист1!P18</f>
        <v>424.68</v>
      </c>
      <c r="G24" s="25">
        <f>Лист1!V18</f>
        <v>5143.58</v>
      </c>
      <c r="H24" s="26">
        <f>Лист1!W18</f>
        <v>8352.475</v>
      </c>
      <c r="I24" s="25">
        <f>Лист1!Y18</f>
        <v>538.14</v>
      </c>
      <c r="J24" s="12">
        <f>Лист1!AA18+Лист1!AB18</f>
        <v>899.5907</v>
      </c>
      <c r="K24" s="12">
        <f>Лист1!Z18+Лист1!AC18+Лист1!AD18+Лист1!AE18+Лист1!AF18+Лист1!AG18+Лист1!AH18+Лист1!AI18+Лист1!AJ18</f>
        <v>3079.23708</v>
      </c>
      <c r="L24" s="27">
        <f>Лист1!AK18+Лист1!AL18+Лист1!AM18+Лист1!AQ18+Лист1!AR18</f>
        <v>0</v>
      </c>
      <c r="M24" s="27">
        <f>Лист1!AP18</f>
        <v>203.79072</v>
      </c>
      <c r="N24" s="26">
        <f>Лист1!AS18</f>
        <v>4720.7585</v>
      </c>
      <c r="O24" s="63">
        <f>Лист1!AU18</f>
        <v>3631.7165000000005</v>
      </c>
      <c r="P24" s="63">
        <f>Лист1!AV18</f>
        <v>594.29</v>
      </c>
      <c r="Q24" s="1"/>
      <c r="R24" s="1"/>
    </row>
    <row r="25" spans="1:18" s="18" customFormat="1" ht="13.5" thickBot="1">
      <c r="A25" s="30" t="s">
        <v>5</v>
      </c>
      <c r="B25" s="31"/>
      <c r="C25" s="32">
        <f aca="true" t="shared" si="1" ref="C25:I25">SUM(C15:C24)</f>
        <v>77581.84999999999</v>
      </c>
      <c r="D25" s="58">
        <f t="shared" si="1"/>
        <v>24212.666250000002</v>
      </c>
      <c r="E25" s="32">
        <f t="shared" si="1"/>
        <v>44498.84</v>
      </c>
      <c r="F25" s="59">
        <f t="shared" si="1"/>
        <v>4296.58</v>
      </c>
      <c r="G25" s="58">
        <f t="shared" si="1"/>
        <v>34818.799999999996</v>
      </c>
      <c r="H25" s="59">
        <f t="shared" si="1"/>
        <v>63328.04625</v>
      </c>
      <c r="I25" s="58">
        <f t="shared" si="1"/>
        <v>5273.772</v>
      </c>
      <c r="J25" s="58">
        <f aca="true" t="shared" si="2" ref="J25:P25">SUM(J15:J24)</f>
        <v>8748.345247546</v>
      </c>
      <c r="K25" s="58">
        <f t="shared" si="2"/>
        <v>30005.928425838796</v>
      </c>
      <c r="L25" s="58">
        <f t="shared" si="2"/>
        <v>12724.9548</v>
      </c>
      <c r="M25" s="58">
        <f t="shared" si="2"/>
        <v>1381.7328</v>
      </c>
      <c r="N25" s="58">
        <f t="shared" si="2"/>
        <v>58134.7332733848</v>
      </c>
      <c r="O25" s="58">
        <f t="shared" si="2"/>
        <v>5193.312976615204</v>
      </c>
      <c r="P25" s="64">
        <f t="shared" si="2"/>
        <v>-9680.04</v>
      </c>
      <c r="Q25" s="61"/>
      <c r="R25" s="61"/>
    </row>
    <row r="26" spans="1:18" ht="13.5" thickBot="1">
      <c r="A26" s="183" t="s">
        <v>60</v>
      </c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65"/>
      <c r="Q26" s="1"/>
      <c r="R26" s="1"/>
    </row>
    <row r="27" spans="1:18" s="18" customFormat="1" ht="12.75">
      <c r="A27" s="130" t="s">
        <v>45</v>
      </c>
      <c r="B27" s="131"/>
      <c r="C27" s="132">
        <f>C25</f>
        <v>77581.84999999999</v>
      </c>
      <c r="D27" s="132">
        <f aca="true" t="shared" si="3" ref="D27:P27">D25</f>
        <v>24212.666250000002</v>
      </c>
      <c r="E27" s="132">
        <f t="shared" si="3"/>
        <v>44498.84</v>
      </c>
      <c r="F27" s="132">
        <f t="shared" si="3"/>
        <v>4296.58</v>
      </c>
      <c r="G27" s="132">
        <f t="shared" si="3"/>
        <v>34818.799999999996</v>
      </c>
      <c r="H27" s="132">
        <f t="shared" si="3"/>
        <v>63328.04625</v>
      </c>
      <c r="I27" s="132">
        <f t="shared" si="3"/>
        <v>5273.772</v>
      </c>
      <c r="J27" s="132">
        <f t="shared" si="3"/>
        <v>8748.345247546</v>
      </c>
      <c r="K27" s="132">
        <f t="shared" si="3"/>
        <v>30005.928425838796</v>
      </c>
      <c r="L27" s="132">
        <f t="shared" si="3"/>
        <v>12724.9548</v>
      </c>
      <c r="M27" s="132">
        <f t="shared" si="3"/>
        <v>1381.7328</v>
      </c>
      <c r="N27" s="132">
        <f t="shared" si="3"/>
        <v>58134.7332733848</v>
      </c>
      <c r="O27" s="132">
        <f t="shared" si="3"/>
        <v>5193.312976615204</v>
      </c>
      <c r="P27" s="132">
        <f t="shared" si="3"/>
        <v>-9680.04</v>
      </c>
      <c r="Q27" s="62"/>
      <c r="R27" s="61"/>
    </row>
    <row r="28" spans="1:18" ht="12.75">
      <c r="A28" s="133" t="s">
        <v>84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"/>
      <c r="R28" s="1"/>
    </row>
    <row r="29" spans="1:16" ht="12.75">
      <c r="A29" s="19" t="s">
        <v>82</v>
      </c>
      <c r="B29" s="68">
        <f>Лист1!B23</f>
        <v>896.9</v>
      </c>
      <c r="C29" s="23">
        <f aca="true" t="shared" si="4" ref="C29:C40">B29*8.65</f>
        <v>7758.185</v>
      </c>
      <c r="D29" s="24">
        <f>Лист1!D23</f>
        <v>2784.2050000000004</v>
      </c>
      <c r="E29" s="12">
        <f>Лист1!O23</f>
        <v>4382.87</v>
      </c>
      <c r="F29" s="26">
        <f>Лист1!P23</f>
        <v>591.1100000000001</v>
      </c>
      <c r="G29" s="25">
        <f>Лист1!V23</f>
        <v>4227.22</v>
      </c>
      <c r="H29" s="26">
        <f>Лист1!W23</f>
        <v>7602.535000000001</v>
      </c>
      <c r="I29" s="25">
        <f>Лист1!Y23</f>
        <v>538.14</v>
      </c>
      <c r="J29" s="12">
        <f>Лист1!AA23+Лист1!AB23</f>
        <v>896.9</v>
      </c>
      <c r="K29" s="12">
        <f>Лист1!Z23+Лист1!AC23+Лист1!AD23+Лист1!AE23+Лист1!AF23+Лист1!AG23+Лист1!AH23+Лист1!AI23+Лист1!AJ23</f>
        <v>3076.367</v>
      </c>
      <c r="L29" s="27">
        <f>Лист1!AK23+Лист1!AL23+Лист1!AM23+Лист1!AQ23+Лист1!AR23</f>
        <v>0</v>
      </c>
      <c r="M29" s="27">
        <f>Лист1!AP23</f>
        <v>213.35999999999999</v>
      </c>
      <c r="N29" s="26">
        <f>Лист1!AS23</f>
        <v>4724.767</v>
      </c>
      <c r="O29" s="63">
        <f>Лист1!AU23</f>
        <v>2877.768000000001</v>
      </c>
      <c r="P29" s="63">
        <f>Лист1!AV23</f>
        <v>-155.64999999999964</v>
      </c>
    </row>
    <row r="30" spans="1:16" ht="12.75">
      <c r="A30" s="19" t="s">
        <v>83</v>
      </c>
      <c r="B30" s="68">
        <f>Лист1!B24</f>
        <v>896.9</v>
      </c>
      <c r="C30" s="23">
        <f t="shared" si="4"/>
        <v>7758.185</v>
      </c>
      <c r="D30" s="24">
        <f>Лист1!D24</f>
        <v>2784.2150000000006</v>
      </c>
      <c r="E30" s="12">
        <f>Лист1!O24</f>
        <v>4349.610000000001</v>
      </c>
      <c r="F30" s="26">
        <f>Лист1!P24</f>
        <v>624.3599999999999</v>
      </c>
      <c r="G30" s="25">
        <f>Лист1!V24</f>
        <v>6839.02</v>
      </c>
      <c r="H30" s="26">
        <f>Лист1!W24</f>
        <v>10247.595000000001</v>
      </c>
      <c r="I30" s="25">
        <f>Лист1!Y24</f>
        <v>538.14</v>
      </c>
      <c r="J30" s="12">
        <f>Лист1!AA24+Лист1!AB24</f>
        <v>896.9</v>
      </c>
      <c r="K30" s="12">
        <f>Лист1!Z24+Лист1!AC24+Лист1!AD24+Лист1!AE24+Лист1!AF24+Лист1!AG24+Лист1!AH24+Лист1!AI24+Лист1!AJ24</f>
        <v>3076.367</v>
      </c>
      <c r="L30" s="27">
        <f>Лист1!AK24+Лист1!AL24+Лист1!AM24+Лист1!AQ24+Лист1!AR24</f>
        <v>0</v>
      </c>
      <c r="M30" s="27">
        <f>Лист1!AP24</f>
        <v>170.93999999999997</v>
      </c>
      <c r="N30" s="26">
        <f>Лист1!AS24</f>
        <v>4682.347</v>
      </c>
      <c r="O30" s="63">
        <f>Лист1!AU24</f>
        <v>5565.248000000001</v>
      </c>
      <c r="P30" s="63">
        <f>Лист1!AV24</f>
        <v>2489.41</v>
      </c>
    </row>
    <row r="31" spans="1:18" ht="12.75">
      <c r="A31" s="9" t="s">
        <v>38</v>
      </c>
      <c r="B31" s="68">
        <f>Лист1!B25</f>
        <v>896.9</v>
      </c>
      <c r="C31" s="23">
        <f t="shared" si="4"/>
        <v>7758.185</v>
      </c>
      <c r="D31" s="24">
        <f>Лист1!D25</f>
        <v>2784.2150000000006</v>
      </c>
      <c r="E31" s="12">
        <f>Лист1!O25</f>
        <v>4349.610000000001</v>
      </c>
      <c r="F31" s="26">
        <f>Лист1!P25</f>
        <v>624.3599999999999</v>
      </c>
      <c r="G31" s="25">
        <f>Лист1!V25</f>
        <v>4819.13</v>
      </c>
      <c r="H31" s="26">
        <f>Лист1!W25</f>
        <v>8227.705000000002</v>
      </c>
      <c r="I31" s="25">
        <f>Лист1!Y25</f>
        <v>538.14</v>
      </c>
      <c r="J31" s="12">
        <f>Лист1!AA25+Лист1!AB25</f>
        <v>896.9</v>
      </c>
      <c r="K31" s="12">
        <f>Лист1!Z25+Лист1!AC25+Лист1!AD25+Лист1!AE25+Лист1!AF25+Лист1!AG25+Лист1!AH25+Лист1!AI25+Лист1!AJ25</f>
        <v>3076.367</v>
      </c>
      <c r="L31" s="27">
        <f>Лист1!AK25+Лист1!AL25+Лист1!AM25+Лист1!AQ25+Лист1!AR25</f>
        <v>0</v>
      </c>
      <c r="M31" s="27">
        <f>Лист1!AP25</f>
        <v>160.85999999999999</v>
      </c>
      <c r="N31" s="26">
        <f>Лист1!AS25</f>
        <v>4672.267</v>
      </c>
      <c r="O31" s="63">
        <f>Лист1!AU25</f>
        <v>3555.438000000002</v>
      </c>
      <c r="P31" s="63">
        <f>Лист1!AV25</f>
        <v>469.5199999999995</v>
      </c>
      <c r="Q31" s="1"/>
      <c r="R31" s="1"/>
    </row>
    <row r="32" spans="1:18" ht="12.75">
      <c r="A32" s="9" t="s">
        <v>39</v>
      </c>
      <c r="B32" s="68">
        <f>Лист1!B26</f>
        <v>896.9</v>
      </c>
      <c r="C32" s="23">
        <f t="shared" si="4"/>
        <v>7758.185</v>
      </c>
      <c r="D32" s="24">
        <f>Лист1!D26</f>
        <v>2784.215</v>
      </c>
      <c r="E32" s="12">
        <f>Лист1!O26</f>
        <v>4349.61</v>
      </c>
      <c r="F32" s="26">
        <f>Лист1!P26</f>
        <v>624.3599999999999</v>
      </c>
      <c r="G32" s="25">
        <f>Лист1!V26</f>
        <v>3454.36</v>
      </c>
      <c r="H32" s="26">
        <f>Лист1!W26</f>
        <v>6862.9349999999995</v>
      </c>
      <c r="I32" s="25">
        <f>Лист1!Y26</f>
        <v>538.14</v>
      </c>
      <c r="J32" s="12">
        <f>Лист1!AA26+Лист1!AB26</f>
        <v>896.9</v>
      </c>
      <c r="K32" s="12">
        <f>Лист1!Z26+Лист1!AC26+Лист1!AD26+Лист1!AE26+Лист1!AF26+Лист1!AG26+Лист1!AH26+Лист1!AI26+Лист1!AJ26</f>
        <v>3076.367</v>
      </c>
      <c r="L32" s="27">
        <f>Лист1!AK26+Лист1!AL26+Лист1!AM26+Лист1!AQ26+Лист1!AR26</f>
        <v>0</v>
      </c>
      <c r="M32" s="27">
        <f>Лист1!AP26</f>
        <v>128.94</v>
      </c>
      <c r="N32" s="26">
        <f>Лист1!AS26</f>
        <v>4640.347</v>
      </c>
      <c r="O32" s="63">
        <f>Лист1!AU26</f>
        <v>2222.5879999999997</v>
      </c>
      <c r="P32" s="63">
        <f>Лист1!AV26</f>
        <v>-895.2499999999995</v>
      </c>
      <c r="Q32" s="1"/>
      <c r="R32" s="1"/>
    </row>
    <row r="33" spans="1:18" ht="12.75">
      <c r="A33" s="9" t="s">
        <v>40</v>
      </c>
      <c r="B33" s="68">
        <f>Лист1!B27</f>
        <v>896.9</v>
      </c>
      <c r="C33" s="23">
        <f t="shared" si="4"/>
        <v>7758.185</v>
      </c>
      <c r="D33" s="24">
        <f>Лист1!D27</f>
        <v>2784.2350000000006</v>
      </c>
      <c r="E33" s="12">
        <f>Лист1!O27</f>
        <v>4349.59</v>
      </c>
      <c r="F33" s="26">
        <f>Лист1!P27</f>
        <v>624.3599999999999</v>
      </c>
      <c r="G33" s="25">
        <f>Лист1!V27</f>
        <v>3439.1</v>
      </c>
      <c r="H33" s="26">
        <f>Лист1!W27</f>
        <v>6847.695</v>
      </c>
      <c r="I33" s="25">
        <f>Лист1!Y27</f>
        <v>538.14</v>
      </c>
      <c r="J33" s="12">
        <f>Лист1!AA27+Лист1!AB27</f>
        <v>896.9</v>
      </c>
      <c r="K33" s="12">
        <f>Лист1!Z27+Лист1!AC27+Лист1!AD27+Лист1!AE27+Лист1!AF27+Лист1!AG27+Лист1!AH27+Лист1!AI27+Лист1!AJ27</f>
        <v>3076.367</v>
      </c>
      <c r="L33" s="27">
        <f>Лист1!AK27+Лист1!AL27+Лист1!AM27+Лист1!AQ27+Лист1!AR27</f>
        <v>17215</v>
      </c>
      <c r="M33" s="27">
        <f>Лист1!AP27</f>
        <v>110.45999999999998</v>
      </c>
      <c r="N33" s="26">
        <f>Лист1!AS27</f>
        <v>21836.867</v>
      </c>
      <c r="O33" s="63">
        <f>Лист1!AU27</f>
        <v>-14989.171999999999</v>
      </c>
      <c r="P33" s="63">
        <f>Лист1!AV27</f>
        <v>-910.4900000000002</v>
      </c>
      <c r="Q33" s="1"/>
      <c r="R33" s="1"/>
    </row>
    <row r="34" spans="1:18" ht="12.75">
      <c r="A34" s="9" t="s">
        <v>41</v>
      </c>
      <c r="B34" s="68">
        <f>Лист1!B28</f>
        <v>896.9</v>
      </c>
      <c r="C34" s="23">
        <f t="shared" si="4"/>
        <v>7758.185</v>
      </c>
      <c r="D34" s="24">
        <f>Лист1!D28</f>
        <v>2239.4596812500004</v>
      </c>
      <c r="E34" s="12">
        <f>Лист1!O28</f>
        <v>4232.27</v>
      </c>
      <c r="F34" s="26">
        <f>Лист1!P28</f>
        <v>730.9699999999999</v>
      </c>
      <c r="G34" s="25">
        <f>Лист1!V28</f>
        <v>2995.42</v>
      </c>
      <c r="H34" s="26">
        <f>Лист1!W28</f>
        <v>5965.84968125</v>
      </c>
      <c r="I34" s="25">
        <f>Лист1!Y28</f>
        <v>538.14</v>
      </c>
      <c r="J34" s="12">
        <f>Лист1!AA28+Лист1!AB28</f>
        <v>896.9</v>
      </c>
      <c r="K34" s="12">
        <f>Лист1!Z28+Лист1!AC28+Лист1!AD28+Лист1!AE28+Лист1!AF28+Лист1!AG28+Лист1!AH28+Лист1!AI28+Лист1!AJ28</f>
        <v>3076.367</v>
      </c>
      <c r="L34" s="27">
        <f>Лист1!AK28+Лист1!AL28+Лист1!AM28+Лист1!AQ28+Лист1!AR28</f>
        <v>4923</v>
      </c>
      <c r="M34" s="27">
        <f>Лист1!AP28</f>
        <v>97.85999999999999</v>
      </c>
      <c r="N34" s="26">
        <f>Лист1!AS28</f>
        <v>9532.267</v>
      </c>
      <c r="O34" s="63">
        <f>Лист1!AU28</f>
        <v>-3566.41731875</v>
      </c>
      <c r="P34" s="63">
        <f>Лист1!AV28</f>
        <v>-1236.8500000000004</v>
      </c>
      <c r="Q34" s="1"/>
      <c r="R34" s="1"/>
    </row>
    <row r="35" spans="1:18" ht="12.75">
      <c r="A35" s="9" t="s">
        <v>42</v>
      </c>
      <c r="B35" s="68">
        <f>Лист1!B29</f>
        <v>896.9</v>
      </c>
      <c r="C35" s="23">
        <f t="shared" si="4"/>
        <v>7758.185</v>
      </c>
      <c r="D35" s="24">
        <f>Лист1!D29</f>
        <v>2243.5666206250003</v>
      </c>
      <c r="E35" s="12">
        <f>Лист1!O29</f>
        <v>4974.31</v>
      </c>
      <c r="F35" s="26">
        <f>Лист1!P29</f>
        <v>0</v>
      </c>
      <c r="G35" s="25">
        <f>Лист1!V29</f>
        <v>5406.530000000001</v>
      </c>
      <c r="H35" s="26">
        <f>Лист1!W29</f>
        <v>7650.096620625001</v>
      </c>
      <c r="I35" s="25">
        <f>Лист1!Y29</f>
        <v>538.14</v>
      </c>
      <c r="J35" s="12">
        <f>Лист1!AA29+Лист1!AB29</f>
        <v>896.9</v>
      </c>
      <c r="K35" s="12">
        <f>Лист1!Z29+Лист1!AC29+Лист1!AD29+Лист1!AE29+Лист1!AF29+Лист1!AG29+Лист1!AH29+Лист1!AI29+Лист1!AJ29</f>
        <v>3076.367</v>
      </c>
      <c r="L35" s="27">
        <f>Лист1!AK29+Лист1!AL29+Лист1!AM29+Лист1!AQ29+Лист1!AR29</f>
        <v>0</v>
      </c>
      <c r="M35" s="27">
        <f>Лист1!AP29</f>
        <v>104.15999999999998</v>
      </c>
      <c r="N35" s="26">
        <f>Лист1!AS29</f>
        <v>4615.567</v>
      </c>
      <c r="O35" s="63">
        <f>Лист1!AU29</f>
        <v>3034.5296206250014</v>
      </c>
      <c r="P35" s="63">
        <f>Лист1!AV29</f>
        <v>432.22000000000025</v>
      </c>
      <c r="Q35" s="1"/>
      <c r="R35" s="1"/>
    </row>
    <row r="36" spans="1:18" ht="12.75">
      <c r="A36" s="9" t="s">
        <v>43</v>
      </c>
      <c r="B36" s="68">
        <f>Лист1!B30</f>
        <v>896.9</v>
      </c>
      <c r="C36" s="23">
        <f t="shared" si="4"/>
        <v>7758.185</v>
      </c>
      <c r="D36" s="24">
        <f>Лист1!D30</f>
        <v>2387.776913375</v>
      </c>
      <c r="E36" s="12">
        <f>Лист1!O30</f>
        <v>4974.31</v>
      </c>
      <c r="F36" s="26">
        <f>Лист1!P30</f>
        <v>0</v>
      </c>
      <c r="G36" s="25">
        <f>Лист1!V30</f>
        <v>3918.16</v>
      </c>
      <c r="H36" s="26">
        <f>Лист1!W30</f>
        <v>6305.936913375</v>
      </c>
      <c r="I36" s="25">
        <f>Лист1!Y30</f>
        <v>538.14</v>
      </c>
      <c r="J36" s="12">
        <f>Лист1!AA30+Лист1!AB30</f>
        <v>896.9</v>
      </c>
      <c r="K36" s="12">
        <f>Лист1!Z30+Лист1!AC30+Лист1!AD30+Лист1!AE30+Лист1!AF30+Лист1!AG30+Лист1!AH30+Лист1!AI30+Лист1!AJ30</f>
        <v>3076.367</v>
      </c>
      <c r="L36" s="27">
        <f>Лист1!AK30+Лист1!AL30+Лист1!AM30+Лист1!AQ30+Лист1!AR30</f>
        <v>47.8</v>
      </c>
      <c r="M36" s="27">
        <f>Лист1!AP30</f>
        <v>123.05999999999997</v>
      </c>
      <c r="N36" s="26">
        <f>Лист1!AS30</f>
        <v>4682.267000000001</v>
      </c>
      <c r="O36" s="63">
        <f>Лист1!AU30</f>
        <v>1623.669913374999</v>
      </c>
      <c r="P36" s="63">
        <f>Лист1!AV30</f>
        <v>-1056.1500000000005</v>
      </c>
      <c r="Q36" s="1"/>
      <c r="R36" s="1"/>
    </row>
    <row r="37" spans="1:18" ht="12.75">
      <c r="A37" s="9" t="s">
        <v>44</v>
      </c>
      <c r="B37" s="68">
        <f>Лист1!B31</f>
        <v>896.9</v>
      </c>
      <c r="C37" s="23">
        <f t="shared" si="4"/>
        <v>7758.185</v>
      </c>
      <c r="D37" s="24">
        <f>Лист1!D31</f>
        <v>2437.3660787500003</v>
      </c>
      <c r="E37" s="12">
        <f>Лист1!O31</f>
        <v>4974.31</v>
      </c>
      <c r="F37" s="26">
        <f>Лист1!P31</f>
        <v>0</v>
      </c>
      <c r="G37" s="25">
        <f>Лист1!V31</f>
        <v>2555.67</v>
      </c>
      <c r="H37" s="26">
        <f>Лист1!W31</f>
        <v>4993.03607875</v>
      </c>
      <c r="I37" s="25">
        <f>Лист1!Y31</f>
        <v>538.14</v>
      </c>
      <c r="J37" s="12">
        <f>Лист1!AA31+Лист1!AB31</f>
        <v>896.9</v>
      </c>
      <c r="K37" s="12">
        <f>Лист1!Z31+Лист1!AC31+Лист1!AD31+Лист1!AE31+Лист1!AF31+Лист1!AG31+Лист1!AH31+Лист1!AI31+Лист1!AJ31</f>
        <v>3076.367</v>
      </c>
      <c r="L37" s="27">
        <f>Лист1!AK31+Лист1!AL31+Лист1!AM31+Лист1!AQ31+Лист1!AR31</f>
        <v>0</v>
      </c>
      <c r="M37" s="27">
        <f>Лист1!AP31</f>
        <v>146.57999999999998</v>
      </c>
      <c r="N37" s="26">
        <f>Лист1!AS31</f>
        <v>4657.987</v>
      </c>
      <c r="O37" s="63">
        <f>Лист1!AU31</f>
        <v>335.04907875000026</v>
      </c>
      <c r="P37" s="63">
        <f>Лист1!AV31</f>
        <v>-2418.6400000000003</v>
      </c>
      <c r="Q37" s="1"/>
      <c r="R37" s="1"/>
    </row>
    <row r="38" spans="1:18" ht="12.75">
      <c r="A38" s="9" t="s">
        <v>34</v>
      </c>
      <c r="B38" s="68">
        <f>Лист1!B32</f>
        <v>896.9</v>
      </c>
      <c r="C38" s="23">
        <f t="shared" si="4"/>
        <v>7758.185</v>
      </c>
      <c r="D38" s="24">
        <f>Лист1!D32</f>
        <v>2258.31232686</v>
      </c>
      <c r="E38" s="12">
        <f>Лист1!O32</f>
        <v>4974.64</v>
      </c>
      <c r="F38" s="26">
        <f>Лист1!P32</f>
        <v>0</v>
      </c>
      <c r="G38" s="25">
        <f>Лист1!V32</f>
        <v>4796.510000000001</v>
      </c>
      <c r="H38" s="26">
        <f>Лист1!W32</f>
        <v>7054.822326860001</v>
      </c>
      <c r="I38" s="25">
        <f>Лист1!Y32</f>
        <v>538.14</v>
      </c>
      <c r="J38" s="12">
        <f>Лист1!AA32+Лист1!AB32</f>
        <v>896.9</v>
      </c>
      <c r="K38" s="12">
        <f>Лист1!Z32+Лист1!AC32+Лист1!AD32+Лист1!AE32+Лист1!AF32+Лист1!AG32+Лист1!AH32+Лист1!AI32+Лист1!AJ32</f>
        <v>3076.367</v>
      </c>
      <c r="L38" s="27">
        <f>Лист1!AK32+Лист1!AL32+Лист1!AM32+Лист1!AQ32+Лист1!AR32</f>
        <v>0</v>
      </c>
      <c r="M38" s="27">
        <f>Лист1!AP32</f>
        <v>178.5</v>
      </c>
      <c r="N38" s="26">
        <f>Лист1!AS32</f>
        <v>4689.907</v>
      </c>
      <c r="O38" s="63">
        <f>Лист1!AU32</f>
        <v>2364.915326860001</v>
      </c>
      <c r="P38" s="63">
        <f>Лист1!AV32</f>
        <v>-178.1299999999992</v>
      </c>
      <c r="Q38" s="1"/>
      <c r="R38" s="1"/>
    </row>
    <row r="39" spans="1:18" ht="12.75">
      <c r="A39" s="9" t="s">
        <v>35</v>
      </c>
      <c r="B39" s="68">
        <f>Лист1!B33</f>
        <v>896.9</v>
      </c>
      <c r="C39" s="23">
        <f t="shared" si="4"/>
        <v>7758.185</v>
      </c>
      <c r="D39" s="24">
        <f>Лист1!D33</f>
        <v>2423.861501125</v>
      </c>
      <c r="E39" s="12">
        <f>Лист1!O33</f>
        <v>4974.31</v>
      </c>
      <c r="F39" s="26">
        <f>Лист1!P33</f>
        <v>0</v>
      </c>
      <c r="G39" s="25">
        <f>Лист1!V33</f>
        <v>4256.73</v>
      </c>
      <c r="H39" s="26">
        <f>Лист1!W33</f>
        <v>6680.591501125</v>
      </c>
      <c r="I39" s="25">
        <f>Лист1!Y33</f>
        <v>538.14</v>
      </c>
      <c r="J39" s="12">
        <f>Лист1!AA33+Лист1!AB33</f>
        <v>896.9</v>
      </c>
      <c r="K39" s="12">
        <f>Лист1!Z33+Лист1!AC33+Лист1!AD33+Лист1!AE33+Лист1!AF33+Лист1!AG33+Лист1!AH33+Лист1!AI33+Лист1!AJ33</f>
        <v>3076.367</v>
      </c>
      <c r="L39" s="27">
        <f>Лист1!AK33+Лист1!AL33+Лист1!AM33+Лист1!AQ33+Лист1!AR33</f>
        <v>0</v>
      </c>
      <c r="M39" s="27">
        <f>Лист1!AP33</f>
        <v>197.39999999999998</v>
      </c>
      <c r="N39" s="26">
        <f>Лист1!AS33</f>
        <v>4708.807</v>
      </c>
      <c r="O39" s="63">
        <f>Лист1!AU33</f>
        <v>1971.7845011250001</v>
      </c>
      <c r="P39" s="63">
        <f>Лист1!AV33</f>
        <v>-717.5800000000008</v>
      </c>
      <c r="Q39" s="1"/>
      <c r="R39" s="1"/>
    </row>
    <row r="40" spans="1:18" ht="13.5" thickBot="1">
      <c r="A40" s="28" t="s">
        <v>36</v>
      </c>
      <c r="B40" s="68">
        <f>Лист1!B34</f>
        <v>896.9</v>
      </c>
      <c r="C40" s="23">
        <f t="shared" si="4"/>
        <v>7758.185</v>
      </c>
      <c r="D40" s="24">
        <f>Лист1!D34</f>
        <v>2528.4416372000005</v>
      </c>
      <c r="E40" s="12">
        <f>Лист1!O34</f>
        <v>4994.74</v>
      </c>
      <c r="F40" s="26">
        <f>Лист1!P34</f>
        <v>0</v>
      </c>
      <c r="G40" s="25">
        <f>Лист1!V34</f>
        <v>5488.93</v>
      </c>
      <c r="H40" s="26">
        <f>Лист1!W34</f>
        <v>8017.371637200001</v>
      </c>
      <c r="I40" s="25">
        <f>Лист1!Y34</f>
        <v>538.14</v>
      </c>
      <c r="J40" s="12">
        <f>Лист1!AA34+Лист1!AB34</f>
        <v>896.9</v>
      </c>
      <c r="K40" s="12">
        <f>Лист1!Z34+Лист1!AC34+Лист1!AD34+Лист1!AE34+Лист1!AF34+Лист1!AG34+Лист1!AH34+Лист1!AI34+Лист1!AJ34</f>
        <v>3076.367</v>
      </c>
      <c r="L40" s="27">
        <f>Лист1!AK34+Лист1!AL34+Лист1!AM34+Лист1!AQ34+Лист1!AR34</f>
        <v>0</v>
      </c>
      <c r="M40" s="27">
        <f>Лист1!AP34</f>
        <v>215.87999999999997</v>
      </c>
      <c r="N40" s="26">
        <f>Лист1!AS34</f>
        <v>4727.287</v>
      </c>
      <c r="O40" s="63">
        <f>Лист1!AU34</f>
        <v>3290.0846372000005</v>
      </c>
      <c r="P40" s="63">
        <f>Лист1!AV34</f>
        <v>494.1900000000005</v>
      </c>
      <c r="Q40" s="1"/>
      <c r="R40" s="1"/>
    </row>
    <row r="41" spans="1:18" s="18" customFormat="1" ht="13.5" thickBot="1">
      <c r="A41" s="30" t="s">
        <v>5</v>
      </c>
      <c r="B41" s="31"/>
      <c r="C41" s="64">
        <f aca="true" t="shared" si="5" ref="C41:O41">SUM(C29:C40)</f>
        <v>93098.21999999999</v>
      </c>
      <c r="D41" s="64">
        <f t="shared" si="5"/>
        <v>30439.869759185007</v>
      </c>
      <c r="E41" s="64">
        <f t="shared" si="5"/>
        <v>55880.17999999999</v>
      </c>
      <c r="F41" s="64">
        <f t="shared" si="5"/>
        <v>3819.519999999999</v>
      </c>
      <c r="G41" s="64">
        <f t="shared" si="5"/>
        <v>52196.780000000006</v>
      </c>
      <c r="H41" s="64">
        <f t="shared" si="5"/>
        <v>86456.16975918502</v>
      </c>
      <c r="I41" s="64">
        <f t="shared" si="5"/>
        <v>6457.680000000001</v>
      </c>
      <c r="J41" s="64">
        <f t="shared" si="5"/>
        <v>10762.799999999997</v>
      </c>
      <c r="K41" s="64">
        <f t="shared" si="5"/>
        <v>36916.403999999995</v>
      </c>
      <c r="L41" s="64">
        <f t="shared" si="5"/>
        <v>22185.8</v>
      </c>
      <c r="M41" s="64">
        <f t="shared" si="5"/>
        <v>1847.9999999999998</v>
      </c>
      <c r="N41" s="64">
        <f t="shared" si="5"/>
        <v>78170.68400000001</v>
      </c>
      <c r="O41" s="64">
        <f t="shared" si="5"/>
        <v>8285.485759185009</v>
      </c>
      <c r="P41" s="64">
        <f>SUM(P29:P40)</f>
        <v>-3683.4000000000005</v>
      </c>
      <c r="Q41" s="61"/>
      <c r="R41" s="61"/>
    </row>
    <row r="42" spans="1:18" ht="13.5" thickBot="1">
      <c r="A42" s="183" t="s">
        <v>60</v>
      </c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65"/>
      <c r="Q42" s="1"/>
      <c r="R42" s="1"/>
    </row>
    <row r="43" spans="1:18" s="18" customFormat="1" ht="13.5" thickBot="1">
      <c r="A43" s="66" t="s">
        <v>45</v>
      </c>
      <c r="B43" s="33"/>
      <c r="C43" s="34">
        <f aca="true" t="shared" si="6" ref="C43:O43">C41+C27</f>
        <v>170680.06999999998</v>
      </c>
      <c r="D43" s="34">
        <f t="shared" si="6"/>
        <v>54652.53600918501</v>
      </c>
      <c r="E43" s="34">
        <f t="shared" si="6"/>
        <v>100379.01999999999</v>
      </c>
      <c r="F43" s="34">
        <f t="shared" si="6"/>
        <v>8116.0999999999985</v>
      </c>
      <c r="G43" s="34">
        <f t="shared" si="6"/>
        <v>87015.58</v>
      </c>
      <c r="H43" s="34">
        <f t="shared" si="6"/>
        <v>149784.216009185</v>
      </c>
      <c r="I43" s="34">
        <f t="shared" si="6"/>
        <v>11731.452000000001</v>
      </c>
      <c r="J43" s="34">
        <f t="shared" si="6"/>
        <v>19511.145247545996</v>
      </c>
      <c r="K43" s="34">
        <f t="shared" si="6"/>
        <v>66922.33242583879</v>
      </c>
      <c r="L43" s="34">
        <f t="shared" si="6"/>
        <v>34910.754799999995</v>
      </c>
      <c r="M43" s="34">
        <f t="shared" si="6"/>
        <v>3229.7327999999998</v>
      </c>
      <c r="N43" s="34">
        <f t="shared" si="6"/>
        <v>136305.4172733848</v>
      </c>
      <c r="O43" s="34">
        <f t="shared" si="6"/>
        <v>13478.798735800214</v>
      </c>
      <c r="P43" s="34">
        <f>P41+P27</f>
        <v>-13363.440000000002</v>
      </c>
      <c r="Q43" s="62"/>
      <c r="R43" s="61"/>
    </row>
    <row r="45" spans="1:18" ht="12.75">
      <c r="A45" s="18" t="s">
        <v>79</v>
      </c>
      <c r="D45" s="69" t="s">
        <v>85</v>
      </c>
      <c r="Q45" s="1"/>
      <c r="R45" s="1"/>
    </row>
    <row r="46" spans="1:18" ht="12.75">
      <c r="A46" s="19" t="s">
        <v>61</v>
      </c>
      <c r="B46" s="19" t="s">
        <v>62</v>
      </c>
      <c r="C46" s="185" t="s">
        <v>63</v>
      </c>
      <c r="D46" s="185"/>
      <c r="Q46" s="1"/>
      <c r="R46" s="1"/>
    </row>
    <row r="47" spans="1:18" ht="12.75">
      <c r="A47" s="95">
        <v>35553.35</v>
      </c>
      <c r="B47" s="95">
        <v>0</v>
      </c>
      <c r="C47" s="179">
        <f>A47-B47</f>
        <v>35553.35</v>
      </c>
      <c r="D47" s="180"/>
      <c r="Q47" s="1"/>
      <c r="R47" s="1"/>
    </row>
    <row r="48" spans="1:18" ht="12.75">
      <c r="A48" s="41"/>
      <c r="Q48" s="1"/>
      <c r="R48" s="1"/>
    </row>
    <row r="49" spans="1:18" ht="12.75">
      <c r="A49" s="2" t="s">
        <v>66</v>
      </c>
      <c r="G49" s="2" t="s">
        <v>67</v>
      </c>
      <c r="Q49" s="1"/>
      <c r="R49" s="1"/>
    </row>
    <row r="50" ht="12.75">
      <c r="A50" s="1"/>
    </row>
    <row r="51" ht="12.75">
      <c r="A51" s="1"/>
    </row>
    <row r="52" ht="12.75">
      <c r="A52" s="2" t="s">
        <v>77</v>
      </c>
    </row>
    <row r="53" ht="12.75">
      <c r="A53" s="2" t="s">
        <v>68</v>
      </c>
    </row>
  </sheetData>
  <sheetProtection/>
  <mergeCells count="27">
    <mergeCell ref="A42:O42"/>
    <mergeCell ref="B1:H1"/>
    <mergeCell ref="B2:H2"/>
    <mergeCell ref="A8:D8"/>
    <mergeCell ref="E8:F8"/>
    <mergeCell ref="A5:O5"/>
    <mergeCell ref="A6:G6"/>
    <mergeCell ref="P9:P12"/>
    <mergeCell ref="E11:F11"/>
    <mergeCell ref="H11:H12"/>
    <mergeCell ref="I11:I12"/>
    <mergeCell ref="J11:J12"/>
    <mergeCell ref="K11:K12"/>
    <mergeCell ref="L11:L12"/>
    <mergeCell ref="M11:M12"/>
    <mergeCell ref="E9:F10"/>
    <mergeCell ref="G9:H10"/>
    <mergeCell ref="C47:D47"/>
    <mergeCell ref="N11:N12"/>
    <mergeCell ref="A26:O26"/>
    <mergeCell ref="C46:D46"/>
    <mergeCell ref="O9:O12"/>
    <mergeCell ref="A9:A12"/>
    <mergeCell ref="B9:B12"/>
    <mergeCell ref="C9:C12"/>
    <mergeCell ref="D9:D12"/>
    <mergeCell ref="I9:N10"/>
  </mergeCells>
  <printOptions/>
  <pageMargins left="0.25" right="0.17" top="0.4" bottom="0.38" header="0.3" footer="0.3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25"/>
  <sheetViews>
    <sheetView zoomScalePageLayoutView="0" workbookViewId="0" topLeftCell="A1">
      <pane xSplit="2" ySplit="2" topLeftCell="P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C10" sqref="AC10:AC21"/>
    </sheetView>
  </sheetViews>
  <sheetFormatPr defaultColWidth="9.00390625" defaultRowHeight="12.75"/>
  <cols>
    <col min="1" max="1" width="8.75390625" style="222" bestFit="1" customWidth="1"/>
    <col min="2" max="2" width="9.125" style="222" customWidth="1"/>
    <col min="3" max="3" width="10.125" style="222" customWidth="1"/>
    <col min="4" max="4" width="10.375" style="222" customWidth="1"/>
    <col min="5" max="5" width="11.125" style="222" customWidth="1"/>
    <col min="6" max="6" width="10.875" style="222" customWidth="1"/>
    <col min="7" max="8" width="12.125" style="222" customWidth="1"/>
    <col min="9" max="9" width="12.00390625" style="222" customWidth="1"/>
    <col min="10" max="10" width="11.125" style="222" customWidth="1"/>
    <col min="11" max="11" width="11.00390625" style="222" customWidth="1"/>
    <col min="12" max="12" width="12.375" style="222" customWidth="1"/>
    <col min="13" max="13" width="10.125" style="222" bestFit="1" customWidth="1"/>
    <col min="14" max="14" width="15.625" style="222" customWidth="1"/>
    <col min="15" max="15" width="16.375" style="222" customWidth="1"/>
    <col min="16" max="16" width="14.625" style="222" customWidth="1"/>
    <col min="17" max="17" width="11.625" style="222" customWidth="1"/>
    <col min="18" max="18" width="11.25390625" style="222" customWidth="1"/>
    <col min="19" max="19" width="10.625" style="222" customWidth="1"/>
    <col min="20" max="20" width="9.25390625" style="222" customWidth="1"/>
    <col min="21" max="21" width="10.125" style="222" bestFit="1" customWidth="1"/>
    <col min="22" max="22" width="10.125" style="222" customWidth="1"/>
    <col min="23" max="23" width="12.625" style="222" customWidth="1"/>
    <col min="24" max="24" width="9.25390625" style="222" bestFit="1" customWidth="1"/>
    <col min="25" max="25" width="11.625" style="222" customWidth="1"/>
    <col min="26" max="26" width="9.25390625" style="222" customWidth="1"/>
    <col min="27" max="27" width="10.625" style="222" customWidth="1"/>
    <col min="28" max="28" width="10.75390625" style="222" customWidth="1"/>
    <col min="29" max="29" width="12.125" style="222" customWidth="1"/>
    <col min="30" max="30" width="11.75390625" style="222" customWidth="1"/>
    <col min="31" max="32" width="10.375" style="222" customWidth="1"/>
    <col min="33" max="33" width="10.75390625" style="222" customWidth="1"/>
    <col min="34" max="34" width="9.125" style="222" customWidth="1"/>
    <col min="35" max="35" width="10.125" style="222" bestFit="1" customWidth="1"/>
    <col min="36" max="36" width="9.125" style="222" customWidth="1"/>
    <col min="37" max="37" width="9.75390625" style="222" bestFit="1" customWidth="1"/>
    <col min="38" max="16384" width="9.125" style="222" customWidth="1"/>
  </cols>
  <sheetData>
    <row r="1" spans="1:16" ht="21" customHeight="1">
      <c r="A1" s="171" t="s">
        <v>102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221"/>
    </row>
    <row r="2" spans="1:16" ht="15" customHeight="1">
      <c r="A2" s="221"/>
      <c r="B2" s="223"/>
      <c r="C2" s="224"/>
      <c r="D2" s="224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</row>
    <row r="3" ht="13.5" thickBot="1"/>
    <row r="4" spans="1:29" ht="31.5" customHeight="1" thickBot="1">
      <c r="A4" s="172" t="s">
        <v>0</v>
      </c>
      <c r="B4" s="225" t="s">
        <v>1</v>
      </c>
      <c r="C4" s="226" t="s">
        <v>2</v>
      </c>
      <c r="D4" s="227" t="s">
        <v>3</v>
      </c>
      <c r="E4" s="228" t="s">
        <v>87</v>
      </c>
      <c r="F4" s="229"/>
      <c r="G4" s="210"/>
      <c r="H4" s="210" t="s">
        <v>88</v>
      </c>
      <c r="I4" s="230" t="s">
        <v>5</v>
      </c>
      <c r="J4" s="231" t="s">
        <v>6</v>
      </c>
      <c r="K4" s="232"/>
      <c r="L4" s="233"/>
      <c r="M4" s="234" t="s">
        <v>23</v>
      </c>
      <c r="N4" s="160" t="s">
        <v>89</v>
      </c>
      <c r="O4" s="235" t="s">
        <v>64</v>
      </c>
      <c r="P4" s="236" t="s">
        <v>8</v>
      </c>
      <c r="Q4" s="237"/>
      <c r="R4" s="237"/>
      <c r="S4" s="237"/>
      <c r="T4" s="237"/>
      <c r="U4" s="237"/>
      <c r="V4" s="237"/>
      <c r="W4" s="237"/>
      <c r="X4" s="237"/>
      <c r="Y4" s="238"/>
      <c r="Z4" s="146" t="s">
        <v>90</v>
      </c>
      <c r="AA4" s="148"/>
      <c r="AB4" s="239" t="s">
        <v>9</v>
      </c>
      <c r="AC4" s="239" t="s">
        <v>10</v>
      </c>
    </row>
    <row r="5" spans="1:29" ht="20.25" customHeight="1" thickBot="1">
      <c r="A5" s="173"/>
      <c r="B5" s="240"/>
      <c r="C5" s="241"/>
      <c r="D5" s="242"/>
      <c r="E5" s="243"/>
      <c r="F5" s="244"/>
      <c r="G5" s="245"/>
      <c r="H5" s="204"/>
      <c r="I5" s="246"/>
      <c r="J5" s="247"/>
      <c r="K5" s="248"/>
      <c r="L5" s="249"/>
      <c r="M5" s="250"/>
      <c r="N5" s="161"/>
      <c r="O5" s="251"/>
      <c r="P5" s="252"/>
      <c r="Q5" s="253"/>
      <c r="R5" s="253"/>
      <c r="S5" s="253"/>
      <c r="T5" s="253"/>
      <c r="U5" s="253"/>
      <c r="V5" s="253"/>
      <c r="W5" s="253"/>
      <c r="X5" s="253"/>
      <c r="Y5" s="254"/>
      <c r="Z5" s="255" t="s">
        <v>65</v>
      </c>
      <c r="AA5" s="235" t="s">
        <v>91</v>
      </c>
      <c r="AB5" s="256"/>
      <c r="AC5" s="256"/>
    </row>
    <row r="6" spans="1:29" ht="27" customHeight="1">
      <c r="A6" s="173"/>
      <c r="B6" s="240"/>
      <c r="C6" s="241"/>
      <c r="D6" s="242"/>
      <c r="E6" s="228" t="s">
        <v>92</v>
      </c>
      <c r="F6" s="230" t="s">
        <v>13</v>
      </c>
      <c r="G6" s="230" t="s">
        <v>15</v>
      </c>
      <c r="H6" s="204"/>
      <c r="I6" s="246"/>
      <c r="J6" s="257" t="s">
        <v>92</v>
      </c>
      <c r="K6" s="246" t="s">
        <v>13</v>
      </c>
      <c r="L6" s="258" t="s">
        <v>15</v>
      </c>
      <c r="M6" s="250"/>
      <c r="N6" s="161"/>
      <c r="O6" s="251"/>
      <c r="P6" s="259" t="s">
        <v>24</v>
      </c>
      <c r="Q6" s="260" t="s">
        <v>25</v>
      </c>
      <c r="R6" s="260" t="s">
        <v>92</v>
      </c>
      <c r="S6" s="166" t="s">
        <v>93</v>
      </c>
      <c r="T6" s="134" t="s">
        <v>94</v>
      </c>
      <c r="U6" s="134" t="s">
        <v>27</v>
      </c>
      <c r="V6" s="235" t="s">
        <v>95</v>
      </c>
      <c r="W6" s="235" t="s">
        <v>32</v>
      </c>
      <c r="X6" s="235" t="s">
        <v>27</v>
      </c>
      <c r="Y6" s="261" t="s">
        <v>33</v>
      </c>
      <c r="Z6" s="262"/>
      <c r="AA6" s="251"/>
      <c r="AB6" s="256"/>
      <c r="AC6" s="256"/>
    </row>
    <row r="7" spans="1:29" ht="26.25" customHeight="1" thickBot="1">
      <c r="A7" s="189"/>
      <c r="B7" s="240"/>
      <c r="C7" s="241"/>
      <c r="D7" s="242"/>
      <c r="E7" s="263"/>
      <c r="F7" s="246"/>
      <c r="G7" s="264"/>
      <c r="H7" s="212"/>
      <c r="I7" s="246"/>
      <c r="J7" s="263"/>
      <c r="K7" s="246"/>
      <c r="L7" s="258"/>
      <c r="M7" s="250"/>
      <c r="N7" s="161"/>
      <c r="O7" s="251"/>
      <c r="P7" s="265"/>
      <c r="Q7" s="266"/>
      <c r="R7" s="266"/>
      <c r="S7" s="267"/>
      <c r="T7" s="268"/>
      <c r="U7" s="268"/>
      <c r="V7" s="269"/>
      <c r="W7" s="251"/>
      <c r="X7" s="251"/>
      <c r="Y7" s="270"/>
      <c r="Z7" s="262"/>
      <c r="AA7" s="251"/>
      <c r="AB7" s="256"/>
      <c r="AC7" s="256"/>
    </row>
    <row r="8" spans="1:51" s="18" customFormat="1" ht="13.5" thickBot="1">
      <c r="A8" s="271" t="s">
        <v>45</v>
      </c>
      <c r="B8" s="21"/>
      <c r="C8" s="21">
        <f>Лист1!C37</f>
        <v>170680.06999999998</v>
      </c>
      <c r="D8" s="21">
        <f>Лист1!D37</f>
        <v>54652.53600918501</v>
      </c>
      <c r="E8" s="272">
        <f>Лист1!E37+Лист1!G37+Лист1!K37</f>
        <v>53400.13</v>
      </c>
      <c r="F8" s="272">
        <f>Лист1!I37</f>
        <v>37708.6</v>
      </c>
      <c r="G8" s="273">
        <f>Лист1!M37</f>
        <v>9270.29</v>
      </c>
      <c r="H8" s="272">
        <f>Лист1!P37</f>
        <v>8116.0999999999985</v>
      </c>
      <c r="I8" s="272">
        <f>Лист1!O37</f>
        <v>100379.01999999999</v>
      </c>
      <c r="J8" s="272">
        <f>Лист1!Q37+Лист1!R37+Лист1!T37</f>
        <v>46291.25</v>
      </c>
      <c r="K8" s="272">
        <f>Лист1!S37</f>
        <v>32688.52</v>
      </c>
      <c r="L8" s="272">
        <f>Лист1!U37</f>
        <v>8035.81</v>
      </c>
      <c r="M8" s="272">
        <f>Лист1!V37</f>
        <v>87015.58</v>
      </c>
      <c r="N8" s="272">
        <f>Лист1!W37</f>
        <v>149784.216009185</v>
      </c>
      <c r="O8" s="272">
        <f>Лист1!X37</f>
        <v>0</v>
      </c>
      <c r="P8" s="272">
        <f>Лист1!Y37</f>
        <v>11731.452000000001</v>
      </c>
      <c r="Q8" s="272">
        <f>Лист1!Z37</f>
        <v>3918.6744908000005</v>
      </c>
      <c r="R8" s="274">
        <f>Лист1!AA37+Лист1!AB37+Лист1!AC37+Лист1!AD37+Лист1!AE37+Лист1!AF37+Лист1!AI37+Лист1!AJ37+Лист1!AP37</f>
        <v>85744.53598258478</v>
      </c>
      <c r="S8" s="274">
        <f>Лист1!AK37+Лист1!AM37</f>
        <v>34862.9548</v>
      </c>
      <c r="T8" s="274">
        <f>Лист1!AL37</f>
        <v>47.8</v>
      </c>
      <c r="U8" s="274">
        <v>0</v>
      </c>
      <c r="V8" s="274">
        <f>0</f>
        <v>0</v>
      </c>
      <c r="W8" s="274">
        <v>0</v>
      </c>
      <c r="X8" s="274">
        <v>0</v>
      </c>
      <c r="Y8" s="274">
        <f>Лист1!AS37</f>
        <v>136305.4172733848</v>
      </c>
      <c r="Z8" s="274">
        <f>'[2]Лист1'!$BC$39</f>
        <v>0</v>
      </c>
      <c r="AA8" s="21">
        <f>Y8</f>
        <v>136305.4172733848</v>
      </c>
      <c r="AB8" s="21">
        <f>Лист1!AU37</f>
        <v>13478.798735800214</v>
      </c>
      <c r="AC8" s="21">
        <f>Лист1!AV37</f>
        <v>-13363.440000000002</v>
      </c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1"/>
    </row>
    <row r="9" spans="1:37" ht="12.75">
      <c r="A9" s="275" t="s">
        <v>96</v>
      </c>
      <c r="B9" s="276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276"/>
      <c r="AB9" s="276"/>
      <c r="AC9" s="276"/>
      <c r="AD9" s="221"/>
      <c r="AE9" s="221"/>
      <c r="AF9" s="221"/>
      <c r="AG9" s="221"/>
      <c r="AH9" s="221"/>
      <c r="AI9" s="221"/>
      <c r="AJ9" s="221"/>
      <c r="AK9" s="221"/>
    </row>
    <row r="10" spans="1:43" ht="12.75">
      <c r="A10" s="276" t="s">
        <v>82</v>
      </c>
      <c r="B10" s="105">
        <v>896.9</v>
      </c>
      <c r="C10" s="106">
        <f>B10*8.55*0.7</f>
        <v>5367.9465</v>
      </c>
      <c r="D10" s="107">
        <v>479.1556</v>
      </c>
      <c r="E10" s="277">
        <v>4722.71</v>
      </c>
      <c r="F10" s="277">
        <v>1605.33</v>
      </c>
      <c r="G10" s="277">
        <v>556.72</v>
      </c>
      <c r="H10" s="277"/>
      <c r="I10" s="278">
        <f>E10+F10+G10</f>
        <v>6884.76</v>
      </c>
      <c r="J10" s="110">
        <v>0</v>
      </c>
      <c r="K10" s="110">
        <v>1577.09</v>
      </c>
      <c r="L10" s="279">
        <v>387.65</v>
      </c>
      <c r="M10" s="105">
        <f>SUM(J10:L10)</f>
        <v>1964.7399999999998</v>
      </c>
      <c r="N10" s="280">
        <f>M10+D10</f>
        <v>2443.8956</v>
      </c>
      <c r="O10" s="280"/>
      <c r="P10" s="281">
        <f aca="true" t="shared" si="0" ref="P10:P21">0.67*B10</f>
        <v>600.923</v>
      </c>
      <c r="Q10" s="281">
        <f aca="true" t="shared" si="1" ref="Q10:Q21">B10*0.2</f>
        <v>179.38</v>
      </c>
      <c r="R10" s="281">
        <f aca="true" t="shared" si="2" ref="R10:R21">(4.23*B10)</f>
        <v>3793.887</v>
      </c>
      <c r="S10" s="282"/>
      <c r="T10" s="282"/>
      <c r="U10" s="282"/>
      <c r="V10" s="283"/>
      <c r="W10" s="283"/>
      <c r="X10" s="283">
        <f aca="true" t="shared" si="3" ref="X10:X15">V10*0.18</f>
        <v>0</v>
      </c>
      <c r="Y10" s="283">
        <f>SUM(P10:X10)</f>
        <v>4574.1900000000005</v>
      </c>
      <c r="Z10" s="284"/>
      <c r="AA10" s="284">
        <f>Y10</f>
        <v>4574.1900000000005</v>
      </c>
      <c r="AB10" s="281">
        <f>N10-AA10</f>
        <v>-2130.2944000000007</v>
      </c>
      <c r="AC10" s="284">
        <f>M10-I10</f>
        <v>-4920.02</v>
      </c>
      <c r="AD10" s="223"/>
      <c r="AE10" s="223"/>
      <c r="AF10" s="223"/>
      <c r="AG10" s="223"/>
      <c r="AH10" s="221"/>
      <c r="AI10" s="221"/>
      <c r="AJ10" s="221"/>
      <c r="AK10" s="221"/>
      <c r="AL10" s="221"/>
      <c r="AM10" s="221"/>
      <c r="AN10" s="221"/>
      <c r="AO10" s="221"/>
      <c r="AP10" s="221"/>
      <c r="AQ10" s="221"/>
    </row>
    <row r="11" spans="1:44" ht="12.75">
      <c r="A11" s="276" t="s">
        <v>83</v>
      </c>
      <c r="B11" s="285">
        <v>896.9</v>
      </c>
      <c r="C11" s="106">
        <f>B11*8.55*0.8</f>
        <v>6134.796000000001</v>
      </c>
      <c r="D11" s="107">
        <v>479.1556</v>
      </c>
      <c r="E11" s="286">
        <v>1889.07</v>
      </c>
      <c r="F11" s="277">
        <v>1605.33</v>
      </c>
      <c r="G11" s="287">
        <v>556.72</v>
      </c>
      <c r="H11" s="288"/>
      <c r="I11" s="289">
        <f>E11+F11+G11</f>
        <v>4051.12</v>
      </c>
      <c r="J11" s="290">
        <v>2174.82</v>
      </c>
      <c r="K11" s="110">
        <v>1342.87</v>
      </c>
      <c r="L11" s="279">
        <v>433.36</v>
      </c>
      <c r="M11" s="291">
        <f>SUM(J11:L11)</f>
        <v>3951.05</v>
      </c>
      <c r="N11" s="280">
        <f>M11+D11</f>
        <v>4430.2056</v>
      </c>
      <c r="O11" s="280"/>
      <c r="P11" s="281">
        <f t="shared" si="0"/>
        <v>600.923</v>
      </c>
      <c r="Q11" s="281">
        <f t="shared" si="1"/>
        <v>179.38</v>
      </c>
      <c r="R11" s="281">
        <f t="shared" si="2"/>
        <v>3793.887</v>
      </c>
      <c r="S11" s="282"/>
      <c r="T11" s="282"/>
      <c r="U11" s="282"/>
      <c r="V11" s="283"/>
      <c r="W11" s="283"/>
      <c r="X11" s="283">
        <f t="shared" si="3"/>
        <v>0</v>
      </c>
      <c r="Y11" s="283">
        <f>SUM(P11:X11)</f>
        <v>4574.1900000000005</v>
      </c>
      <c r="Z11" s="284"/>
      <c r="AA11" s="284">
        <f aca="true" t="shared" si="4" ref="AA11:AA21">Y11</f>
        <v>4574.1900000000005</v>
      </c>
      <c r="AB11" s="281">
        <f aca="true" t="shared" si="5" ref="AB11:AB21">N11-AA11</f>
        <v>-143.98440000000028</v>
      </c>
      <c r="AC11" s="284">
        <f aca="true" t="shared" si="6" ref="AC11:AC21">M11-I11</f>
        <v>-100.06999999999971</v>
      </c>
      <c r="AD11" s="223"/>
      <c r="AE11" s="223"/>
      <c r="AF11" s="223"/>
      <c r="AG11" s="223"/>
      <c r="AH11" s="223"/>
      <c r="AI11" s="221"/>
      <c r="AJ11" s="221"/>
      <c r="AK11" s="221"/>
      <c r="AL11" s="221"/>
      <c r="AM11" s="221"/>
      <c r="AN11" s="221"/>
      <c r="AO11" s="221"/>
      <c r="AP11" s="221"/>
      <c r="AQ11" s="221"/>
      <c r="AR11" s="221"/>
    </row>
    <row r="12" spans="1:34" ht="12.75">
      <c r="A12" s="276" t="s">
        <v>38</v>
      </c>
      <c r="B12" s="105">
        <v>896.9</v>
      </c>
      <c r="C12" s="106">
        <f>B12*8.55*0.5</f>
        <v>3834.2475000000004</v>
      </c>
      <c r="D12" s="107">
        <v>479.1556</v>
      </c>
      <c r="E12" s="277">
        <v>3305.89</v>
      </c>
      <c r="F12" s="277">
        <v>1605.33</v>
      </c>
      <c r="G12" s="277">
        <v>556.72</v>
      </c>
      <c r="H12" s="288"/>
      <c r="I12" s="292">
        <f>E12+F12+G12</f>
        <v>5467.94</v>
      </c>
      <c r="J12" s="110">
        <v>2478.04</v>
      </c>
      <c r="K12" s="110">
        <v>1413.21</v>
      </c>
      <c r="L12" s="110">
        <v>470.49</v>
      </c>
      <c r="M12" s="105">
        <f>SUM(J12:L12)</f>
        <v>4361.74</v>
      </c>
      <c r="N12" s="280">
        <f>M12+D12</f>
        <v>4840.8956</v>
      </c>
      <c r="O12" s="280"/>
      <c r="P12" s="281">
        <f t="shared" si="0"/>
        <v>600.923</v>
      </c>
      <c r="Q12" s="281">
        <f t="shared" si="1"/>
        <v>179.38</v>
      </c>
      <c r="R12" s="281">
        <f t="shared" si="2"/>
        <v>3793.887</v>
      </c>
      <c r="S12" s="282">
        <v>175.12</v>
      </c>
      <c r="T12" s="282"/>
      <c r="U12" s="282"/>
      <c r="V12" s="283"/>
      <c r="W12" s="283"/>
      <c r="X12" s="283">
        <f t="shared" si="3"/>
        <v>0</v>
      </c>
      <c r="Y12" s="283">
        <f>SUM(P12:X12)</f>
        <v>4749.31</v>
      </c>
      <c r="Z12" s="284"/>
      <c r="AA12" s="284">
        <f t="shared" si="4"/>
        <v>4749.31</v>
      </c>
      <c r="AB12" s="281">
        <f t="shared" si="5"/>
        <v>91.58559999999943</v>
      </c>
      <c r="AC12" s="284">
        <f t="shared" si="6"/>
        <v>-1106.1999999999998</v>
      </c>
      <c r="AD12" s="223"/>
      <c r="AE12" s="221"/>
      <c r="AF12" s="221"/>
      <c r="AG12" s="221"/>
      <c r="AH12" s="221"/>
    </row>
    <row r="13" spans="1:42" ht="12.75">
      <c r="A13" s="293" t="s">
        <v>39</v>
      </c>
      <c r="B13" s="105">
        <v>896.9</v>
      </c>
      <c r="C13" s="106">
        <f>B13*8.55*0.7</f>
        <v>5367.9465</v>
      </c>
      <c r="D13" s="338">
        <v>479.1556</v>
      </c>
      <c r="E13" s="339">
        <v>3305.89</v>
      </c>
      <c r="F13" s="277">
        <v>1605.33</v>
      </c>
      <c r="G13" s="277">
        <v>556.72</v>
      </c>
      <c r="H13" s="287"/>
      <c r="I13" s="294">
        <f>E13+F13+G13</f>
        <v>5467.94</v>
      </c>
      <c r="J13" s="110">
        <v>1934.73</v>
      </c>
      <c r="K13" s="110">
        <v>1847.04</v>
      </c>
      <c r="L13" s="279">
        <v>549.89</v>
      </c>
      <c r="M13" s="295">
        <f>SUM(J13:L13)</f>
        <v>4331.66</v>
      </c>
      <c r="N13" s="296">
        <f>M13+D13</f>
        <v>4810.8156</v>
      </c>
      <c r="O13" s="296"/>
      <c r="P13" s="297">
        <f t="shared" si="0"/>
        <v>600.923</v>
      </c>
      <c r="Q13" s="297">
        <f t="shared" si="1"/>
        <v>179.38</v>
      </c>
      <c r="R13" s="297">
        <f t="shared" si="2"/>
        <v>3793.887</v>
      </c>
      <c r="S13" s="298">
        <v>180.37</v>
      </c>
      <c r="T13" s="298"/>
      <c r="U13" s="298"/>
      <c r="V13" s="299"/>
      <c r="W13" s="299"/>
      <c r="X13" s="299">
        <f t="shared" si="3"/>
        <v>0</v>
      </c>
      <c r="Y13" s="299">
        <f>SUM(P13:X13)</f>
        <v>4754.56</v>
      </c>
      <c r="Z13" s="340"/>
      <c r="AA13" s="284">
        <f t="shared" si="4"/>
        <v>4754.56</v>
      </c>
      <c r="AB13" s="281">
        <f t="shared" si="5"/>
        <v>56.255599999999504</v>
      </c>
      <c r="AC13" s="284">
        <f t="shared" si="6"/>
        <v>-1136.2799999999997</v>
      </c>
      <c r="AD13" s="223"/>
      <c r="AE13" s="223"/>
      <c r="AF13" s="223"/>
      <c r="AG13" s="223"/>
      <c r="AH13" s="223"/>
      <c r="AI13" s="221"/>
      <c r="AJ13" s="221"/>
      <c r="AK13" s="221"/>
      <c r="AL13" s="221"/>
      <c r="AM13" s="221"/>
      <c r="AN13" s="221"/>
      <c r="AO13" s="221"/>
      <c r="AP13" s="221"/>
    </row>
    <row r="14" spans="1:42" ht="12.75">
      <c r="A14" s="293" t="s">
        <v>40</v>
      </c>
      <c r="B14" s="105">
        <v>896.9</v>
      </c>
      <c r="C14" s="106">
        <f>B14*8.55*0.7</f>
        <v>5367.9465</v>
      </c>
      <c r="D14" s="338">
        <v>479.1556</v>
      </c>
      <c r="E14" s="277">
        <v>4722.71</v>
      </c>
      <c r="F14" s="277">
        <v>2293.32</v>
      </c>
      <c r="G14" s="287">
        <v>795.35</v>
      </c>
      <c r="H14" s="288"/>
      <c r="I14" s="341">
        <f>SUM(E14:G14)</f>
        <v>7811.380000000001</v>
      </c>
      <c r="J14" s="110">
        <v>2912.64</v>
      </c>
      <c r="K14" s="110">
        <v>1502.41</v>
      </c>
      <c r="L14" s="279">
        <v>512.51</v>
      </c>
      <c r="M14" s="342">
        <f>SUM(J14:L14)</f>
        <v>4927.56</v>
      </c>
      <c r="N14" s="300">
        <f>M14+D14</f>
        <v>5406.7156</v>
      </c>
      <c r="O14" s="296"/>
      <c r="P14" s="297">
        <f t="shared" si="0"/>
        <v>600.923</v>
      </c>
      <c r="Q14" s="297">
        <f t="shared" si="1"/>
        <v>179.38</v>
      </c>
      <c r="R14" s="297">
        <f t="shared" si="2"/>
        <v>3793.887</v>
      </c>
      <c r="S14" s="298"/>
      <c r="T14" s="298"/>
      <c r="U14" s="298"/>
      <c r="V14" s="299"/>
      <c r="W14" s="299"/>
      <c r="X14" s="299">
        <f t="shared" si="3"/>
        <v>0</v>
      </c>
      <c r="Y14" s="299">
        <f>SUM(P14:X14)</f>
        <v>4574.1900000000005</v>
      </c>
      <c r="Z14" s="340"/>
      <c r="AA14" s="284">
        <f t="shared" si="4"/>
        <v>4574.1900000000005</v>
      </c>
      <c r="AB14" s="281">
        <f t="shared" si="5"/>
        <v>832.5255999999999</v>
      </c>
      <c r="AC14" s="284">
        <f t="shared" si="6"/>
        <v>-2883.8200000000006</v>
      </c>
      <c r="AD14" s="223"/>
      <c r="AE14" s="223"/>
      <c r="AF14" s="223"/>
      <c r="AG14" s="223"/>
      <c r="AH14" s="223"/>
      <c r="AI14" s="221"/>
      <c r="AJ14" s="221"/>
      <c r="AK14" s="221"/>
      <c r="AL14" s="221"/>
      <c r="AM14" s="221"/>
      <c r="AN14" s="221"/>
      <c r="AO14" s="221"/>
      <c r="AP14" s="221"/>
    </row>
    <row r="15" spans="1:42" ht="12.75">
      <c r="A15" s="293" t="s">
        <v>41</v>
      </c>
      <c r="B15" s="301">
        <v>896.9</v>
      </c>
      <c r="C15" s="106">
        <f aca="true" t="shared" si="7" ref="C15:C21">B15*8.55</f>
        <v>7668.495000000001</v>
      </c>
      <c r="D15" s="302">
        <v>479.15560000000005</v>
      </c>
      <c r="E15" s="277">
        <v>4722.71</v>
      </c>
      <c r="F15" s="277">
        <v>2449.7</v>
      </c>
      <c r="G15" s="287">
        <v>795.35</v>
      </c>
      <c r="H15" s="288"/>
      <c r="I15" s="303">
        <f aca="true" t="shared" si="8" ref="I15:I21">SUM(E15:G15)</f>
        <v>7967.76</v>
      </c>
      <c r="J15" s="304">
        <v>3298.76</v>
      </c>
      <c r="K15" s="304">
        <v>1479.47</v>
      </c>
      <c r="L15" s="305">
        <v>512.11</v>
      </c>
      <c r="M15" s="306">
        <v>5290.34</v>
      </c>
      <c r="N15" s="296">
        <f>M15+D15</f>
        <v>5769.4956</v>
      </c>
      <c r="O15" s="296"/>
      <c r="P15" s="297">
        <f t="shared" si="0"/>
        <v>600.923</v>
      </c>
      <c r="Q15" s="297">
        <f t="shared" si="1"/>
        <v>179.38</v>
      </c>
      <c r="R15" s="297">
        <f t="shared" si="2"/>
        <v>3793.887</v>
      </c>
      <c r="S15" s="298"/>
      <c r="T15" s="298"/>
      <c r="U15" s="298"/>
      <c r="V15" s="343"/>
      <c r="W15" s="351"/>
      <c r="X15" s="344">
        <f t="shared" si="3"/>
        <v>0</v>
      </c>
      <c r="Y15" s="307">
        <f>SUM(P15:X15)</f>
        <v>4574.1900000000005</v>
      </c>
      <c r="Z15" s="345"/>
      <c r="AA15" s="284">
        <f t="shared" si="4"/>
        <v>4574.1900000000005</v>
      </c>
      <c r="AB15" s="281">
        <f t="shared" si="5"/>
        <v>1195.3055999999997</v>
      </c>
      <c r="AC15" s="284">
        <f t="shared" si="6"/>
        <v>-2677.42</v>
      </c>
      <c r="AD15" s="223"/>
      <c r="AE15" s="223"/>
      <c r="AF15" s="223"/>
      <c r="AG15" s="223"/>
      <c r="AH15" s="223"/>
      <c r="AI15" s="221"/>
      <c r="AJ15" s="221"/>
      <c r="AK15" s="221"/>
      <c r="AL15" s="221"/>
      <c r="AM15" s="221"/>
      <c r="AN15" s="221"/>
      <c r="AO15" s="221"/>
      <c r="AP15" s="221"/>
    </row>
    <row r="16" spans="1:38" ht="12.75">
      <c r="A16" s="293" t="s">
        <v>42</v>
      </c>
      <c r="B16" s="105">
        <v>896.9</v>
      </c>
      <c r="C16" s="106">
        <f t="shared" si="7"/>
        <v>7668.495000000001</v>
      </c>
      <c r="D16" s="302">
        <v>479.15560000000005</v>
      </c>
      <c r="E16" s="308">
        <v>5214.97</v>
      </c>
      <c r="F16" s="308">
        <v>3081.56</v>
      </c>
      <c r="G16" s="309">
        <v>1013.21</v>
      </c>
      <c r="H16" s="310"/>
      <c r="I16" s="303">
        <f t="shared" si="8"/>
        <v>9309.740000000002</v>
      </c>
      <c r="J16" s="110">
        <v>3969.87</v>
      </c>
      <c r="K16" s="110">
        <v>2632.97</v>
      </c>
      <c r="L16" s="110">
        <v>842.12</v>
      </c>
      <c r="M16" s="346">
        <f>SUM(J16:L16)</f>
        <v>7444.96</v>
      </c>
      <c r="N16" s="312">
        <f>M16+D16</f>
        <v>7924.1156</v>
      </c>
      <c r="O16" s="296"/>
      <c r="P16" s="297">
        <f t="shared" si="0"/>
        <v>600.923</v>
      </c>
      <c r="Q16" s="297">
        <f t="shared" si="1"/>
        <v>179.38</v>
      </c>
      <c r="R16" s="297">
        <f t="shared" si="2"/>
        <v>3793.887</v>
      </c>
      <c r="S16" s="298"/>
      <c r="T16" s="298"/>
      <c r="U16" s="298"/>
      <c r="V16" s="343">
        <v>-341.88</v>
      </c>
      <c r="W16" s="352"/>
      <c r="X16" s="299">
        <f>V16*0</f>
        <v>0</v>
      </c>
      <c r="Y16" s="299">
        <f>SUM(P16:X16)</f>
        <v>4232.31</v>
      </c>
      <c r="Z16" s="345"/>
      <c r="AA16" s="284">
        <f t="shared" si="4"/>
        <v>4232.31</v>
      </c>
      <c r="AB16" s="281">
        <f t="shared" si="5"/>
        <v>3691.8055999999997</v>
      </c>
      <c r="AC16" s="284">
        <f t="shared" si="6"/>
        <v>-1864.7800000000016</v>
      </c>
      <c r="AD16" s="353"/>
      <c r="AE16" s="221"/>
      <c r="AF16" s="221"/>
      <c r="AG16" s="221"/>
      <c r="AH16" s="221"/>
      <c r="AI16" s="221"/>
      <c r="AJ16" s="221"/>
      <c r="AK16" s="221"/>
      <c r="AL16" s="221"/>
    </row>
    <row r="17" spans="1:37" ht="12.75">
      <c r="A17" s="293" t="s">
        <v>43</v>
      </c>
      <c r="B17" s="105">
        <v>896.9</v>
      </c>
      <c r="C17" s="106">
        <f t="shared" si="7"/>
        <v>7668.495000000001</v>
      </c>
      <c r="D17" s="302">
        <v>479.15560000000005</v>
      </c>
      <c r="E17" s="277">
        <v>4727.84</v>
      </c>
      <c r="F17" s="277">
        <v>2295.84</v>
      </c>
      <c r="G17" s="277">
        <v>796.25</v>
      </c>
      <c r="H17" s="288"/>
      <c r="I17" s="303">
        <f t="shared" si="8"/>
        <v>7819.93</v>
      </c>
      <c r="J17" s="110">
        <v>4082.9</v>
      </c>
      <c r="K17" s="110">
        <v>2293.91</v>
      </c>
      <c r="L17" s="110">
        <v>776.97</v>
      </c>
      <c r="M17" s="346">
        <f>SUM(J17:L17)</f>
        <v>7153.78</v>
      </c>
      <c r="N17" s="312">
        <f>M17+D17</f>
        <v>7632.9356</v>
      </c>
      <c r="O17" s="296"/>
      <c r="P17" s="297">
        <f t="shared" si="0"/>
        <v>600.923</v>
      </c>
      <c r="Q17" s="297">
        <f t="shared" si="1"/>
        <v>179.38</v>
      </c>
      <c r="R17" s="297">
        <f t="shared" si="2"/>
        <v>3793.887</v>
      </c>
      <c r="S17" s="298"/>
      <c r="T17" s="298"/>
      <c r="U17" s="298"/>
      <c r="V17" s="343"/>
      <c r="W17" s="351"/>
      <c r="X17" s="344">
        <f>V17*0.18</f>
        <v>0</v>
      </c>
      <c r="Y17" s="299">
        <f>SUM(P17:X17)</f>
        <v>4574.1900000000005</v>
      </c>
      <c r="Z17" s="345"/>
      <c r="AA17" s="284">
        <f t="shared" si="4"/>
        <v>4574.1900000000005</v>
      </c>
      <c r="AB17" s="281">
        <f t="shared" si="5"/>
        <v>3058.7455999999993</v>
      </c>
      <c r="AC17" s="284">
        <f t="shared" si="6"/>
        <v>-666.1500000000005</v>
      </c>
      <c r="AD17" s="221"/>
      <c r="AE17" s="221"/>
      <c r="AF17" s="221"/>
      <c r="AG17" s="221"/>
      <c r="AH17" s="221"/>
      <c r="AI17" s="221"/>
      <c r="AJ17" s="221"/>
      <c r="AK17" s="221"/>
    </row>
    <row r="18" spans="1:37" ht="12.75">
      <c r="A18" s="293" t="s">
        <v>44</v>
      </c>
      <c r="B18" s="105">
        <v>896.9</v>
      </c>
      <c r="C18" s="106">
        <f t="shared" si="7"/>
        <v>7668.495000000001</v>
      </c>
      <c r="D18" s="302">
        <v>479.15560000000005</v>
      </c>
      <c r="E18" s="277">
        <v>4727.84</v>
      </c>
      <c r="F18" s="277">
        <v>2295.84</v>
      </c>
      <c r="G18" s="277">
        <v>796.25</v>
      </c>
      <c r="H18" s="288"/>
      <c r="I18" s="303">
        <f t="shared" si="8"/>
        <v>7819.93</v>
      </c>
      <c r="J18" s="110">
        <v>4133.21</v>
      </c>
      <c r="K18" s="110">
        <v>2080.13</v>
      </c>
      <c r="L18" s="110">
        <v>713.97</v>
      </c>
      <c r="M18" s="311">
        <f>SUM(J18:L18)</f>
        <v>6927.31</v>
      </c>
      <c r="N18" s="312">
        <f>M18+D18</f>
        <v>7406.4656</v>
      </c>
      <c r="O18" s="296"/>
      <c r="P18" s="297">
        <f t="shared" si="0"/>
        <v>600.923</v>
      </c>
      <c r="Q18" s="297">
        <f t="shared" si="1"/>
        <v>179.38</v>
      </c>
      <c r="R18" s="297">
        <f t="shared" si="2"/>
        <v>3793.887</v>
      </c>
      <c r="S18" s="298"/>
      <c r="T18" s="298"/>
      <c r="U18" s="298"/>
      <c r="V18" s="343"/>
      <c r="W18" s="351"/>
      <c r="X18" s="344">
        <f>V18*0.18</f>
        <v>0</v>
      </c>
      <c r="Y18" s="299">
        <f>SUM(P18:X18)</f>
        <v>4574.1900000000005</v>
      </c>
      <c r="Z18" s="345"/>
      <c r="AA18" s="284">
        <f t="shared" si="4"/>
        <v>4574.1900000000005</v>
      </c>
      <c r="AB18" s="281">
        <f t="shared" si="5"/>
        <v>2832.2756</v>
      </c>
      <c r="AC18" s="284">
        <f t="shared" si="6"/>
        <v>-892.6199999999999</v>
      </c>
      <c r="AD18" s="221"/>
      <c r="AE18" s="221"/>
      <c r="AF18" s="221"/>
      <c r="AG18" s="221"/>
      <c r="AH18" s="221"/>
      <c r="AI18" s="221"/>
      <c r="AJ18" s="221"/>
      <c r="AK18" s="221"/>
    </row>
    <row r="19" spans="1:37" ht="12.75">
      <c r="A19" s="293" t="s">
        <v>34</v>
      </c>
      <c r="B19" s="105">
        <v>896.9</v>
      </c>
      <c r="C19" s="106">
        <f t="shared" si="7"/>
        <v>7668.495000000001</v>
      </c>
      <c r="D19" s="302">
        <v>479.15560000000005</v>
      </c>
      <c r="E19" s="277">
        <v>4727.84</v>
      </c>
      <c r="F19" s="277">
        <v>2295.84</v>
      </c>
      <c r="G19" s="347">
        <v>796.25</v>
      </c>
      <c r="H19" s="292"/>
      <c r="I19" s="303">
        <f t="shared" si="8"/>
        <v>7819.93</v>
      </c>
      <c r="J19" s="348">
        <v>4877.98</v>
      </c>
      <c r="K19" s="348">
        <v>2530.55</v>
      </c>
      <c r="L19" s="349">
        <v>861.56</v>
      </c>
      <c r="M19" s="311">
        <f>SUM(J19:L19)</f>
        <v>8270.09</v>
      </c>
      <c r="N19" s="312">
        <f>M19+D19</f>
        <v>8749.2456</v>
      </c>
      <c r="O19" s="296"/>
      <c r="P19" s="297">
        <f t="shared" si="0"/>
        <v>600.923</v>
      </c>
      <c r="Q19" s="297">
        <f t="shared" si="1"/>
        <v>179.38</v>
      </c>
      <c r="R19" s="297">
        <f t="shared" si="2"/>
        <v>3793.887</v>
      </c>
      <c r="S19" s="298"/>
      <c r="T19" s="298"/>
      <c r="U19" s="298"/>
      <c r="V19" s="343"/>
      <c r="W19" s="351"/>
      <c r="X19" s="344">
        <f>V19*0.18</f>
        <v>0</v>
      </c>
      <c r="Y19" s="299">
        <f>SUM(P19:X19)</f>
        <v>4574.1900000000005</v>
      </c>
      <c r="Z19" s="345"/>
      <c r="AA19" s="284">
        <f t="shared" si="4"/>
        <v>4574.1900000000005</v>
      </c>
      <c r="AB19" s="281">
        <f t="shared" si="5"/>
        <v>4175.0556</v>
      </c>
      <c r="AC19" s="284">
        <f t="shared" si="6"/>
        <v>450.15999999999985</v>
      </c>
      <c r="AD19" s="221"/>
      <c r="AE19" s="221"/>
      <c r="AF19" s="221"/>
      <c r="AG19" s="221"/>
      <c r="AH19" s="221"/>
      <c r="AI19" s="221"/>
      <c r="AJ19" s="221"/>
      <c r="AK19" s="221"/>
    </row>
    <row r="20" spans="1:37" ht="12.75">
      <c r="A20" s="276" t="s">
        <v>35</v>
      </c>
      <c r="B20" s="105">
        <v>896.9</v>
      </c>
      <c r="C20" s="106">
        <f t="shared" si="7"/>
        <v>7668.495000000001</v>
      </c>
      <c r="D20" s="302">
        <v>479.15560000000005</v>
      </c>
      <c r="E20" s="277">
        <v>4727.84</v>
      </c>
      <c r="F20" s="277">
        <v>2295.83</v>
      </c>
      <c r="G20" s="277">
        <v>796.25</v>
      </c>
      <c r="H20" s="288"/>
      <c r="I20" s="303">
        <f t="shared" si="8"/>
        <v>7819.92</v>
      </c>
      <c r="J20" s="348">
        <v>3356.45</v>
      </c>
      <c r="K20" s="348">
        <v>2259.97</v>
      </c>
      <c r="L20" s="348">
        <v>719.96</v>
      </c>
      <c r="M20" s="311">
        <f>SUM(J20:L20)</f>
        <v>6336.38</v>
      </c>
      <c r="N20" s="312">
        <f>M20+D20</f>
        <v>6815.5356</v>
      </c>
      <c r="O20" s="296"/>
      <c r="P20" s="297">
        <f t="shared" si="0"/>
        <v>600.923</v>
      </c>
      <c r="Q20" s="297">
        <f t="shared" si="1"/>
        <v>179.38</v>
      </c>
      <c r="R20" s="297">
        <f t="shared" si="2"/>
        <v>3793.887</v>
      </c>
      <c r="S20" s="298"/>
      <c r="T20" s="298"/>
      <c r="U20" s="298"/>
      <c r="V20" s="343"/>
      <c r="W20" s="351"/>
      <c r="X20" s="344">
        <f>V20*0.18</f>
        <v>0</v>
      </c>
      <c r="Y20" s="299">
        <f>SUM(P20:X20)</f>
        <v>4574.1900000000005</v>
      </c>
      <c r="Z20" s="345"/>
      <c r="AA20" s="284">
        <f t="shared" si="4"/>
        <v>4574.1900000000005</v>
      </c>
      <c r="AB20" s="281">
        <f t="shared" si="5"/>
        <v>2241.3455999999996</v>
      </c>
      <c r="AC20" s="284">
        <f t="shared" si="6"/>
        <v>-1483.54</v>
      </c>
      <c r="AD20" s="221"/>
      <c r="AE20" s="221"/>
      <c r="AF20" s="221"/>
      <c r="AG20" s="221"/>
      <c r="AH20" s="221"/>
      <c r="AI20" s="221"/>
      <c r="AJ20" s="221"/>
      <c r="AK20" s="221"/>
    </row>
    <row r="21" spans="1:37" ht="13.5" thickBot="1">
      <c r="A21" s="313" t="s">
        <v>36</v>
      </c>
      <c r="B21" s="105">
        <v>896.9</v>
      </c>
      <c r="C21" s="106">
        <f t="shared" si="7"/>
        <v>7668.495000000001</v>
      </c>
      <c r="D21" s="302">
        <v>439.96700000000004</v>
      </c>
      <c r="E21" s="308">
        <v>4727.84</v>
      </c>
      <c r="F21" s="308">
        <v>2295.84</v>
      </c>
      <c r="G21" s="308">
        <v>796.25</v>
      </c>
      <c r="H21" s="310"/>
      <c r="I21" s="303">
        <f t="shared" si="8"/>
        <v>7819.93</v>
      </c>
      <c r="J21" s="304">
        <v>7306.47</v>
      </c>
      <c r="K21" s="304">
        <v>3825.64</v>
      </c>
      <c r="L21" s="301">
        <v>1299.03</v>
      </c>
      <c r="M21" s="311">
        <f>SUM(J21:L21)</f>
        <v>12431.140000000001</v>
      </c>
      <c r="N21" s="312">
        <f>M21+D21</f>
        <v>12871.107000000002</v>
      </c>
      <c r="O21" s="296"/>
      <c r="P21" s="297">
        <f t="shared" si="0"/>
        <v>600.923</v>
      </c>
      <c r="Q21" s="297">
        <f t="shared" si="1"/>
        <v>179.38</v>
      </c>
      <c r="R21" s="297">
        <f t="shared" si="2"/>
        <v>3793.887</v>
      </c>
      <c r="S21" s="298">
        <f>1494</f>
        <v>1494</v>
      </c>
      <c r="T21" s="298"/>
      <c r="U21" s="350">
        <f>18+54+6+130</f>
        <v>208</v>
      </c>
      <c r="V21" s="343"/>
      <c r="W21" s="351"/>
      <c r="X21" s="344">
        <f>V21*0.18</f>
        <v>0</v>
      </c>
      <c r="Y21" s="299">
        <f>SUM(P21:X21)</f>
        <v>6276.1900000000005</v>
      </c>
      <c r="Z21" s="345"/>
      <c r="AA21" s="284">
        <f t="shared" si="4"/>
        <v>6276.1900000000005</v>
      </c>
      <c r="AB21" s="281">
        <f t="shared" si="5"/>
        <v>6594.917000000001</v>
      </c>
      <c r="AC21" s="284">
        <f t="shared" si="6"/>
        <v>4611.210000000001</v>
      </c>
      <c r="AD21" s="221"/>
      <c r="AE21" s="221"/>
      <c r="AF21" s="221"/>
      <c r="AG21" s="221"/>
      <c r="AH21" s="221"/>
      <c r="AI21" s="221"/>
      <c r="AJ21" s="221"/>
      <c r="AK21" s="221"/>
    </row>
    <row r="22" spans="1:37" s="18" customFormat="1" ht="13.5" thickBot="1">
      <c r="A22" s="314" t="s">
        <v>5</v>
      </c>
      <c r="B22" s="315"/>
      <c r="C22" s="315"/>
      <c r="D22" s="316">
        <v>1734.12</v>
      </c>
      <c r="E22" s="316">
        <v>18214.36</v>
      </c>
      <c r="F22" s="316">
        <v>8844.61</v>
      </c>
      <c r="G22" s="316">
        <v>3067.09</v>
      </c>
      <c r="H22" s="315">
        <v>0</v>
      </c>
      <c r="I22" s="316">
        <v>30126.06</v>
      </c>
      <c r="J22" s="316">
        <v>13442.91</v>
      </c>
      <c r="K22" s="316">
        <v>7960.82</v>
      </c>
      <c r="L22" s="316">
        <v>2594.66</v>
      </c>
      <c r="M22" s="316">
        <v>23998.39</v>
      </c>
      <c r="N22" s="316">
        <v>25732.51</v>
      </c>
      <c r="O22" s="315">
        <v>0</v>
      </c>
      <c r="P22" s="316">
        <v>2197.33</v>
      </c>
      <c r="Q22" s="315">
        <v>655.92</v>
      </c>
      <c r="R22" s="316">
        <v>13872.71</v>
      </c>
      <c r="S22" s="316">
        <v>2986.54</v>
      </c>
      <c r="T22" s="315">
        <v>0</v>
      </c>
      <c r="U22" s="315">
        <v>280</v>
      </c>
      <c r="V22" s="315">
        <v>0</v>
      </c>
      <c r="W22" s="316">
        <f>SUM(V10:V21)</f>
        <v>-341.88</v>
      </c>
      <c r="X22" s="316">
        <f>SUM(X10:X21)</f>
        <v>0</v>
      </c>
      <c r="Y22" s="316">
        <f>SUM(Y10:Y21)</f>
        <v>56605.890000000014</v>
      </c>
      <c r="Z22" s="316">
        <f>SUM(Z10:Z21)</f>
        <v>0</v>
      </c>
      <c r="AA22" s="316">
        <f>SUM(AA10:AA21)</f>
        <v>56605.890000000014</v>
      </c>
      <c r="AB22" s="316">
        <f>SUM(AB10:AB21)</f>
        <v>22495.538599999996</v>
      </c>
      <c r="AC22" s="316">
        <f>SUM(AC10:AC21)</f>
        <v>-12669.53</v>
      </c>
      <c r="AD22" s="61"/>
      <c r="AE22" s="61"/>
      <c r="AF22" s="61"/>
      <c r="AG22" s="61"/>
      <c r="AH22" s="61"/>
      <c r="AI22" s="61"/>
      <c r="AJ22" s="61"/>
      <c r="AK22" s="61"/>
    </row>
    <row r="23" spans="1:37" ht="13.5" thickBot="1">
      <c r="A23" s="317"/>
      <c r="B23" s="317"/>
      <c r="C23" s="317"/>
      <c r="D23" s="317"/>
      <c r="E23" s="317"/>
      <c r="F23" s="317"/>
      <c r="G23" s="317"/>
      <c r="H23" s="317"/>
      <c r="I23" s="317"/>
      <c r="J23" s="317"/>
      <c r="K23" s="317"/>
      <c r="L23" s="317"/>
      <c r="M23" s="317"/>
      <c r="N23" s="317"/>
      <c r="O23" s="317"/>
      <c r="P23" s="317"/>
      <c r="Q23" s="317"/>
      <c r="R23" s="317"/>
      <c r="S23" s="317"/>
      <c r="T23" s="317"/>
      <c r="U23" s="317"/>
      <c r="V23" s="317"/>
      <c r="W23" s="317"/>
      <c r="X23" s="317"/>
      <c r="Y23" s="317"/>
      <c r="Z23" s="317"/>
      <c r="AA23" s="317"/>
      <c r="AB23" s="317"/>
      <c r="AC23" s="317"/>
      <c r="AD23" s="221"/>
      <c r="AE23" s="221"/>
      <c r="AF23" s="221"/>
      <c r="AG23" s="221"/>
      <c r="AH23" s="221"/>
      <c r="AI23" s="221"/>
      <c r="AJ23" s="221"/>
      <c r="AK23" s="221"/>
    </row>
    <row r="24" spans="1:29" s="18" customFormat="1" ht="13.5" thickBot="1">
      <c r="A24" s="314" t="s">
        <v>97</v>
      </c>
      <c r="B24" s="315"/>
      <c r="C24" s="315"/>
      <c r="D24" s="316">
        <v>9330.22</v>
      </c>
      <c r="E24" s="316">
        <v>263129.61</v>
      </c>
      <c r="F24" s="316">
        <v>181875.86</v>
      </c>
      <c r="G24" s="316">
        <v>45624.38</v>
      </c>
      <c r="H24" s="316">
        <v>71944.81</v>
      </c>
      <c r="I24" s="316">
        <v>490629.85</v>
      </c>
      <c r="J24" s="316">
        <v>216840.97</v>
      </c>
      <c r="K24" s="316">
        <v>151570.93</v>
      </c>
      <c r="L24" s="316">
        <v>38052.74</v>
      </c>
      <c r="M24" s="316">
        <v>406464.64</v>
      </c>
      <c r="N24" s="316">
        <v>534624.38</v>
      </c>
      <c r="O24" s="315">
        <v>0</v>
      </c>
      <c r="P24" s="318">
        <f aca="true" t="shared" si="9" ref="P24:AB24">P8+P22</f>
        <v>13928.782000000001</v>
      </c>
      <c r="Q24" s="318">
        <f t="shared" si="9"/>
        <v>4574.5944908</v>
      </c>
      <c r="R24" s="318">
        <f t="shared" si="9"/>
        <v>99617.24598258478</v>
      </c>
      <c r="S24" s="318">
        <f t="shared" si="9"/>
        <v>37849.4948</v>
      </c>
      <c r="T24" s="318">
        <f t="shared" si="9"/>
        <v>47.8</v>
      </c>
      <c r="U24" s="318">
        <f t="shared" si="9"/>
        <v>280</v>
      </c>
      <c r="V24" s="318">
        <f t="shared" si="9"/>
        <v>0</v>
      </c>
      <c r="W24" s="318">
        <f t="shared" si="9"/>
        <v>-341.88</v>
      </c>
      <c r="X24" s="318">
        <f t="shared" si="9"/>
        <v>0</v>
      </c>
      <c r="Y24" s="318">
        <f t="shared" si="9"/>
        <v>192911.30727338482</v>
      </c>
      <c r="Z24" s="318">
        <f t="shared" si="9"/>
        <v>0</v>
      </c>
      <c r="AA24" s="318">
        <f t="shared" si="9"/>
        <v>192911.30727338482</v>
      </c>
      <c r="AB24" s="318">
        <f t="shared" si="9"/>
        <v>35974.33733580021</v>
      </c>
      <c r="AC24" s="318">
        <f>AC8+AC22</f>
        <v>-26032.97</v>
      </c>
    </row>
    <row r="25" spans="1:29" ht="12.75">
      <c r="A25" s="221"/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</row>
  </sheetData>
  <sheetProtection/>
  <mergeCells count="34">
    <mergeCell ref="X6:X7"/>
    <mergeCell ref="Y6:Y7"/>
    <mergeCell ref="R6:R7"/>
    <mergeCell ref="S6:S7"/>
    <mergeCell ref="T6:T7"/>
    <mergeCell ref="U6:U7"/>
    <mergeCell ref="V6:V7"/>
    <mergeCell ref="W6:W7"/>
    <mergeCell ref="E6:E7"/>
    <mergeCell ref="F6:F7"/>
    <mergeCell ref="G6:G7"/>
    <mergeCell ref="J6:J7"/>
    <mergeCell ref="K6:K7"/>
    <mergeCell ref="L6:L7"/>
    <mergeCell ref="N4:N7"/>
    <mergeCell ref="O4:O7"/>
    <mergeCell ref="P4:Y5"/>
    <mergeCell ref="Z4:AA4"/>
    <mergeCell ref="AB4:AB7"/>
    <mergeCell ref="AC4:AC7"/>
    <mergeCell ref="Z5:Z7"/>
    <mergeCell ref="AA5:AA7"/>
    <mergeCell ref="P6:P7"/>
    <mergeCell ref="Q6:Q7"/>
    <mergeCell ref="A1:O1"/>
    <mergeCell ref="A4:A7"/>
    <mergeCell ref="B4:B7"/>
    <mergeCell ref="C4:C7"/>
    <mergeCell ref="D4:D7"/>
    <mergeCell ref="E4:G5"/>
    <mergeCell ref="H4:H7"/>
    <mergeCell ref="I4:I7"/>
    <mergeCell ref="J4:L5"/>
    <mergeCell ref="M4:M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9"/>
  <sheetViews>
    <sheetView tabSelected="1" workbookViewId="0" topLeftCell="A4">
      <selection activeCell="F16" sqref="F16"/>
    </sheetView>
  </sheetViews>
  <sheetFormatPr defaultColWidth="9.00390625" defaultRowHeight="12.75"/>
  <cols>
    <col min="1" max="1" width="10.00390625" style="222" customWidth="1"/>
    <col min="2" max="2" width="9.125" style="222" customWidth="1"/>
    <col min="3" max="3" width="9.875" style="222" customWidth="1"/>
    <col min="4" max="4" width="9.625" style="222" customWidth="1"/>
    <col min="5" max="5" width="10.125" style="222" bestFit="1" customWidth="1"/>
    <col min="6" max="6" width="9.875" style="222" customWidth="1"/>
    <col min="7" max="7" width="11.00390625" style="222" customWidth="1"/>
    <col min="8" max="8" width="10.125" style="222" customWidth="1"/>
    <col min="9" max="9" width="9.25390625" style="222" customWidth="1"/>
    <col min="10" max="10" width="9.875" style="222" customWidth="1"/>
    <col min="11" max="11" width="10.875" style="222" customWidth="1"/>
    <col min="12" max="12" width="10.125" style="222" customWidth="1"/>
    <col min="13" max="13" width="10.375" style="222" customWidth="1"/>
    <col min="14" max="14" width="10.75390625" style="222" customWidth="1"/>
    <col min="15" max="15" width="13.00390625" style="222" customWidth="1"/>
    <col min="16" max="16384" width="9.125" style="222" customWidth="1"/>
  </cols>
  <sheetData>
    <row r="1" spans="2:8" ht="20.25" customHeight="1">
      <c r="B1" s="217" t="s">
        <v>46</v>
      </c>
      <c r="C1" s="217"/>
      <c r="D1" s="217"/>
      <c r="E1" s="217"/>
      <c r="F1" s="217"/>
      <c r="G1" s="217"/>
      <c r="H1" s="217"/>
    </row>
    <row r="2" spans="2:8" ht="21" customHeight="1">
      <c r="B2" s="217" t="s">
        <v>47</v>
      </c>
      <c r="C2" s="217"/>
      <c r="D2" s="217"/>
      <c r="E2" s="217"/>
      <c r="F2" s="217"/>
      <c r="G2" s="217"/>
      <c r="H2" s="217"/>
    </row>
    <row r="5" spans="1:14" ht="12.75">
      <c r="A5" s="219" t="s">
        <v>80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</row>
    <row r="6" spans="1:14" ht="12.75">
      <c r="A6" s="220" t="s">
        <v>98</v>
      </c>
      <c r="B6" s="220"/>
      <c r="C6" s="220"/>
      <c r="D6" s="220"/>
      <c r="E6" s="220"/>
      <c r="F6" s="220"/>
      <c r="G6" s="220"/>
      <c r="H6" s="80"/>
      <c r="I6" s="80"/>
      <c r="J6" s="80"/>
      <c r="K6" s="80"/>
      <c r="L6" s="80"/>
      <c r="M6" s="80"/>
      <c r="N6" s="80"/>
    </row>
    <row r="7" spans="1:14" ht="12.7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6" ht="13.5" thickBot="1">
      <c r="A8" s="319" t="s">
        <v>48</v>
      </c>
      <c r="B8" s="319"/>
      <c r="C8" s="319"/>
      <c r="D8" s="319"/>
      <c r="E8" s="319">
        <v>8.55</v>
      </c>
      <c r="F8" s="319"/>
    </row>
    <row r="9" spans="1:15" ht="12.75" customHeight="1">
      <c r="A9" s="172" t="s">
        <v>49</v>
      </c>
      <c r="B9" s="190" t="s">
        <v>1</v>
      </c>
      <c r="C9" s="193" t="s">
        <v>50</v>
      </c>
      <c r="D9" s="196" t="s">
        <v>3</v>
      </c>
      <c r="E9" s="209" t="s">
        <v>51</v>
      </c>
      <c r="F9" s="210"/>
      <c r="G9" s="213" t="s">
        <v>52</v>
      </c>
      <c r="H9" s="214"/>
      <c r="I9" s="199" t="s">
        <v>8</v>
      </c>
      <c r="J9" s="145"/>
      <c r="K9" s="145"/>
      <c r="L9" s="145"/>
      <c r="M9" s="200"/>
      <c r="N9" s="186" t="s">
        <v>53</v>
      </c>
      <c r="O9" s="186" t="s">
        <v>10</v>
      </c>
    </row>
    <row r="10" spans="1:15" ht="12.75">
      <c r="A10" s="173"/>
      <c r="B10" s="191"/>
      <c r="C10" s="194"/>
      <c r="D10" s="197"/>
      <c r="E10" s="211"/>
      <c r="F10" s="212"/>
      <c r="G10" s="215"/>
      <c r="H10" s="216"/>
      <c r="I10" s="201"/>
      <c r="J10" s="136"/>
      <c r="K10" s="136"/>
      <c r="L10" s="136"/>
      <c r="M10" s="202"/>
      <c r="N10" s="187"/>
      <c r="O10" s="187"/>
    </row>
    <row r="11" spans="1:15" ht="26.25" customHeight="1">
      <c r="A11" s="173"/>
      <c r="B11" s="191"/>
      <c r="C11" s="194"/>
      <c r="D11" s="197"/>
      <c r="E11" s="203" t="s">
        <v>54</v>
      </c>
      <c r="F11" s="204"/>
      <c r="G11" s="70" t="s">
        <v>55</v>
      </c>
      <c r="H11" s="181" t="s">
        <v>7</v>
      </c>
      <c r="I11" s="205" t="s">
        <v>56</v>
      </c>
      <c r="J11" s="207" t="s">
        <v>99</v>
      </c>
      <c r="K11" s="207" t="s">
        <v>57</v>
      </c>
      <c r="L11" s="207" t="s">
        <v>31</v>
      </c>
      <c r="M11" s="181" t="s">
        <v>33</v>
      </c>
      <c r="N11" s="187"/>
      <c r="O11" s="187"/>
    </row>
    <row r="12" spans="1:15" ht="66.75" customHeight="1" thickBot="1">
      <c r="A12" s="189"/>
      <c r="B12" s="192"/>
      <c r="C12" s="195"/>
      <c r="D12" s="198"/>
      <c r="E12" s="54" t="s">
        <v>59</v>
      </c>
      <c r="F12" s="57" t="s">
        <v>17</v>
      </c>
      <c r="G12" s="67" t="s">
        <v>78</v>
      </c>
      <c r="H12" s="182"/>
      <c r="I12" s="206"/>
      <c r="J12" s="208"/>
      <c r="K12" s="208"/>
      <c r="L12" s="208"/>
      <c r="M12" s="182"/>
      <c r="N12" s="188"/>
      <c r="O12" s="188"/>
    </row>
    <row r="13" spans="1:15" ht="13.5" thickBot="1">
      <c r="A13" s="55">
        <v>1</v>
      </c>
      <c r="B13" s="56">
        <v>2</v>
      </c>
      <c r="C13" s="55">
        <v>3</v>
      </c>
      <c r="D13" s="56">
        <v>4</v>
      </c>
      <c r="E13" s="55">
        <v>5</v>
      </c>
      <c r="F13" s="56">
        <v>6</v>
      </c>
      <c r="G13" s="55">
        <v>7</v>
      </c>
      <c r="H13" s="56">
        <v>8</v>
      </c>
      <c r="I13" s="55">
        <v>9</v>
      </c>
      <c r="J13" s="56">
        <v>10</v>
      </c>
      <c r="K13" s="55">
        <v>11</v>
      </c>
      <c r="L13" s="56">
        <v>12</v>
      </c>
      <c r="M13" s="56">
        <v>13</v>
      </c>
      <c r="N13" s="55">
        <v>14</v>
      </c>
      <c r="O13" s="56">
        <v>15</v>
      </c>
    </row>
    <row r="14" spans="1:17" s="18" customFormat="1" ht="13.5" thickBot="1">
      <c r="A14" s="66" t="s">
        <v>45</v>
      </c>
      <c r="B14" s="33"/>
      <c r="C14" s="34">
        <f>'2011'!C8</f>
        <v>170680.06999999998</v>
      </c>
      <c r="D14" s="34">
        <f>'2011'!D8</f>
        <v>54652.53600918501</v>
      </c>
      <c r="E14" s="33">
        <f>'2011'!I8</f>
        <v>100379.01999999999</v>
      </c>
      <c r="F14" s="33">
        <f>'2011'!H8</f>
        <v>8116.0999999999985</v>
      </c>
      <c r="G14" s="320">
        <f>'2011'!M8</f>
        <v>87015.58</v>
      </c>
      <c r="H14" s="320">
        <f>'2011'!N8</f>
        <v>149784.216009185</v>
      </c>
      <c r="I14" s="320">
        <f>'2011'!P8</f>
        <v>11731.452000000001</v>
      </c>
      <c r="J14" s="33">
        <f>'2011'!Q8</f>
        <v>3918.6744908000005</v>
      </c>
      <c r="K14" s="33">
        <f>'2011'!R8+'2011'!V16</f>
        <v>85402.65598258478</v>
      </c>
      <c r="L14" s="33">
        <f>'2011'!S8+'2011'!T8</f>
        <v>34910.7548</v>
      </c>
      <c r="M14" s="321">
        <f>SUM(I14:L14)</f>
        <v>135963.53727338478</v>
      </c>
      <c r="N14" s="321">
        <f>H14-M14</f>
        <v>13820.678735800233</v>
      </c>
      <c r="O14" s="321">
        <f>'2011'!AC8</f>
        <v>-13363.440000000002</v>
      </c>
      <c r="P14" s="62"/>
      <c r="Q14" s="61"/>
    </row>
    <row r="15" spans="1:17" ht="12.75">
      <c r="A15" s="6" t="s">
        <v>96</v>
      </c>
      <c r="B15" s="323"/>
      <c r="C15" s="36"/>
      <c r="D15" s="37"/>
      <c r="E15" s="324"/>
      <c r="F15" s="325"/>
      <c r="G15" s="326"/>
      <c r="H15" s="325"/>
      <c r="I15" s="326"/>
      <c r="J15" s="327"/>
      <c r="K15" s="328"/>
      <c r="L15" s="329"/>
      <c r="M15" s="330"/>
      <c r="N15" s="331"/>
      <c r="O15" s="331"/>
      <c r="P15" s="221"/>
      <c r="Q15" s="221"/>
    </row>
    <row r="16" spans="1:17" ht="12.75">
      <c r="A16" s="332" t="s">
        <v>82</v>
      </c>
      <c r="B16" s="68">
        <f>'2011'!B10</f>
        <v>896.9</v>
      </c>
      <c r="C16" s="68">
        <f>'2011'!C10</f>
        <v>5367.9465</v>
      </c>
      <c r="D16" s="68">
        <f>'2011'!D10</f>
        <v>479.1556</v>
      </c>
      <c r="E16" s="328">
        <f>'2011'!I10</f>
        <v>6884.76</v>
      </c>
      <c r="F16" s="330">
        <v>0</v>
      </c>
      <c r="G16" s="330">
        <f>'2011'!M10</f>
        <v>1964.7399999999998</v>
      </c>
      <c r="H16" s="330">
        <f>'2011'!N10</f>
        <v>2443.8956</v>
      </c>
      <c r="I16" s="333">
        <f>'2011'!P10</f>
        <v>600.923</v>
      </c>
      <c r="J16" s="333">
        <f>'2011'!Q10</f>
        <v>179.38</v>
      </c>
      <c r="K16" s="333">
        <f>'2011'!R10</f>
        <v>3793.887</v>
      </c>
      <c r="L16" s="329">
        <f>'2011'!S10+'2011'!T10+'2011'!U10</f>
        <v>0</v>
      </c>
      <c r="M16" s="330">
        <f>SUM(I16:L16)</f>
        <v>4574.1900000000005</v>
      </c>
      <c r="N16" s="330">
        <f>H16-M16</f>
        <v>-2130.2944000000007</v>
      </c>
      <c r="O16" s="330">
        <f>'2011'!AC10</f>
        <v>-4920.02</v>
      </c>
      <c r="P16" s="221"/>
      <c r="Q16" s="221"/>
    </row>
    <row r="17" spans="1:17" ht="12.75">
      <c r="A17" s="332" t="s">
        <v>83</v>
      </c>
      <c r="B17" s="68">
        <f>'2011'!B11</f>
        <v>896.9</v>
      </c>
      <c r="C17" s="68">
        <f>'2011'!C11</f>
        <v>6134.796000000001</v>
      </c>
      <c r="D17" s="68">
        <f>'2011'!D11</f>
        <v>479.1556</v>
      </c>
      <c r="E17" s="328">
        <f>'2011'!I11</f>
        <v>4051.12</v>
      </c>
      <c r="F17" s="330">
        <v>1</v>
      </c>
      <c r="G17" s="330">
        <f>'2011'!M11</f>
        <v>3951.05</v>
      </c>
      <c r="H17" s="330">
        <f>'2011'!N11</f>
        <v>4430.2056</v>
      </c>
      <c r="I17" s="333">
        <f>'2011'!P11</f>
        <v>600.923</v>
      </c>
      <c r="J17" s="333">
        <f>'2011'!Q11</f>
        <v>179.38</v>
      </c>
      <c r="K17" s="333">
        <f>'2011'!R11</f>
        <v>3793.887</v>
      </c>
      <c r="L17" s="329">
        <f>'2011'!S11+'2011'!T11+'2011'!U11</f>
        <v>0</v>
      </c>
      <c r="M17" s="330">
        <f aca="true" t="shared" si="0" ref="M17:M27">SUM(I17:L17)</f>
        <v>4574.1900000000005</v>
      </c>
      <c r="N17" s="330">
        <f aca="true" t="shared" si="1" ref="N17:N27">H17-M17</f>
        <v>-143.98440000000028</v>
      </c>
      <c r="O17" s="330">
        <f>'2011'!AC11</f>
        <v>-100.06999999999971</v>
      </c>
      <c r="P17" s="221"/>
      <c r="Q17" s="221"/>
    </row>
    <row r="18" spans="1:17" ht="12.75">
      <c r="A18" s="332" t="s">
        <v>38</v>
      </c>
      <c r="B18" s="68">
        <f>'2011'!B12</f>
        <v>896.9</v>
      </c>
      <c r="C18" s="68">
        <f>'2011'!C12</f>
        <v>3834.2475000000004</v>
      </c>
      <c r="D18" s="68">
        <f>'2011'!D12</f>
        <v>479.1556</v>
      </c>
      <c r="E18" s="328">
        <f>'2011'!I12</f>
        <v>5467.94</v>
      </c>
      <c r="F18" s="330">
        <v>2</v>
      </c>
      <c r="G18" s="330">
        <f>'2011'!M12</f>
        <v>4361.74</v>
      </c>
      <c r="H18" s="330">
        <f>'2011'!N12</f>
        <v>4840.8956</v>
      </c>
      <c r="I18" s="333">
        <f>'2011'!P12</f>
        <v>600.923</v>
      </c>
      <c r="J18" s="333">
        <f>'2011'!Q12</f>
        <v>179.38</v>
      </c>
      <c r="K18" s="333">
        <f>'2011'!R12</f>
        <v>3793.887</v>
      </c>
      <c r="L18" s="329">
        <f>'2011'!S12+'2011'!T12+'2011'!U12</f>
        <v>175.12</v>
      </c>
      <c r="M18" s="330">
        <f t="shared" si="0"/>
        <v>4749.31</v>
      </c>
      <c r="N18" s="330">
        <f t="shared" si="1"/>
        <v>91.58559999999943</v>
      </c>
      <c r="O18" s="330">
        <f>'2011'!AC12</f>
        <v>-1106.1999999999998</v>
      </c>
      <c r="P18" s="221"/>
      <c r="Q18" s="221"/>
    </row>
    <row r="19" spans="1:17" ht="12.75">
      <c r="A19" s="332" t="s">
        <v>39</v>
      </c>
      <c r="B19" s="68">
        <f>'2011'!B13</f>
        <v>896.9</v>
      </c>
      <c r="C19" s="68">
        <f>'2011'!C13</f>
        <v>5367.9465</v>
      </c>
      <c r="D19" s="68">
        <f>'2011'!D13</f>
        <v>479.1556</v>
      </c>
      <c r="E19" s="328">
        <f>'2011'!I13</f>
        <v>5467.94</v>
      </c>
      <c r="F19" s="330">
        <v>3</v>
      </c>
      <c r="G19" s="330">
        <f>'2011'!M13</f>
        <v>4331.66</v>
      </c>
      <c r="H19" s="330">
        <f>'2011'!N13</f>
        <v>4810.8156</v>
      </c>
      <c r="I19" s="333">
        <f>'2011'!P13</f>
        <v>600.923</v>
      </c>
      <c r="J19" s="333">
        <f>'2011'!Q13</f>
        <v>179.38</v>
      </c>
      <c r="K19" s="333">
        <f>'2011'!R13</f>
        <v>3793.887</v>
      </c>
      <c r="L19" s="329">
        <f>'2011'!S13+'2011'!T13+'2011'!U13</f>
        <v>180.37</v>
      </c>
      <c r="M19" s="330">
        <f t="shared" si="0"/>
        <v>4754.56</v>
      </c>
      <c r="N19" s="330">
        <f t="shared" si="1"/>
        <v>56.255599999999504</v>
      </c>
      <c r="O19" s="330">
        <f>'2011'!AC13</f>
        <v>-1136.2799999999997</v>
      </c>
      <c r="P19" s="221"/>
      <c r="Q19" s="221"/>
    </row>
    <row r="20" spans="1:17" ht="12.75">
      <c r="A20" s="332" t="s">
        <v>40</v>
      </c>
      <c r="B20" s="68">
        <f>'2011'!B14</f>
        <v>896.9</v>
      </c>
      <c r="C20" s="68">
        <f>'2011'!C14</f>
        <v>5367.9465</v>
      </c>
      <c r="D20" s="68">
        <f>'2011'!D14</f>
        <v>479.1556</v>
      </c>
      <c r="E20" s="328">
        <f>'2011'!I14</f>
        <v>7811.380000000001</v>
      </c>
      <c r="F20" s="330">
        <v>4</v>
      </c>
      <c r="G20" s="330">
        <f>'2011'!M14</f>
        <v>4927.56</v>
      </c>
      <c r="H20" s="330">
        <f>'2011'!N14</f>
        <v>5406.7156</v>
      </c>
      <c r="I20" s="333">
        <f>'2011'!P14</f>
        <v>600.923</v>
      </c>
      <c r="J20" s="333">
        <f>'2011'!Q14</f>
        <v>179.38</v>
      </c>
      <c r="K20" s="333">
        <f>'2011'!R14</f>
        <v>3793.887</v>
      </c>
      <c r="L20" s="329">
        <f>'2011'!S14+'2011'!T14+'2011'!U14</f>
        <v>0</v>
      </c>
      <c r="M20" s="330">
        <f t="shared" si="0"/>
        <v>4574.1900000000005</v>
      </c>
      <c r="N20" s="330">
        <f t="shared" si="1"/>
        <v>832.5255999999999</v>
      </c>
      <c r="O20" s="330">
        <f>'2011'!AC14</f>
        <v>-2883.8200000000006</v>
      </c>
      <c r="P20" s="221"/>
      <c r="Q20" s="221"/>
    </row>
    <row r="21" spans="1:17" ht="12.75">
      <c r="A21" s="332" t="s">
        <v>41</v>
      </c>
      <c r="B21" s="68">
        <f>'2011'!B15</f>
        <v>896.9</v>
      </c>
      <c r="C21" s="68">
        <f>'2011'!C15</f>
        <v>7668.495000000001</v>
      </c>
      <c r="D21" s="68">
        <f>'2011'!D15</f>
        <v>479.15560000000005</v>
      </c>
      <c r="E21" s="328">
        <f>'2011'!I15</f>
        <v>7967.76</v>
      </c>
      <c r="F21" s="330">
        <v>5</v>
      </c>
      <c r="G21" s="330">
        <f>'2011'!M15</f>
        <v>5290.34</v>
      </c>
      <c r="H21" s="330">
        <f>'2011'!N15</f>
        <v>5769.4956</v>
      </c>
      <c r="I21" s="333">
        <f>'2011'!P15</f>
        <v>600.923</v>
      </c>
      <c r="J21" s="333">
        <f>'2011'!Q15</f>
        <v>179.38</v>
      </c>
      <c r="K21" s="333">
        <f>'2011'!R15</f>
        <v>3793.887</v>
      </c>
      <c r="L21" s="329">
        <f>'2011'!S15+'2011'!T15+'2011'!U15</f>
        <v>0</v>
      </c>
      <c r="M21" s="330">
        <f t="shared" si="0"/>
        <v>4574.1900000000005</v>
      </c>
      <c r="N21" s="330">
        <f t="shared" si="1"/>
        <v>1195.3055999999997</v>
      </c>
      <c r="O21" s="330">
        <f>'2011'!AC15</f>
        <v>-2677.42</v>
      </c>
      <c r="P21" s="221"/>
      <c r="Q21" s="221"/>
    </row>
    <row r="22" spans="1:17" ht="12.75">
      <c r="A22" s="332" t="s">
        <v>42</v>
      </c>
      <c r="B22" s="68">
        <f>'2011'!B16</f>
        <v>896.9</v>
      </c>
      <c r="C22" s="68">
        <f>'2011'!C16</f>
        <v>7668.495000000001</v>
      </c>
      <c r="D22" s="68">
        <f>'2011'!D16</f>
        <v>479.15560000000005</v>
      </c>
      <c r="E22" s="328">
        <f>'2011'!I16</f>
        <v>9309.740000000002</v>
      </c>
      <c r="F22" s="330">
        <v>6</v>
      </c>
      <c r="G22" s="330">
        <f>'2011'!M16</f>
        <v>7444.96</v>
      </c>
      <c r="H22" s="330">
        <f>'2011'!N16</f>
        <v>7924.1156</v>
      </c>
      <c r="I22" s="333">
        <f>'2011'!P16</f>
        <v>600.923</v>
      </c>
      <c r="J22" s="333">
        <f>'2011'!Q16</f>
        <v>179.38</v>
      </c>
      <c r="K22" s="333">
        <f>'2011'!R16</f>
        <v>3793.887</v>
      </c>
      <c r="L22" s="329">
        <f>'2011'!S16+'2011'!T16+'2011'!U16</f>
        <v>0</v>
      </c>
      <c r="M22" s="330">
        <f t="shared" si="0"/>
        <v>4574.1900000000005</v>
      </c>
      <c r="N22" s="330">
        <f t="shared" si="1"/>
        <v>3349.9255999999996</v>
      </c>
      <c r="O22" s="330">
        <f>'2011'!AC16</f>
        <v>-1864.7800000000016</v>
      </c>
      <c r="P22" s="221"/>
      <c r="Q22" s="221"/>
    </row>
    <row r="23" spans="1:17" ht="12.75">
      <c r="A23" s="332" t="s">
        <v>43</v>
      </c>
      <c r="B23" s="68">
        <f>'2011'!B17</f>
        <v>896.9</v>
      </c>
      <c r="C23" s="68">
        <f>'2011'!C17</f>
        <v>7668.495000000001</v>
      </c>
      <c r="D23" s="68">
        <f>'2011'!D17</f>
        <v>479.15560000000005</v>
      </c>
      <c r="E23" s="328">
        <f>'2011'!I17</f>
        <v>7819.93</v>
      </c>
      <c r="F23" s="330">
        <v>7</v>
      </c>
      <c r="G23" s="330">
        <f>'2011'!M17</f>
        <v>7153.78</v>
      </c>
      <c r="H23" s="330">
        <f>'2011'!N17</f>
        <v>7632.9356</v>
      </c>
      <c r="I23" s="333">
        <f>'2011'!P17</f>
        <v>600.923</v>
      </c>
      <c r="J23" s="333">
        <f>'2011'!Q17</f>
        <v>179.38</v>
      </c>
      <c r="K23" s="333">
        <f>'2011'!R17</f>
        <v>3793.887</v>
      </c>
      <c r="L23" s="329">
        <f>'2011'!S17+'2011'!T17+'2011'!U17</f>
        <v>0</v>
      </c>
      <c r="M23" s="330">
        <f t="shared" si="0"/>
        <v>4574.1900000000005</v>
      </c>
      <c r="N23" s="330">
        <f t="shared" si="1"/>
        <v>3058.7455999999993</v>
      </c>
      <c r="O23" s="330">
        <f>'2011'!AC17</f>
        <v>-666.1500000000005</v>
      </c>
      <c r="P23" s="221"/>
      <c r="Q23" s="221"/>
    </row>
    <row r="24" spans="1:17" ht="12.75">
      <c r="A24" s="332" t="s">
        <v>44</v>
      </c>
      <c r="B24" s="68">
        <f>'2011'!B18</f>
        <v>896.9</v>
      </c>
      <c r="C24" s="68">
        <f>'2011'!C18</f>
        <v>7668.495000000001</v>
      </c>
      <c r="D24" s="68">
        <f>'2011'!D18</f>
        <v>479.15560000000005</v>
      </c>
      <c r="E24" s="328">
        <f>'2011'!I18</f>
        <v>7819.93</v>
      </c>
      <c r="F24" s="330">
        <v>8</v>
      </c>
      <c r="G24" s="330">
        <f>'2011'!M18</f>
        <v>6927.31</v>
      </c>
      <c r="H24" s="330">
        <f>'2011'!N18</f>
        <v>7406.4656</v>
      </c>
      <c r="I24" s="333">
        <f>'2011'!P18</f>
        <v>600.923</v>
      </c>
      <c r="J24" s="333">
        <f>'2011'!Q18</f>
        <v>179.38</v>
      </c>
      <c r="K24" s="333">
        <f>'2011'!R18</f>
        <v>3793.887</v>
      </c>
      <c r="L24" s="329">
        <f>'2011'!S18+'2011'!T18+'2011'!U18</f>
        <v>0</v>
      </c>
      <c r="M24" s="330">
        <f t="shared" si="0"/>
        <v>4574.1900000000005</v>
      </c>
      <c r="N24" s="330">
        <f t="shared" si="1"/>
        <v>2832.2756</v>
      </c>
      <c r="O24" s="330">
        <f>'2011'!AC18</f>
        <v>-892.6199999999999</v>
      </c>
      <c r="P24" s="221"/>
      <c r="Q24" s="221"/>
    </row>
    <row r="25" spans="1:17" ht="12.75">
      <c r="A25" s="332" t="s">
        <v>34</v>
      </c>
      <c r="B25" s="68">
        <f>'2011'!B19</f>
        <v>896.9</v>
      </c>
      <c r="C25" s="68">
        <f>'2011'!C19</f>
        <v>7668.495000000001</v>
      </c>
      <c r="D25" s="68">
        <f>'2011'!D19</f>
        <v>479.15560000000005</v>
      </c>
      <c r="E25" s="328">
        <f>'2011'!I19</f>
        <v>7819.93</v>
      </c>
      <c r="F25" s="330">
        <v>9</v>
      </c>
      <c r="G25" s="330">
        <f>'2011'!M19</f>
        <v>8270.09</v>
      </c>
      <c r="H25" s="330">
        <f>'2011'!N19</f>
        <v>8749.2456</v>
      </c>
      <c r="I25" s="333">
        <f>'2011'!P19</f>
        <v>600.923</v>
      </c>
      <c r="J25" s="333">
        <f>'2011'!Q19</f>
        <v>179.38</v>
      </c>
      <c r="K25" s="333">
        <f>'2011'!R19</f>
        <v>3793.887</v>
      </c>
      <c r="L25" s="329">
        <f>'2011'!S19+'2011'!T19+'2011'!U19</f>
        <v>0</v>
      </c>
      <c r="M25" s="330">
        <f t="shared" si="0"/>
        <v>4574.1900000000005</v>
      </c>
      <c r="N25" s="330">
        <f t="shared" si="1"/>
        <v>4175.0556</v>
      </c>
      <c r="O25" s="330">
        <f>'2011'!AC19</f>
        <v>450.15999999999985</v>
      </c>
      <c r="P25" s="221"/>
      <c r="Q25" s="221"/>
    </row>
    <row r="26" spans="1:17" ht="12.75">
      <c r="A26" s="332" t="s">
        <v>35</v>
      </c>
      <c r="B26" s="68">
        <f>'2011'!B20</f>
        <v>896.9</v>
      </c>
      <c r="C26" s="68">
        <f>'2011'!C20</f>
        <v>7668.495000000001</v>
      </c>
      <c r="D26" s="68">
        <f>'2011'!D20</f>
        <v>479.15560000000005</v>
      </c>
      <c r="E26" s="328">
        <f>'2011'!I20</f>
        <v>7819.92</v>
      </c>
      <c r="F26" s="330">
        <v>10</v>
      </c>
      <c r="G26" s="330">
        <f>'2011'!M20</f>
        <v>6336.38</v>
      </c>
      <c r="H26" s="330">
        <f>'2011'!N20</f>
        <v>6815.5356</v>
      </c>
      <c r="I26" s="333">
        <f>'2011'!P20</f>
        <v>600.923</v>
      </c>
      <c r="J26" s="333">
        <f>'2011'!Q20</f>
        <v>179.38</v>
      </c>
      <c r="K26" s="333">
        <f>'2011'!R20</f>
        <v>3793.887</v>
      </c>
      <c r="L26" s="329">
        <f>'2011'!S20+'2011'!T20+'2011'!U20</f>
        <v>0</v>
      </c>
      <c r="M26" s="330">
        <f t="shared" si="0"/>
        <v>4574.1900000000005</v>
      </c>
      <c r="N26" s="330">
        <f t="shared" si="1"/>
        <v>2241.3455999999996</v>
      </c>
      <c r="O26" s="330">
        <f>'2011'!AC20</f>
        <v>-1483.54</v>
      </c>
      <c r="P26" s="221"/>
      <c r="Q26" s="221"/>
    </row>
    <row r="27" spans="1:17" ht="13.5" thickBot="1">
      <c r="A27" s="332" t="s">
        <v>36</v>
      </c>
      <c r="B27" s="68">
        <f>'2011'!B21</f>
        <v>896.9</v>
      </c>
      <c r="C27" s="68">
        <f>'2011'!C21</f>
        <v>7668.495000000001</v>
      </c>
      <c r="D27" s="68">
        <f>'2011'!D21</f>
        <v>439.96700000000004</v>
      </c>
      <c r="E27" s="328">
        <f>'2011'!I21</f>
        <v>7819.93</v>
      </c>
      <c r="F27" s="330">
        <v>11</v>
      </c>
      <c r="G27" s="330">
        <f>'2011'!M21</f>
        <v>12431.140000000001</v>
      </c>
      <c r="H27" s="330">
        <f>'2011'!N21</f>
        <v>12871.107000000002</v>
      </c>
      <c r="I27" s="333">
        <f>'2011'!P21</f>
        <v>600.923</v>
      </c>
      <c r="J27" s="333">
        <f>'2011'!Q21</f>
        <v>179.38</v>
      </c>
      <c r="K27" s="333">
        <f>'2011'!R21</f>
        <v>3793.887</v>
      </c>
      <c r="L27" s="329">
        <f>'2011'!S21+'2011'!T21+'2011'!U21</f>
        <v>1702</v>
      </c>
      <c r="M27" s="330">
        <f t="shared" si="0"/>
        <v>6276.1900000000005</v>
      </c>
      <c r="N27" s="330">
        <f t="shared" si="1"/>
        <v>6594.917000000001</v>
      </c>
      <c r="O27" s="330">
        <f>'2011'!AC21</f>
        <v>4611.210000000001</v>
      </c>
      <c r="P27" s="221"/>
      <c r="Q27" s="221"/>
    </row>
    <row r="28" spans="1:17" s="18" customFormat="1" ht="13.5" thickBot="1">
      <c r="A28" s="30" t="s">
        <v>5</v>
      </c>
      <c r="B28" s="31"/>
      <c r="C28" s="64">
        <f aca="true" t="shared" si="2" ref="C28:N28">SUM(C16:C27)</f>
        <v>79752.34800000001</v>
      </c>
      <c r="D28" s="64">
        <f t="shared" si="2"/>
        <v>5710.6786</v>
      </c>
      <c r="E28" s="64">
        <f t="shared" si="2"/>
        <v>86060.28</v>
      </c>
      <c r="F28" s="64">
        <f t="shared" si="2"/>
        <v>66</v>
      </c>
      <c r="G28" s="64">
        <f t="shared" si="2"/>
        <v>73390.75</v>
      </c>
      <c r="H28" s="64">
        <f t="shared" si="2"/>
        <v>79101.4286</v>
      </c>
      <c r="I28" s="64">
        <f>SUM(I16:I27)</f>
        <v>7211.075999999998</v>
      </c>
      <c r="J28" s="64">
        <f t="shared" si="2"/>
        <v>2152.5600000000004</v>
      </c>
      <c r="K28" s="64">
        <f t="shared" si="2"/>
        <v>45526.64400000001</v>
      </c>
      <c r="L28" s="64">
        <f t="shared" si="2"/>
        <v>2057.49</v>
      </c>
      <c r="M28" s="64">
        <f t="shared" si="2"/>
        <v>56947.77000000002</v>
      </c>
      <c r="N28" s="64">
        <f t="shared" si="2"/>
        <v>22153.6586</v>
      </c>
      <c r="O28" s="64">
        <f>SUM(O16:O27)</f>
        <v>-12669.53</v>
      </c>
      <c r="P28" s="61"/>
      <c r="Q28" s="61"/>
    </row>
    <row r="29" spans="1:17" ht="13.5" thickBot="1">
      <c r="A29" s="183" t="s">
        <v>60</v>
      </c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334"/>
      <c r="P29" s="221"/>
      <c r="Q29" s="221"/>
    </row>
    <row r="30" spans="1:17" s="18" customFormat="1" ht="13.5" thickBot="1">
      <c r="A30" s="66" t="s">
        <v>45</v>
      </c>
      <c r="B30" s="33"/>
      <c r="C30" s="34">
        <f aca="true" t="shared" si="3" ref="C30:K30">C14+C28</f>
        <v>250432.418</v>
      </c>
      <c r="D30" s="320">
        <f t="shared" si="3"/>
        <v>60363.21460918501</v>
      </c>
      <c r="E30" s="33">
        <f t="shared" si="3"/>
        <v>186439.3</v>
      </c>
      <c r="F30" s="34">
        <f t="shared" si="3"/>
        <v>8182.0999999999985</v>
      </c>
      <c r="G30" s="320">
        <f t="shared" si="3"/>
        <v>160406.33000000002</v>
      </c>
      <c r="H30" s="34">
        <f t="shared" si="3"/>
        <v>228885.644609185</v>
      </c>
      <c r="I30" s="320">
        <f t="shared" si="3"/>
        <v>18942.528</v>
      </c>
      <c r="J30" s="320">
        <f t="shared" si="3"/>
        <v>6071.234490800001</v>
      </c>
      <c r="K30" s="320">
        <f t="shared" si="3"/>
        <v>130929.29998258478</v>
      </c>
      <c r="L30" s="33">
        <f>L14+L28</f>
        <v>36968.2448</v>
      </c>
      <c r="M30" s="321">
        <f>M14+M28</f>
        <v>192911.3072733848</v>
      </c>
      <c r="N30" s="322">
        <f>N14+N28</f>
        <v>35974.33733580023</v>
      </c>
      <c r="O30" s="322">
        <f>O14+O28</f>
        <v>-26032.97</v>
      </c>
      <c r="P30" s="62"/>
      <c r="Q30" s="61"/>
    </row>
    <row r="32" spans="1:17" ht="12.75">
      <c r="A32" s="18" t="s">
        <v>79</v>
      </c>
      <c r="D32" s="69" t="s">
        <v>100</v>
      </c>
      <c r="P32" s="221"/>
      <c r="Q32" s="221"/>
    </row>
    <row r="33" spans="1:17" ht="12.75">
      <c r="A33" s="276" t="s">
        <v>61</v>
      </c>
      <c r="B33" s="276" t="s">
        <v>62</v>
      </c>
      <c r="C33" s="335" t="s">
        <v>63</v>
      </c>
      <c r="D33" s="335"/>
      <c r="P33" s="221"/>
      <c r="Q33" s="221"/>
    </row>
    <row r="34" spans="1:17" ht="12.75">
      <c r="A34" s="95">
        <v>45707.76</v>
      </c>
      <c r="B34" s="95">
        <v>0</v>
      </c>
      <c r="C34" s="336">
        <f>A34-B34</f>
        <v>45707.76</v>
      </c>
      <c r="D34" s="337"/>
      <c r="P34" s="221"/>
      <c r="Q34" s="221"/>
    </row>
    <row r="35" spans="1:17" ht="12.75">
      <c r="A35" s="41"/>
      <c r="P35" s="221"/>
      <c r="Q35" s="221"/>
    </row>
    <row r="36" spans="1:17" ht="12.75">
      <c r="A36" s="222" t="s">
        <v>66</v>
      </c>
      <c r="G36" s="222" t="s">
        <v>67</v>
      </c>
      <c r="P36" s="221"/>
      <c r="Q36" s="221"/>
    </row>
    <row r="37" ht="12.75">
      <c r="A37" s="221"/>
    </row>
    <row r="38" ht="12.75">
      <c r="A38" s="69" t="s">
        <v>101</v>
      </c>
    </row>
    <row r="39" ht="12.75">
      <c r="A39" s="222" t="s">
        <v>68</v>
      </c>
    </row>
  </sheetData>
  <sheetProtection/>
  <mergeCells count="25">
    <mergeCell ref="A29:N29"/>
    <mergeCell ref="C33:D33"/>
    <mergeCell ref="C34:D34"/>
    <mergeCell ref="I9:M10"/>
    <mergeCell ref="N9:N12"/>
    <mergeCell ref="O9:O12"/>
    <mergeCell ref="E11:F11"/>
    <mergeCell ref="H11:H12"/>
    <mergeCell ref="I11:I12"/>
    <mergeCell ref="J11:J12"/>
    <mergeCell ref="K11:K12"/>
    <mergeCell ref="L11:L12"/>
    <mergeCell ref="M11:M12"/>
    <mergeCell ref="A9:A12"/>
    <mergeCell ref="B9:B12"/>
    <mergeCell ref="C9:C12"/>
    <mergeCell ref="D9:D12"/>
    <mergeCell ref="E9:F10"/>
    <mergeCell ref="G9:H10"/>
    <mergeCell ref="B1:H1"/>
    <mergeCell ref="B2:H2"/>
    <mergeCell ref="A5:N5"/>
    <mergeCell ref="A6:G6"/>
    <mergeCell ref="A8:D8"/>
    <mergeCell ref="E8:F8"/>
  </mergeCells>
  <printOptions/>
  <pageMargins left="0.25" right="0.17" top="0.63" bottom="0.47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Xp</cp:lastModifiedBy>
  <cp:lastPrinted>2011-07-12T06:08:20Z</cp:lastPrinted>
  <dcterms:created xsi:type="dcterms:W3CDTF">2010-04-02T05:03:24Z</dcterms:created>
  <dcterms:modified xsi:type="dcterms:W3CDTF">2012-06-05T02:12:34Z</dcterms:modified>
  <cp:category/>
  <cp:version/>
  <cp:contentType/>
  <cp:contentStatus/>
</cp:coreProperties>
</file>