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для печати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<sst xmlns="http://schemas.openxmlformats.org/spreadsheetml/2006/main" count="148" uniqueCount="87">
  <si>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</si>
  <si>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</si>
  <si>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</si>
  <si>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</si>
  <si>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</si>
  <si>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</si>
  <si>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</si>
  <si>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</si>
  <si>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</si>
  <si>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</si>
  <si>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</si>
  <si>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</si>
  <si>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</si>
  <si>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</si>
  <si>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</si>
  <si>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</si>
  <si>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</si>
  <si>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</si>
  <si>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</si>
  <si>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</si>
  <si>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</si>
  <si>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</si>
  <si>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</si>
  <si>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</si>
  <si>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</si>
  <si>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</si>
  <si>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</si>
  <si>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</si>
  <si>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</si>
  <si>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</si>
  <si>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</si>
  <si>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</si>
  <si>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</si>
  <si>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</si>
  <si>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</si>
  <si>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</si>
  <si>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</si>
  <si>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2009 год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</si>
  <si>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</si>
  <si>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</si>
  <si>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</si>
  <si>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</si>
  <si>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</si>
  <si>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</si>
  <si>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</si>
  <si>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</si>
  <si>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</si>
  <si>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</si>
  <si>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</si>
  <si>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</si>
  <si>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</si>
  <si>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</si>
  <si>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</si>
  <si>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</si>
  <si>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</si>
  <si>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</si>
  <si>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</si>
  <si>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</si>
  <si>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</si>
  <si>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</si>
  <si>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</si>
  <si>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</si>
  <si>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</si>
  <si>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</si>
  <si>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</si>
  <si>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</si>
  <si>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</si>
  <si>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</si>
  <si>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</si>
  <si>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</si>
  <si>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</si>
  <si>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</si>
  <si>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</si>
  <si>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</si>
  <si>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</si>
  <si>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Капитальный ремонт</t>
  </si>
  <si>
    <t>Собрано за содержание и тек.рем.</t>
  </si>
  <si>
    <t>Лицевой счет по адресу г. Таштагол, ул. Коммунистическая, д. 7</t>
  </si>
  <si>
    <t>Выписка по лицевому счету по адресу г. Таштагол ул. Коммунистическая, д.22</t>
  </si>
  <si>
    <t>январь</t>
  </si>
  <si>
    <t>февраль</t>
  </si>
  <si>
    <t>март</t>
  </si>
  <si>
    <t>апрель</t>
  </si>
  <si>
    <t>май</t>
  </si>
  <si>
    <t>2010 год</t>
  </si>
  <si>
    <t>за период с июня 2009 г. по декабрь 2010 г.</t>
  </si>
  <si>
    <t>*по состоянию на 01.01.2011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</si>
</sst>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 horizontal="left"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 wrapText="1"/>
    </xf>
    <xf numFmtId="4" fontId="2" fillId="0" borderId="14" xfId="33" applyNumberFormat="1" applyFont="1" applyFill="1" applyBorder="1" applyAlignment="1">
      <alignment horizontal="right" vertical="center" wrapText="1"/>
      <protection/>
    </xf>
    <xf numFmtId="4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2" fillId="0" borderId="17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wrapText="1"/>
    </xf>
    <xf numFmtId="4" fontId="2" fillId="0" borderId="24" xfId="33" applyNumberFormat="1" applyFont="1" applyFill="1" applyBorder="1" applyAlignment="1">
      <alignment horizontal="right" vertical="center" wrapText="1"/>
      <protection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33" borderId="14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4" fontId="0" fillId="34" borderId="14" xfId="0" applyNumberFormat="1" applyFont="1" applyFill="1" applyBorder="1" applyAlignment="1">
      <alignment horizontal="center"/>
    </xf>
    <xf numFmtId="4" fontId="0" fillId="34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 vertical="center" wrapText="1"/>
    </xf>
    <xf numFmtId="4" fontId="1" fillId="33" borderId="14" xfId="0" applyNumberFormat="1" applyFont="1" applyFill="1" applyBorder="1" applyAlignment="1">
      <alignment wrapText="1"/>
    </xf>
    <xf numFmtId="4" fontId="0" fillId="0" borderId="14" xfId="0" applyNumberFormat="1" applyFont="1" applyFill="1" applyBorder="1" applyAlignment="1">
      <alignment wrapText="1"/>
    </xf>
    <xf numFmtId="4" fontId="2" fillId="0" borderId="14" xfId="33" applyNumberFormat="1" applyFont="1" applyFill="1" applyBorder="1" applyAlignment="1">
      <alignment vertical="center" wrapText="1"/>
      <protection/>
    </xf>
    <xf numFmtId="4" fontId="1" fillId="0" borderId="14" xfId="0" applyNumberFormat="1" applyFont="1" applyFill="1" applyBorder="1" applyAlignment="1">
      <alignment wrapText="1"/>
    </xf>
    <xf numFmtId="4" fontId="1" fillId="34" borderId="14" xfId="0" applyNumberFormat="1" applyFont="1" applyFill="1" applyBorder="1" applyAlignment="1">
      <alignment wrapText="1"/>
    </xf>
    <xf numFmtId="0" fontId="0" fillId="34" borderId="14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textRotation="90"/>
    </xf>
    <xf numFmtId="4" fontId="1" fillId="0" borderId="28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0" fillId="0" borderId="13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 horizontal="right"/>
    </xf>
    <xf numFmtId="4" fontId="1" fillId="34" borderId="14" xfId="0" applyNumberFormat="1" applyFont="1" applyFill="1" applyBorder="1" applyAlignment="1">
      <alignment horizontal="right" wrapText="1"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32" xfId="33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ont="1" applyBorder="1" applyAlignment="1">
      <alignment horizontal="center"/>
    </xf>
    <xf numFmtId="4" fontId="0" fillId="35" borderId="13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36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37" borderId="14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 horizontal="center"/>
    </xf>
    <xf numFmtId="165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4" fontId="0" fillId="34" borderId="17" xfId="0" applyNumberFormat="1" applyFont="1" applyFill="1" applyBorder="1" applyAlignment="1">
      <alignment/>
    </xf>
    <xf numFmtId="4" fontId="0" fillId="38" borderId="14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4" fontId="2" fillId="0" borderId="10" xfId="33" applyNumberFormat="1" applyFont="1" applyFill="1" applyBorder="1" applyAlignment="1">
      <alignment horizontal="center" vertical="center" wrapText="1"/>
      <protection/>
    </xf>
    <xf numFmtId="43" fontId="2" fillId="34" borderId="14" xfId="6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4" fontId="0" fillId="37" borderId="14" xfId="0" applyNumberFormat="1" applyFont="1" applyFill="1" applyBorder="1" applyAlignment="1">
      <alignment/>
    </xf>
    <xf numFmtId="4" fontId="0" fillId="36" borderId="14" xfId="0" applyNumberFormat="1" applyFont="1" applyFill="1" applyBorder="1" applyAlignment="1">
      <alignment/>
    </xf>
    <xf numFmtId="43" fontId="2" fillId="34" borderId="12" xfId="6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3" fillId="0" borderId="13" xfId="33" applyNumberFormat="1" applyFont="1" applyBorder="1" applyAlignment="1">
      <alignment horizontal="center" vertical="center" wrapText="1"/>
      <protection/>
    </xf>
    <xf numFmtId="2" fontId="0" fillId="0" borderId="14" xfId="0" applyNumberFormat="1" applyFont="1" applyBorder="1" applyAlignment="1">
      <alignment horizontal="center"/>
    </xf>
    <xf numFmtId="4" fontId="3" fillId="0" borderId="17" xfId="33" applyNumberFormat="1" applyFont="1" applyBorder="1" applyAlignment="1">
      <alignment horizontal="center" vertical="center" wrapText="1"/>
      <protection/>
    </xf>
    <xf numFmtId="4" fontId="3" fillId="0" borderId="14" xfId="33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4" fontId="0" fillId="0" borderId="34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0" fillId="35" borderId="17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34" borderId="36" xfId="0" applyNumberFormat="1" applyFont="1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0" fontId="1" fillId="0" borderId="3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33" xfId="0" applyNumberFormat="1" applyFont="1" applyFill="1" applyBorder="1" applyAlignment="1">
      <alignment horizontal="center" vertical="center" wrapText="1"/>
    </xf>
    <xf numFmtId="2" fontId="1" fillId="34" borderId="14" xfId="0" applyNumberFormat="1" applyFont="1" applyFill="1" applyBorder="1" applyAlignment="1">
      <alignment horizontal="center" vertical="center" wrapText="1"/>
    </xf>
    <xf numFmtId="2" fontId="1" fillId="34" borderId="16" xfId="0" applyNumberFormat="1" applyFont="1" applyFill="1" applyBorder="1" applyAlignment="1">
      <alignment horizontal="center" vertical="center" wrapText="1"/>
    </xf>
    <xf numFmtId="2" fontId="1" fillId="33" borderId="46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7" fillId="34" borderId="46" xfId="0" applyNumberFormat="1" applyFont="1" applyFill="1" applyBorder="1" applyAlignment="1">
      <alignment horizontal="center" vertical="center" wrapText="1"/>
    </xf>
    <xf numFmtId="2" fontId="7" fillId="34" borderId="47" xfId="0" applyNumberFormat="1" applyFont="1" applyFill="1" applyBorder="1" applyAlignment="1">
      <alignment horizontal="center" vertical="center" wrapText="1"/>
    </xf>
    <xf numFmtId="2" fontId="7" fillId="34" borderId="33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36" borderId="26" xfId="0" applyNumberFormat="1" applyFont="1" applyFill="1" applyBorder="1" applyAlignment="1">
      <alignment horizontal="center" vertical="center" wrapText="1"/>
    </xf>
    <xf numFmtId="2" fontId="1" fillId="36" borderId="45" xfId="0" applyNumberFormat="1" applyFont="1" applyFill="1" applyBorder="1" applyAlignment="1">
      <alignment horizontal="center" vertical="center" wrapText="1"/>
    </xf>
    <xf numFmtId="2" fontId="1" fillId="36" borderId="46" xfId="0" applyNumberFormat="1" applyFont="1" applyFill="1" applyBorder="1" applyAlignment="1">
      <alignment horizontal="center" vertical="center" wrapText="1"/>
    </xf>
    <xf numFmtId="2" fontId="1" fillId="36" borderId="33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2" fontId="1" fillId="0" borderId="46" xfId="0" applyNumberFormat="1" applyFont="1" applyFill="1" applyBorder="1" applyAlignment="1">
      <alignment horizontal="center" vertical="center" textRotation="90" wrapText="1"/>
    </xf>
    <xf numFmtId="2" fontId="1" fillId="0" borderId="47" xfId="0" applyNumberFormat="1" applyFont="1" applyFill="1" applyBorder="1" applyAlignment="1">
      <alignment horizontal="center" vertical="center" textRotation="90" wrapText="1"/>
    </xf>
    <xf numFmtId="2" fontId="1" fillId="0" borderId="33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2" fontId="0" fillId="0" borderId="17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textRotation="90" wrapText="1"/>
    </xf>
    <xf numFmtId="4" fontId="1" fillId="0" borderId="14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4" fontId="1" fillId="0" borderId="60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37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6">
        <row r="3">
          <cell r="H3">
            <v>1030.46804</v>
          </cell>
          <cell r="N3">
            <v>491.15556</v>
          </cell>
        </row>
        <row r="9">
          <cell r="H9">
            <v>1030.46804</v>
          </cell>
          <cell r="N9">
            <v>491.15556</v>
          </cell>
        </row>
        <row r="15">
          <cell r="H15">
            <v>1030.46804</v>
          </cell>
          <cell r="N15">
            <v>491.15556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12">
        <row r="3">
          <cell r="I3">
            <v>1030.46804</v>
          </cell>
        </row>
        <row r="4">
          <cell r="I4">
            <v>681.1196</v>
          </cell>
        </row>
        <row r="22">
          <cell r="I22">
            <v>1030.46804</v>
          </cell>
          <cell r="M22">
            <v>490.57399999999996</v>
          </cell>
        </row>
        <row r="23">
          <cell r="I23">
            <v>681.1196</v>
          </cell>
          <cell r="M23">
            <v>324.26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6">
        <row r="3">
          <cell r="M3">
            <v>490.57399999999996</v>
          </cell>
        </row>
        <row r="4">
          <cell r="M4">
            <v>324.26</v>
          </cell>
        </row>
        <row r="10">
          <cell r="M10">
            <v>490.57399999999996</v>
          </cell>
        </row>
        <row r="11">
          <cell r="M11">
            <v>324.26</v>
          </cell>
        </row>
        <row r="16">
          <cell r="I16">
            <v>1030.46804</v>
          </cell>
          <cell r="M16">
            <v>490.57399999999996</v>
          </cell>
        </row>
        <row r="17">
          <cell r="I17">
            <v>681.1196</v>
          </cell>
          <cell r="M17">
            <v>324.26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12">
        <row r="45">
          <cell r="I45">
            <v>1030.46804</v>
          </cell>
        </row>
        <row r="46">
          <cell r="I46">
            <v>681.1196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4"/>
  <sheetViews>
    <sheetView zoomScalePageLayoutView="0" workbookViewId="0" topLeftCell="A1">
      <pane xSplit="2" ySplit="7" topLeftCell="AH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9" sqref="A19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9.25390625" style="2" bestFit="1" customWidth="1"/>
    <col min="25" max="25" width="10.25390625" style="2" customWidth="1"/>
    <col min="26" max="30" width="9.25390625" style="2" bestFit="1" customWidth="1"/>
    <col min="31" max="31" width="10.125" style="2" bestFit="1" customWidth="1"/>
    <col min="32" max="34" width="9.25390625" style="2" bestFit="1" customWidth="1"/>
    <col min="35" max="36" width="9.25390625" style="2" customWidth="1"/>
    <col min="37" max="37" width="10.125" style="2" bestFit="1" customWidth="1"/>
    <col min="38" max="38" width="10.125" style="2" customWidth="1"/>
    <col min="39" max="39" width="9.25390625" style="2" bestFit="1" customWidth="1"/>
    <col min="40" max="41" width="9.25390625" style="2" customWidth="1"/>
    <col min="42" max="42" width="10.625" style="2" customWidth="1"/>
    <col min="43" max="44" width="10.125" style="2" bestFit="1" customWidth="1"/>
    <col min="45" max="46" width="10.375" style="2" customWidth="1"/>
    <col min="47" max="47" width="10.75390625" style="2" customWidth="1"/>
    <col min="48" max="48" width="14.00390625" style="2" customWidth="1"/>
    <col min="49" max="16384" width="9.125" style="2" customWidth="1"/>
  </cols>
  <sheetData>
    <row r="1" spans="1:14" ht="21" customHeight="1">
      <c r="A1" s="128" t="s">
        <v>77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8" ht="13.5" customHeight="1">
      <c r="A3" s="129" t="s">
        <v>0</v>
      </c>
      <c r="B3" s="132" t="s">
        <v>1</v>
      </c>
      <c r="C3" s="132" t="s">
        <v>2</v>
      </c>
      <c r="D3" s="132" t="s">
        <v>3</v>
      </c>
      <c r="E3" s="135" t="s">
        <v>4</v>
      </c>
      <c r="F3" s="135"/>
      <c r="G3" s="135"/>
      <c r="H3" s="135"/>
      <c r="I3" s="135"/>
      <c r="J3" s="135"/>
      <c r="K3" s="135"/>
      <c r="L3" s="135"/>
      <c r="M3" s="135"/>
      <c r="N3" s="135"/>
      <c r="O3" s="152" t="s">
        <v>5</v>
      </c>
      <c r="P3" s="152"/>
      <c r="Q3" s="153" t="s">
        <v>6</v>
      </c>
      <c r="R3" s="153"/>
      <c r="S3" s="153"/>
      <c r="T3" s="153"/>
      <c r="U3" s="153"/>
      <c r="V3" s="153"/>
      <c r="W3" s="155" t="s">
        <v>73</v>
      </c>
      <c r="X3" s="162" t="s">
        <v>61</v>
      </c>
      <c r="Y3" s="165" t="s">
        <v>8</v>
      </c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44" t="s">
        <v>62</v>
      </c>
      <c r="AU3" s="149" t="s">
        <v>9</v>
      </c>
      <c r="AV3" s="137" t="s">
        <v>10</v>
      </c>
    </row>
    <row r="4" spans="1:48" ht="36" customHeight="1" thickBot="1">
      <c r="A4" s="130"/>
      <c r="B4" s="133"/>
      <c r="C4" s="133"/>
      <c r="D4" s="133"/>
      <c r="E4" s="136" t="s">
        <v>11</v>
      </c>
      <c r="F4" s="136"/>
      <c r="G4" s="136" t="s">
        <v>12</v>
      </c>
      <c r="H4" s="136"/>
      <c r="I4" s="136" t="s">
        <v>13</v>
      </c>
      <c r="J4" s="136"/>
      <c r="K4" s="136" t="s">
        <v>14</v>
      </c>
      <c r="L4" s="136"/>
      <c r="M4" s="136" t="s">
        <v>15</v>
      </c>
      <c r="N4" s="136"/>
      <c r="O4" s="136"/>
      <c r="P4" s="136"/>
      <c r="Q4" s="154"/>
      <c r="R4" s="154"/>
      <c r="S4" s="154"/>
      <c r="T4" s="154"/>
      <c r="U4" s="154"/>
      <c r="V4" s="154"/>
      <c r="W4" s="156"/>
      <c r="X4" s="163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5"/>
      <c r="AU4" s="150"/>
      <c r="AV4" s="138"/>
    </row>
    <row r="5" spans="1:48" ht="29.25" customHeight="1" thickBot="1">
      <c r="A5" s="130"/>
      <c r="B5" s="133"/>
      <c r="C5" s="133"/>
      <c r="D5" s="133"/>
      <c r="E5" s="147" t="s">
        <v>16</v>
      </c>
      <c r="F5" s="147" t="s">
        <v>17</v>
      </c>
      <c r="G5" s="147" t="s">
        <v>16</v>
      </c>
      <c r="H5" s="147" t="s">
        <v>17</v>
      </c>
      <c r="I5" s="147" t="s">
        <v>16</v>
      </c>
      <c r="J5" s="147" t="s">
        <v>17</v>
      </c>
      <c r="K5" s="147" t="s">
        <v>16</v>
      </c>
      <c r="L5" s="147" t="s">
        <v>17</v>
      </c>
      <c r="M5" s="147" t="s">
        <v>16</v>
      </c>
      <c r="N5" s="147" t="s">
        <v>17</v>
      </c>
      <c r="O5" s="147" t="s">
        <v>16</v>
      </c>
      <c r="P5" s="147" t="s">
        <v>17</v>
      </c>
      <c r="Q5" s="158" t="s">
        <v>18</v>
      </c>
      <c r="R5" s="158" t="s">
        <v>19</v>
      </c>
      <c r="S5" s="158" t="s">
        <v>20</v>
      </c>
      <c r="T5" s="158" t="s">
        <v>21</v>
      </c>
      <c r="U5" s="158" t="s">
        <v>22</v>
      </c>
      <c r="V5" s="158" t="s">
        <v>23</v>
      </c>
      <c r="W5" s="156"/>
      <c r="X5" s="163"/>
      <c r="Y5" s="140" t="s">
        <v>24</v>
      </c>
      <c r="Z5" s="140" t="s">
        <v>25</v>
      </c>
      <c r="AA5" s="140" t="s">
        <v>26</v>
      </c>
      <c r="AB5" s="140" t="s">
        <v>27</v>
      </c>
      <c r="AC5" s="140" t="s">
        <v>28</v>
      </c>
      <c r="AD5" s="140" t="s">
        <v>27</v>
      </c>
      <c r="AE5" s="140" t="s">
        <v>29</v>
      </c>
      <c r="AF5" s="140" t="s">
        <v>27</v>
      </c>
      <c r="AG5" s="140" t="s">
        <v>30</v>
      </c>
      <c r="AH5" s="140" t="s">
        <v>27</v>
      </c>
      <c r="AI5" s="169" t="s">
        <v>66</v>
      </c>
      <c r="AJ5" s="171" t="s">
        <v>27</v>
      </c>
      <c r="AK5" s="142" t="s">
        <v>67</v>
      </c>
      <c r="AL5" s="160" t="s">
        <v>68</v>
      </c>
      <c r="AM5" s="160" t="s">
        <v>27</v>
      </c>
      <c r="AN5" s="166" t="s">
        <v>69</v>
      </c>
      <c r="AO5" s="167"/>
      <c r="AP5" s="168"/>
      <c r="AQ5" s="140" t="s">
        <v>32</v>
      </c>
      <c r="AR5" s="140" t="s">
        <v>27</v>
      </c>
      <c r="AS5" s="140" t="s">
        <v>33</v>
      </c>
      <c r="AT5" s="145"/>
      <c r="AU5" s="150"/>
      <c r="AV5" s="138"/>
    </row>
    <row r="6" spans="1:48" ht="54" customHeight="1" thickBot="1">
      <c r="A6" s="131"/>
      <c r="B6" s="134"/>
      <c r="C6" s="134"/>
      <c r="D6" s="134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59"/>
      <c r="R6" s="159"/>
      <c r="S6" s="159"/>
      <c r="T6" s="159"/>
      <c r="U6" s="159"/>
      <c r="V6" s="159"/>
      <c r="W6" s="157"/>
      <c r="X6" s="164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70"/>
      <c r="AJ6" s="172"/>
      <c r="AK6" s="143"/>
      <c r="AL6" s="161"/>
      <c r="AM6" s="161"/>
      <c r="AN6" s="87" t="s">
        <v>70</v>
      </c>
      <c r="AO6" s="87" t="s">
        <v>71</v>
      </c>
      <c r="AP6" s="87" t="s">
        <v>72</v>
      </c>
      <c r="AQ6" s="141"/>
      <c r="AR6" s="141"/>
      <c r="AS6" s="141"/>
      <c r="AT6" s="146"/>
      <c r="AU6" s="151"/>
      <c r="AV6" s="139"/>
    </row>
    <row r="7" spans="1:48" ht="12.75">
      <c r="A7" s="6">
        <v>1</v>
      </c>
      <c r="B7" s="7">
        <v>2</v>
      </c>
      <c r="C7" s="6">
        <v>3</v>
      </c>
      <c r="D7" s="7">
        <v>4</v>
      </c>
      <c r="E7" s="6">
        <v>5</v>
      </c>
      <c r="F7" s="7">
        <v>6</v>
      </c>
      <c r="G7" s="6">
        <v>7</v>
      </c>
      <c r="H7" s="7">
        <v>8</v>
      </c>
      <c r="I7" s="6">
        <v>9</v>
      </c>
      <c r="J7" s="7">
        <v>10</v>
      </c>
      <c r="K7" s="6">
        <v>11</v>
      </c>
      <c r="L7" s="7">
        <v>12</v>
      </c>
      <c r="M7" s="6">
        <v>13</v>
      </c>
      <c r="N7" s="7">
        <v>14</v>
      </c>
      <c r="O7" s="6">
        <v>15</v>
      </c>
      <c r="P7" s="7">
        <v>16</v>
      </c>
      <c r="Q7" s="6">
        <v>17</v>
      </c>
      <c r="R7" s="7">
        <v>18</v>
      </c>
      <c r="S7" s="6">
        <v>19</v>
      </c>
      <c r="T7" s="7">
        <v>20</v>
      </c>
      <c r="U7" s="6">
        <v>21</v>
      </c>
      <c r="V7" s="7">
        <v>22</v>
      </c>
      <c r="W7" s="6">
        <v>23</v>
      </c>
      <c r="X7" s="7">
        <v>24</v>
      </c>
      <c r="Y7" s="6">
        <v>25</v>
      </c>
      <c r="Z7" s="7">
        <v>26</v>
      </c>
      <c r="AA7" s="6">
        <v>27</v>
      </c>
      <c r="AB7" s="7">
        <v>28</v>
      </c>
      <c r="AC7" s="6">
        <v>29</v>
      </c>
      <c r="AD7" s="7">
        <v>30</v>
      </c>
      <c r="AE7" s="6">
        <v>31</v>
      </c>
      <c r="AF7" s="7">
        <v>32</v>
      </c>
      <c r="AG7" s="6">
        <v>33</v>
      </c>
      <c r="AH7" s="7">
        <v>34</v>
      </c>
      <c r="AI7" s="6">
        <v>35</v>
      </c>
      <c r="AJ7" s="7">
        <v>36</v>
      </c>
      <c r="AK7" s="6">
        <v>37</v>
      </c>
      <c r="AL7" s="7">
        <v>38</v>
      </c>
      <c r="AM7" s="6">
        <v>39</v>
      </c>
      <c r="AN7" s="7">
        <v>40</v>
      </c>
      <c r="AO7" s="6">
        <v>41</v>
      </c>
      <c r="AP7" s="7">
        <v>42</v>
      </c>
      <c r="AQ7" s="6">
        <v>43</v>
      </c>
      <c r="AR7" s="7">
        <v>44</v>
      </c>
      <c r="AS7" s="6">
        <v>45</v>
      </c>
      <c r="AT7" s="7">
        <v>46</v>
      </c>
      <c r="AU7" s="6">
        <v>47</v>
      </c>
      <c r="AV7" s="7">
        <v>48</v>
      </c>
    </row>
    <row r="8" spans="1:48" ht="15" customHeight="1">
      <c r="A8" s="5" t="s">
        <v>37</v>
      </c>
      <c r="B8" s="49"/>
      <c r="C8" s="50"/>
      <c r="D8" s="50"/>
      <c r="E8" s="47"/>
      <c r="F8" s="47"/>
      <c r="G8" s="47"/>
      <c r="H8" s="47"/>
      <c r="I8" s="47"/>
      <c r="J8" s="47"/>
      <c r="K8" s="47"/>
      <c r="L8" s="47"/>
      <c r="M8" s="47"/>
      <c r="N8" s="47"/>
      <c r="O8" s="46"/>
      <c r="P8" s="46"/>
      <c r="Q8" s="53"/>
      <c r="R8" s="53"/>
      <c r="S8" s="53"/>
      <c r="T8" s="53"/>
      <c r="U8" s="53"/>
      <c r="V8" s="45"/>
      <c r="W8" s="74"/>
      <c r="X8" s="75"/>
      <c r="Y8" s="12"/>
      <c r="Z8" s="12"/>
      <c r="AA8" s="12"/>
      <c r="AB8" s="12"/>
      <c r="AC8" s="12"/>
      <c r="AD8" s="12"/>
      <c r="AE8" s="12"/>
      <c r="AF8" s="12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12"/>
      <c r="AS8" s="12"/>
      <c r="AT8" s="12"/>
      <c r="AU8" s="12"/>
      <c r="AV8" s="26"/>
    </row>
    <row r="9" spans="1:48" ht="12.75">
      <c r="A9" s="9" t="s">
        <v>38</v>
      </c>
      <c r="B9" s="99">
        <v>884.83</v>
      </c>
      <c r="C9" s="100">
        <f aca="true" t="shared" si="0" ref="C9:C15">B9*8.65</f>
        <v>7653.779500000001</v>
      </c>
      <c r="D9" s="107">
        <v>2577.97</v>
      </c>
      <c r="E9" s="89">
        <v>610.33</v>
      </c>
      <c r="F9" s="89">
        <v>116.91</v>
      </c>
      <c r="G9" s="89">
        <v>826.15</v>
      </c>
      <c r="H9" s="89">
        <v>158.48</v>
      </c>
      <c r="I9" s="89">
        <v>1588.59</v>
      </c>
      <c r="J9" s="89">
        <v>304.49</v>
      </c>
      <c r="K9" s="89">
        <v>1375.41</v>
      </c>
      <c r="L9" s="89">
        <v>263.71</v>
      </c>
      <c r="M9" s="89">
        <v>533.89</v>
      </c>
      <c r="N9" s="108">
        <v>93.53</v>
      </c>
      <c r="O9" s="71">
        <f aca="true" t="shared" si="1" ref="O9:O15">E9+G9+I9+K9+M9</f>
        <v>4934.37</v>
      </c>
      <c r="P9" s="82">
        <f aca="true" t="shared" si="2" ref="P9:P15">N9+L9+J9+H9+F9</f>
        <v>937.12</v>
      </c>
      <c r="Q9" s="103">
        <v>137.89</v>
      </c>
      <c r="R9" s="103">
        <v>186.53</v>
      </c>
      <c r="S9" s="103">
        <v>415.68</v>
      </c>
      <c r="T9" s="103">
        <v>310.59</v>
      </c>
      <c r="U9" s="103">
        <v>132.57</v>
      </c>
      <c r="V9" s="99">
        <f aca="true" t="shared" si="3" ref="V9:V15">SUM(Q9:U9)</f>
        <v>1183.2599999999998</v>
      </c>
      <c r="W9" s="95">
        <f aca="true" t="shared" si="4" ref="W9:W15">D9+P9+V9</f>
        <v>4698.349999999999</v>
      </c>
      <c r="X9" s="95"/>
      <c r="Y9" s="94">
        <f aca="true" t="shared" si="5" ref="Y9:Y15">0.6*B9</f>
        <v>530.898</v>
      </c>
      <c r="Z9" s="94">
        <f>B9*0.2*1.01045</f>
        <v>178.8152947</v>
      </c>
      <c r="AA9" s="94">
        <f>0.85*B9*0.98824</f>
        <v>743.26073932</v>
      </c>
      <c r="AB9" s="94">
        <f aca="true" t="shared" si="6" ref="AB9:AB15">AA9*0.18</f>
        <v>133.7869330776</v>
      </c>
      <c r="AC9" s="94">
        <f>(0.83*B9)*0.99023</f>
        <v>727.233725047</v>
      </c>
      <c r="AD9" s="94">
        <f aca="true" t="shared" si="7" ref="AD9:AD15">AC9*0.18</f>
        <v>130.90207050845999</v>
      </c>
      <c r="AE9" s="94">
        <f>(1.91)*B9*0.99023-0.01</f>
        <v>1673.503752819</v>
      </c>
      <c r="AF9" s="94">
        <f aca="true" t="shared" si="8" ref="AF9:AF15">AE9*0.18</f>
        <v>301.23067550742</v>
      </c>
      <c r="AG9" s="94">
        <v>0</v>
      </c>
      <c r="AH9" s="94">
        <f aca="true" t="shared" si="9" ref="AH9:AH15">AG9*0.18</f>
        <v>0</v>
      </c>
      <c r="AI9" s="106"/>
      <c r="AJ9" s="106">
        <f>AI9*0.18</f>
        <v>0</v>
      </c>
      <c r="AK9" s="96"/>
      <c r="AL9" s="96"/>
      <c r="AM9" s="73">
        <f>(AK9+AL9)*0.18</f>
        <v>0</v>
      </c>
      <c r="AN9" s="86">
        <v>233</v>
      </c>
      <c r="AO9" s="97">
        <v>0.45</v>
      </c>
      <c r="AP9" s="94">
        <f aca="true" t="shared" si="10" ref="AP9:AP15">AN9*AO9*1.12*1.18</f>
        <v>138.56976</v>
      </c>
      <c r="AQ9" s="98"/>
      <c r="AR9" s="98">
        <f aca="true" t="shared" si="11" ref="AR9:AR15">AQ9*0.18</f>
        <v>0</v>
      </c>
      <c r="AS9" s="98">
        <f aca="true" t="shared" si="12" ref="AS9:AS15">SUM(Y9:AM9)+AP9</f>
        <v>4558.20095097948</v>
      </c>
      <c r="AT9" s="105"/>
      <c r="AU9" s="12">
        <f aca="true" t="shared" si="13" ref="AU9:AU15">W9+X9-AS9-AT9</f>
        <v>140.14904902051967</v>
      </c>
      <c r="AV9" s="26">
        <f aca="true" t="shared" si="14" ref="AV9:AV15">V9-O9</f>
        <v>-3751.11</v>
      </c>
    </row>
    <row r="10" spans="1:48" ht="12.75">
      <c r="A10" s="9" t="s">
        <v>39</v>
      </c>
      <c r="B10" s="99">
        <v>884.83</v>
      </c>
      <c r="C10" s="100">
        <f t="shared" si="0"/>
        <v>7653.779500000001</v>
      </c>
      <c r="D10" s="107">
        <v>2583.35</v>
      </c>
      <c r="E10" s="89">
        <v>362.59</v>
      </c>
      <c r="F10" s="89">
        <v>73.1</v>
      </c>
      <c r="G10" s="89">
        <v>490.8</v>
      </c>
      <c r="H10" s="89">
        <v>99.06</v>
      </c>
      <c r="I10" s="89">
        <v>1576.9</v>
      </c>
      <c r="J10" s="89">
        <v>314.08</v>
      </c>
      <c r="K10" s="89">
        <v>817.44</v>
      </c>
      <c r="L10" s="89">
        <v>164.88</v>
      </c>
      <c r="M10" s="89">
        <v>317.45</v>
      </c>
      <c r="N10" s="108">
        <v>58.45</v>
      </c>
      <c r="O10" s="71">
        <f t="shared" si="1"/>
        <v>3565.18</v>
      </c>
      <c r="P10" s="82">
        <f t="shared" si="2"/>
        <v>709.57</v>
      </c>
      <c r="Q10" s="103">
        <v>518.8</v>
      </c>
      <c r="R10" s="103">
        <v>703.49</v>
      </c>
      <c r="S10" s="103">
        <v>1502.06</v>
      </c>
      <c r="T10" s="103">
        <v>1174.06</v>
      </c>
      <c r="U10" s="103">
        <v>444.51</v>
      </c>
      <c r="V10" s="99">
        <f t="shared" si="3"/>
        <v>4342.92</v>
      </c>
      <c r="W10" s="95">
        <f t="shared" si="4"/>
        <v>7635.84</v>
      </c>
      <c r="X10" s="95"/>
      <c r="Y10" s="94">
        <f t="shared" si="5"/>
        <v>530.898</v>
      </c>
      <c r="Z10" s="94">
        <f>B10*0.2*0.99426</f>
        <v>175.95021516000003</v>
      </c>
      <c r="AA10" s="94">
        <f>0.85*B10*0.98824</f>
        <v>743.26073932</v>
      </c>
      <c r="AB10" s="94">
        <f t="shared" si="6"/>
        <v>133.7869330776</v>
      </c>
      <c r="AC10" s="94">
        <f>0.83*B10*0.99023</f>
        <v>727.233725047</v>
      </c>
      <c r="AD10" s="94">
        <f t="shared" si="7"/>
        <v>130.90207050845999</v>
      </c>
      <c r="AE10" s="94">
        <f>1.91*B10*0.99023</f>
        <v>1673.513752819</v>
      </c>
      <c r="AF10" s="94">
        <f t="shared" si="8"/>
        <v>301.23247550742</v>
      </c>
      <c r="AG10" s="94">
        <v>0</v>
      </c>
      <c r="AH10" s="94">
        <f t="shared" si="9"/>
        <v>0</v>
      </c>
      <c r="AI10" s="106"/>
      <c r="AJ10" s="85">
        <f aca="true" t="shared" si="15" ref="AJ10:AJ15">AI10*0.18</f>
        <v>0</v>
      </c>
      <c r="AK10" s="96"/>
      <c r="AL10" s="96"/>
      <c r="AM10" s="96">
        <f>AK10*0.18</f>
        <v>0</v>
      </c>
      <c r="AN10" s="93">
        <v>248</v>
      </c>
      <c r="AO10" s="97">
        <v>0.45</v>
      </c>
      <c r="AP10" s="94">
        <f t="shared" si="10"/>
        <v>147.49056000000002</v>
      </c>
      <c r="AQ10" s="98"/>
      <c r="AR10" s="98">
        <f t="shared" si="11"/>
        <v>0</v>
      </c>
      <c r="AS10" s="98">
        <f t="shared" si="12"/>
        <v>4564.26847143948</v>
      </c>
      <c r="AT10" s="105"/>
      <c r="AU10" s="12">
        <f t="shared" si="13"/>
        <v>3071.57152856052</v>
      </c>
      <c r="AV10" s="26">
        <f t="shared" si="14"/>
        <v>777.7400000000002</v>
      </c>
    </row>
    <row r="11" spans="1:48" ht="12.75">
      <c r="A11" s="9" t="s">
        <v>40</v>
      </c>
      <c r="B11" s="99">
        <v>884.83</v>
      </c>
      <c r="C11" s="100">
        <f t="shared" si="0"/>
        <v>7653.779500000001</v>
      </c>
      <c r="D11" s="107">
        <f>C11-E11-F11-G11-H11-I11-J11-K11-L11-M11-N11</f>
        <v>2557.8595000000005</v>
      </c>
      <c r="E11" s="89">
        <v>485.49</v>
      </c>
      <c r="F11" s="89">
        <v>95.8</v>
      </c>
      <c r="G11" s="89">
        <v>657.18</v>
      </c>
      <c r="H11" s="89">
        <v>129.84</v>
      </c>
      <c r="I11" s="89">
        <v>1579.6</v>
      </c>
      <c r="J11" s="89">
        <v>311.87</v>
      </c>
      <c r="K11" s="89">
        <v>1094.09</v>
      </c>
      <c r="L11" s="89">
        <v>216.09</v>
      </c>
      <c r="M11" s="89">
        <v>449.34</v>
      </c>
      <c r="N11" s="108">
        <v>76.62</v>
      </c>
      <c r="O11" s="71">
        <f t="shared" si="1"/>
        <v>4265.7</v>
      </c>
      <c r="P11" s="82">
        <f t="shared" si="2"/>
        <v>830.22</v>
      </c>
      <c r="Q11" s="103">
        <v>347.51</v>
      </c>
      <c r="R11" s="103">
        <v>470.14</v>
      </c>
      <c r="S11" s="103">
        <v>1202.16</v>
      </c>
      <c r="T11" s="103">
        <v>782.61</v>
      </c>
      <c r="U11" s="103">
        <v>298.87</v>
      </c>
      <c r="V11" s="99">
        <f t="shared" si="3"/>
        <v>3101.29</v>
      </c>
      <c r="W11" s="95">
        <f t="shared" si="4"/>
        <v>6489.369500000001</v>
      </c>
      <c r="X11" s="95"/>
      <c r="Y11" s="94">
        <f t="shared" si="5"/>
        <v>530.898</v>
      </c>
      <c r="Z11" s="94">
        <f>B11*0.2*0.99875</f>
        <v>176.74479250000002</v>
      </c>
      <c r="AA11" s="94">
        <f>0.85*B11*0.9882</f>
        <v>743.2306551</v>
      </c>
      <c r="AB11" s="94">
        <f t="shared" si="6"/>
        <v>133.781517918</v>
      </c>
      <c r="AC11" s="94">
        <f>0.83*B11*0.9903</f>
        <v>727.2851336699999</v>
      </c>
      <c r="AD11" s="94">
        <f t="shared" si="7"/>
        <v>130.91132406059998</v>
      </c>
      <c r="AE11" s="94">
        <f>1.91*B11*0.9902</f>
        <v>1673.4630520599999</v>
      </c>
      <c r="AF11" s="94">
        <f t="shared" si="8"/>
        <v>301.22334937079995</v>
      </c>
      <c r="AG11" s="94">
        <v>0</v>
      </c>
      <c r="AH11" s="94">
        <f t="shared" si="9"/>
        <v>0</v>
      </c>
      <c r="AI11" s="106"/>
      <c r="AJ11" s="85">
        <f t="shared" si="15"/>
        <v>0</v>
      </c>
      <c r="AK11" s="96"/>
      <c r="AL11" s="96"/>
      <c r="AM11" s="73">
        <f>(AK11+AL11)*0.18</f>
        <v>0</v>
      </c>
      <c r="AN11" s="93">
        <v>293</v>
      </c>
      <c r="AO11" s="97">
        <v>0.45</v>
      </c>
      <c r="AP11" s="94">
        <f t="shared" si="10"/>
        <v>174.25295999999997</v>
      </c>
      <c r="AQ11" s="98"/>
      <c r="AR11" s="98">
        <f t="shared" si="11"/>
        <v>0</v>
      </c>
      <c r="AS11" s="98">
        <f t="shared" si="12"/>
        <v>4591.7907846794</v>
      </c>
      <c r="AT11" s="105"/>
      <c r="AU11" s="12">
        <f t="shared" si="13"/>
        <v>1897.578715320601</v>
      </c>
      <c r="AV11" s="26">
        <f t="shared" si="14"/>
        <v>-1164.4099999999999</v>
      </c>
    </row>
    <row r="12" spans="1:48" ht="12.75">
      <c r="A12" s="9" t="s">
        <v>41</v>
      </c>
      <c r="B12" s="99">
        <v>884.83</v>
      </c>
      <c r="C12" s="100">
        <f t="shared" si="0"/>
        <v>7653.779500000001</v>
      </c>
      <c r="D12" s="107">
        <f>C12-E12-F12-G12-H12-I12-J12-K12-L12-M12-N12</f>
        <v>2557.8595000000005</v>
      </c>
      <c r="E12" s="81">
        <v>485.49</v>
      </c>
      <c r="F12" s="81">
        <v>95.8</v>
      </c>
      <c r="G12" s="81">
        <v>657.18</v>
      </c>
      <c r="H12" s="81">
        <v>129.84</v>
      </c>
      <c r="I12" s="81">
        <v>1579.6</v>
      </c>
      <c r="J12" s="81">
        <v>311.87</v>
      </c>
      <c r="K12" s="81">
        <v>1094.09</v>
      </c>
      <c r="L12" s="81">
        <v>216.09</v>
      </c>
      <c r="M12" s="81">
        <v>449.34</v>
      </c>
      <c r="N12" s="102">
        <v>76.62</v>
      </c>
      <c r="O12" s="71">
        <f t="shared" si="1"/>
        <v>4265.7</v>
      </c>
      <c r="P12" s="82">
        <f t="shared" si="2"/>
        <v>830.22</v>
      </c>
      <c r="Q12" s="103">
        <v>271.53</v>
      </c>
      <c r="R12" s="103">
        <v>367.63</v>
      </c>
      <c r="S12" s="103">
        <v>933.17</v>
      </c>
      <c r="T12" s="103">
        <v>613.51</v>
      </c>
      <c r="U12" s="103">
        <v>261.22</v>
      </c>
      <c r="V12" s="99">
        <f t="shared" si="3"/>
        <v>2447.0600000000004</v>
      </c>
      <c r="W12" s="95">
        <f t="shared" si="4"/>
        <v>5835.139500000001</v>
      </c>
      <c r="X12" s="95"/>
      <c r="Y12" s="94">
        <f t="shared" si="5"/>
        <v>530.898</v>
      </c>
      <c r="Z12" s="94">
        <f>B12*0.2*0.9997</f>
        <v>176.91291020000003</v>
      </c>
      <c r="AA12" s="94">
        <f>0.85*B12*0.9882+0.01</f>
        <v>743.2406551</v>
      </c>
      <c r="AB12" s="94">
        <f t="shared" si="6"/>
        <v>133.783317918</v>
      </c>
      <c r="AC12" s="94">
        <f>(0.83*B12)*0.9902</f>
        <v>727.21169278</v>
      </c>
      <c r="AD12" s="94">
        <f t="shared" si="7"/>
        <v>130.8981047004</v>
      </c>
      <c r="AE12" s="94">
        <f>1.91*B12*0.9902</f>
        <v>1673.4630520599999</v>
      </c>
      <c r="AF12" s="94">
        <f t="shared" si="8"/>
        <v>301.22334937079995</v>
      </c>
      <c r="AG12" s="94">
        <v>0</v>
      </c>
      <c r="AH12" s="94">
        <f t="shared" si="9"/>
        <v>0</v>
      </c>
      <c r="AI12" s="106"/>
      <c r="AJ12" s="85">
        <f t="shared" si="15"/>
        <v>0</v>
      </c>
      <c r="AK12" s="96"/>
      <c r="AL12" s="96"/>
      <c r="AM12" s="73">
        <f>(AK12+AL12)*0.18</f>
        <v>0</v>
      </c>
      <c r="AN12" s="93">
        <v>349</v>
      </c>
      <c r="AO12" s="97">
        <v>0.45</v>
      </c>
      <c r="AP12" s="94">
        <f t="shared" si="10"/>
        <v>207.55728000000005</v>
      </c>
      <c r="AQ12" s="98"/>
      <c r="AR12" s="98">
        <f t="shared" si="11"/>
        <v>0</v>
      </c>
      <c r="AS12" s="98">
        <f t="shared" si="12"/>
        <v>4625.1883621292</v>
      </c>
      <c r="AT12" s="105"/>
      <c r="AU12" s="12">
        <f t="shared" si="13"/>
        <v>1209.9511378708012</v>
      </c>
      <c r="AV12" s="26">
        <f t="shared" si="14"/>
        <v>-1818.6399999999994</v>
      </c>
    </row>
    <row r="13" spans="1:48" ht="12.75">
      <c r="A13" s="9" t="s">
        <v>34</v>
      </c>
      <c r="B13" s="114">
        <v>884.83</v>
      </c>
      <c r="C13" s="80">
        <f t="shared" si="0"/>
        <v>7653.779500000001</v>
      </c>
      <c r="D13" s="107">
        <f>C13-O13-P13</f>
        <v>2579.0495</v>
      </c>
      <c r="E13" s="81">
        <v>482.99</v>
      </c>
      <c r="F13" s="81">
        <v>95.8</v>
      </c>
      <c r="G13" s="81">
        <v>653.95</v>
      </c>
      <c r="H13" s="81">
        <v>129.84</v>
      </c>
      <c r="I13" s="81">
        <v>1571.62</v>
      </c>
      <c r="J13" s="81">
        <v>311.87</v>
      </c>
      <c r="K13" s="81">
        <v>1088.61</v>
      </c>
      <c r="L13" s="81">
        <v>216.09</v>
      </c>
      <c r="M13" s="81">
        <v>447.34</v>
      </c>
      <c r="N13" s="84">
        <v>76.62</v>
      </c>
      <c r="O13" s="109">
        <f t="shared" si="1"/>
        <v>4244.51</v>
      </c>
      <c r="P13" s="110">
        <f t="shared" si="2"/>
        <v>830.22</v>
      </c>
      <c r="Q13" s="103">
        <v>738.89</v>
      </c>
      <c r="R13" s="103">
        <v>999.32</v>
      </c>
      <c r="S13" s="103">
        <v>2461.11</v>
      </c>
      <c r="T13" s="103">
        <v>1659.93</v>
      </c>
      <c r="U13" s="103">
        <v>635.58</v>
      </c>
      <c r="V13" s="84">
        <f t="shared" si="3"/>
        <v>6494.83</v>
      </c>
      <c r="W13" s="83">
        <f t="shared" si="4"/>
        <v>9904.0995</v>
      </c>
      <c r="X13" s="78">
        <f>'[1]Шалым'!$H$3</f>
        <v>1030.46804</v>
      </c>
      <c r="Y13" s="111">
        <f t="shared" si="5"/>
        <v>530.898</v>
      </c>
      <c r="Z13" s="14">
        <f>B13*0.2</f>
        <v>176.966</v>
      </c>
      <c r="AA13" s="14">
        <f>0.85*B13</f>
        <v>752.1055</v>
      </c>
      <c r="AB13" s="14">
        <f t="shared" si="6"/>
        <v>135.37899</v>
      </c>
      <c r="AC13" s="14">
        <f>(0.83*B13)</f>
        <v>734.4089</v>
      </c>
      <c r="AD13" s="14">
        <f t="shared" si="7"/>
        <v>132.193602</v>
      </c>
      <c r="AE13" s="14">
        <f>1.91*B13</f>
        <v>1690.0253</v>
      </c>
      <c r="AF13" s="14">
        <f t="shared" si="8"/>
        <v>304.204554</v>
      </c>
      <c r="AG13" s="14">
        <v>0</v>
      </c>
      <c r="AH13" s="14">
        <f t="shared" si="9"/>
        <v>0</v>
      </c>
      <c r="AI13" s="106"/>
      <c r="AJ13" s="85">
        <f t="shared" si="15"/>
        <v>0</v>
      </c>
      <c r="AK13" s="73"/>
      <c r="AL13" s="73"/>
      <c r="AM13" s="73">
        <f>(AK13+AL13)*0.18</f>
        <v>0</v>
      </c>
      <c r="AN13" s="104">
        <v>425</v>
      </c>
      <c r="AO13" s="92">
        <v>0.45</v>
      </c>
      <c r="AP13" s="14">
        <f t="shared" si="10"/>
        <v>252.756</v>
      </c>
      <c r="AQ13" s="88"/>
      <c r="AR13" s="88">
        <f t="shared" si="11"/>
        <v>0</v>
      </c>
      <c r="AS13" s="112">
        <f t="shared" si="12"/>
        <v>4708.9368460000005</v>
      </c>
      <c r="AT13" s="113">
        <f>'[1]Шалым'!$N$3</f>
        <v>491.15556</v>
      </c>
      <c r="AU13" s="12">
        <f t="shared" si="13"/>
        <v>5734.475133999999</v>
      </c>
      <c r="AV13" s="26">
        <f t="shared" si="14"/>
        <v>2250.3199999999997</v>
      </c>
    </row>
    <row r="14" spans="1:48" ht="12.75">
      <c r="A14" s="9" t="s">
        <v>35</v>
      </c>
      <c r="B14" s="114">
        <v>884.83</v>
      </c>
      <c r="C14" s="80">
        <f t="shared" si="0"/>
        <v>7653.779500000001</v>
      </c>
      <c r="D14" s="107">
        <f>C14-O14-P14</f>
        <v>2586.4095000000007</v>
      </c>
      <c r="E14" s="81">
        <v>482.13</v>
      </c>
      <c r="F14" s="81">
        <v>95.8</v>
      </c>
      <c r="G14" s="81">
        <v>652.82</v>
      </c>
      <c r="H14" s="81">
        <v>129.84</v>
      </c>
      <c r="I14" s="81">
        <v>1568.85</v>
      </c>
      <c r="J14" s="81">
        <v>311.87</v>
      </c>
      <c r="K14" s="81">
        <v>1086.7</v>
      </c>
      <c r="L14" s="81">
        <v>216.09</v>
      </c>
      <c r="M14" s="81">
        <v>446.65</v>
      </c>
      <c r="N14" s="102">
        <v>76.62</v>
      </c>
      <c r="O14" s="109">
        <f t="shared" si="1"/>
        <v>4237.15</v>
      </c>
      <c r="P14" s="110">
        <f t="shared" si="2"/>
        <v>830.22</v>
      </c>
      <c r="Q14" s="115">
        <v>330.8</v>
      </c>
      <c r="R14" s="115">
        <v>447.95</v>
      </c>
      <c r="S14" s="115">
        <v>1093.64</v>
      </c>
      <c r="T14" s="115">
        <v>749.18</v>
      </c>
      <c r="U14" s="115">
        <v>313.4</v>
      </c>
      <c r="V14" s="84">
        <f t="shared" si="3"/>
        <v>2934.9700000000003</v>
      </c>
      <c r="W14" s="83">
        <f t="shared" si="4"/>
        <v>6351.599500000001</v>
      </c>
      <c r="X14" s="83">
        <f>'[1]Шалым'!$H$9</f>
        <v>1030.46804</v>
      </c>
      <c r="Y14" s="14">
        <f t="shared" si="5"/>
        <v>530.898</v>
      </c>
      <c r="Z14" s="14">
        <f>B14*0.2</f>
        <v>176.966</v>
      </c>
      <c r="AA14" s="14">
        <f>0.85*B14</f>
        <v>752.1055</v>
      </c>
      <c r="AB14" s="14">
        <f t="shared" si="6"/>
        <v>135.37899</v>
      </c>
      <c r="AC14" s="14">
        <f>(0.83*B14)</f>
        <v>734.4089</v>
      </c>
      <c r="AD14" s="14">
        <f t="shared" si="7"/>
        <v>132.193602</v>
      </c>
      <c r="AE14" s="14">
        <f>1.91*B14</f>
        <v>1690.0253</v>
      </c>
      <c r="AF14" s="14">
        <f t="shared" si="8"/>
        <v>304.204554</v>
      </c>
      <c r="AG14" s="14">
        <v>0</v>
      </c>
      <c r="AH14" s="14">
        <f t="shared" si="9"/>
        <v>0</v>
      </c>
      <c r="AI14" s="106"/>
      <c r="AJ14" s="85">
        <f t="shared" si="15"/>
        <v>0</v>
      </c>
      <c r="AK14" s="73">
        <v>846.22</v>
      </c>
      <c r="AL14" s="73"/>
      <c r="AM14" s="73">
        <f>AK14*0.18</f>
        <v>152.3196</v>
      </c>
      <c r="AN14" s="104">
        <v>470</v>
      </c>
      <c r="AO14" s="92">
        <v>0.45</v>
      </c>
      <c r="AP14" s="14">
        <f t="shared" si="10"/>
        <v>279.5184</v>
      </c>
      <c r="AQ14" s="88"/>
      <c r="AR14" s="88">
        <f t="shared" si="11"/>
        <v>0</v>
      </c>
      <c r="AS14" s="88">
        <f t="shared" si="12"/>
        <v>5734.238846</v>
      </c>
      <c r="AT14" s="90">
        <f>'[1]Шалым'!$N$9</f>
        <v>491.15556</v>
      </c>
      <c r="AU14" s="12">
        <f t="shared" si="13"/>
        <v>1156.6731340000008</v>
      </c>
      <c r="AV14" s="26">
        <f t="shared" si="14"/>
        <v>-1302.1799999999994</v>
      </c>
    </row>
    <row r="15" spans="1:48" ht="12.75">
      <c r="A15" s="9" t="s">
        <v>36</v>
      </c>
      <c r="B15" s="116">
        <v>884.83</v>
      </c>
      <c r="C15" s="100">
        <f t="shared" si="0"/>
        <v>7653.779500000001</v>
      </c>
      <c r="D15" s="101">
        <f>C15-E15-F15-G15-H15-I15-J15-K15-L15-M15-N15</f>
        <v>2586.4095</v>
      </c>
      <c r="E15" s="117">
        <v>482.13</v>
      </c>
      <c r="F15" s="117">
        <v>95.8</v>
      </c>
      <c r="G15" s="117">
        <v>652.82</v>
      </c>
      <c r="H15" s="117">
        <v>129.84</v>
      </c>
      <c r="I15" s="117">
        <v>1568.85</v>
      </c>
      <c r="J15" s="117">
        <v>311.87</v>
      </c>
      <c r="K15" s="117">
        <v>1086.7</v>
      </c>
      <c r="L15" s="117">
        <v>216.09</v>
      </c>
      <c r="M15" s="117">
        <v>446.65</v>
      </c>
      <c r="N15" s="117">
        <v>76.62</v>
      </c>
      <c r="O15" s="70">
        <f t="shared" si="1"/>
        <v>4237.15</v>
      </c>
      <c r="P15" s="82">
        <f t="shared" si="2"/>
        <v>830.22</v>
      </c>
      <c r="Q15" s="103">
        <v>541.83</v>
      </c>
      <c r="R15" s="103">
        <v>733.65</v>
      </c>
      <c r="S15" s="103">
        <v>1776.61</v>
      </c>
      <c r="T15" s="103">
        <v>1220.74</v>
      </c>
      <c r="U15" s="103">
        <v>504.7</v>
      </c>
      <c r="V15" s="84">
        <f t="shared" si="3"/>
        <v>4777.53</v>
      </c>
      <c r="W15" s="83">
        <f t="shared" si="4"/>
        <v>8194.1595</v>
      </c>
      <c r="X15" s="83">
        <f>'[1]Шалым'!$H$15</f>
        <v>1030.46804</v>
      </c>
      <c r="Y15" s="14">
        <f t="shared" si="5"/>
        <v>530.898</v>
      </c>
      <c r="Z15" s="14">
        <f>B15*0.2</f>
        <v>176.966</v>
      </c>
      <c r="AA15" s="14">
        <f>0.85*B15</f>
        <v>752.1055</v>
      </c>
      <c r="AB15" s="14">
        <f t="shared" si="6"/>
        <v>135.37899</v>
      </c>
      <c r="AC15" s="14">
        <f>(0.83*B15)</f>
        <v>734.4089</v>
      </c>
      <c r="AD15" s="14">
        <f t="shared" si="7"/>
        <v>132.193602</v>
      </c>
      <c r="AE15" s="14">
        <f>1.91*B15</f>
        <v>1690.0253</v>
      </c>
      <c r="AF15" s="14">
        <f t="shared" si="8"/>
        <v>304.204554</v>
      </c>
      <c r="AG15" s="14">
        <v>0</v>
      </c>
      <c r="AH15" s="14">
        <f t="shared" si="9"/>
        <v>0</v>
      </c>
      <c r="AI15" s="106"/>
      <c r="AJ15" s="85">
        <f t="shared" si="15"/>
        <v>0</v>
      </c>
      <c r="AK15" s="73"/>
      <c r="AL15" s="73"/>
      <c r="AM15" s="73">
        <f>AK15*0.18</f>
        <v>0</v>
      </c>
      <c r="AN15" s="104">
        <v>514</v>
      </c>
      <c r="AO15" s="92">
        <v>0.45</v>
      </c>
      <c r="AP15" s="14">
        <f t="shared" si="10"/>
        <v>305.68608</v>
      </c>
      <c r="AQ15" s="88"/>
      <c r="AR15" s="88">
        <f t="shared" si="11"/>
        <v>0</v>
      </c>
      <c r="AS15" s="88">
        <f t="shared" si="12"/>
        <v>4761.866926000001</v>
      </c>
      <c r="AT15" s="90">
        <f>'[1]Шалым'!$N$15</f>
        <v>491.15556</v>
      </c>
      <c r="AU15" s="12">
        <f t="shared" si="13"/>
        <v>3971.6050539999987</v>
      </c>
      <c r="AV15" s="26">
        <f t="shared" si="14"/>
        <v>540.3800000000001</v>
      </c>
    </row>
    <row r="16" spans="1:48" s="18" customFormat="1" ht="12.75">
      <c r="A16" s="15" t="s">
        <v>5</v>
      </c>
      <c r="B16" s="51"/>
      <c r="C16" s="51">
        <f aca="true" t="shared" si="16" ref="C16:AM16">SUM(C9:C15)</f>
        <v>53576.456500000015</v>
      </c>
      <c r="D16" s="51">
        <f t="shared" si="16"/>
        <v>18028.907500000005</v>
      </c>
      <c r="E16" s="48">
        <f t="shared" si="16"/>
        <v>3391.1500000000005</v>
      </c>
      <c r="F16" s="48">
        <f t="shared" si="16"/>
        <v>669.01</v>
      </c>
      <c r="G16" s="48">
        <f t="shared" si="16"/>
        <v>4590.900000000001</v>
      </c>
      <c r="H16" s="48">
        <f t="shared" si="16"/>
        <v>906.7400000000001</v>
      </c>
      <c r="I16" s="48">
        <f t="shared" si="16"/>
        <v>11034.01</v>
      </c>
      <c r="J16" s="48">
        <f t="shared" si="16"/>
        <v>2177.9199999999996</v>
      </c>
      <c r="K16" s="48">
        <f t="shared" si="16"/>
        <v>7643.04</v>
      </c>
      <c r="L16" s="48">
        <f t="shared" si="16"/>
        <v>1509.0399999999997</v>
      </c>
      <c r="M16" s="48">
        <f t="shared" si="16"/>
        <v>3090.66</v>
      </c>
      <c r="N16" s="48">
        <f t="shared" si="16"/>
        <v>535.08</v>
      </c>
      <c r="O16" s="48">
        <f t="shared" si="16"/>
        <v>29749.760000000002</v>
      </c>
      <c r="P16" s="48">
        <f t="shared" si="16"/>
        <v>5797.790000000001</v>
      </c>
      <c r="Q16" s="52">
        <f t="shared" si="16"/>
        <v>2887.25</v>
      </c>
      <c r="R16" s="52">
        <f t="shared" si="16"/>
        <v>3908.71</v>
      </c>
      <c r="S16" s="52">
        <f t="shared" si="16"/>
        <v>9384.43</v>
      </c>
      <c r="T16" s="52">
        <f t="shared" si="16"/>
        <v>6510.62</v>
      </c>
      <c r="U16" s="52">
        <f t="shared" si="16"/>
        <v>2590.85</v>
      </c>
      <c r="V16" s="52">
        <f t="shared" si="16"/>
        <v>25281.86</v>
      </c>
      <c r="W16" s="52">
        <f t="shared" si="16"/>
        <v>49108.55750000001</v>
      </c>
      <c r="X16" s="76">
        <f t="shared" si="16"/>
        <v>3091.40412</v>
      </c>
      <c r="Y16" s="16">
        <f t="shared" si="16"/>
        <v>3716.2860000000005</v>
      </c>
      <c r="Z16" s="16">
        <f t="shared" si="16"/>
        <v>1239.3212125600003</v>
      </c>
      <c r="AA16" s="16">
        <f t="shared" si="16"/>
        <v>5229.30928884</v>
      </c>
      <c r="AB16" s="16">
        <f t="shared" si="16"/>
        <v>941.2756719911997</v>
      </c>
      <c r="AC16" s="16">
        <f t="shared" si="16"/>
        <v>5112.1909765440005</v>
      </c>
      <c r="AD16" s="16">
        <f t="shared" si="16"/>
        <v>920.1943757779202</v>
      </c>
      <c r="AE16" s="16">
        <f t="shared" si="16"/>
        <v>11764.019509757998</v>
      </c>
      <c r="AF16" s="16">
        <f t="shared" si="16"/>
        <v>2117.52351175644</v>
      </c>
      <c r="AG16" s="16">
        <f t="shared" si="16"/>
        <v>0</v>
      </c>
      <c r="AH16" s="16">
        <f t="shared" si="16"/>
        <v>0</v>
      </c>
      <c r="AI16" s="16">
        <f t="shared" si="16"/>
        <v>0</v>
      </c>
      <c r="AJ16" s="16">
        <f t="shared" si="16"/>
        <v>0</v>
      </c>
      <c r="AK16" s="16">
        <f t="shared" si="16"/>
        <v>846.22</v>
      </c>
      <c r="AL16" s="16">
        <f t="shared" si="16"/>
        <v>0</v>
      </c>
      <c r="AM16" s="16">
        <f t="shared" si="16"/>
        <v>152.3196</v>
      </c>
      <c r="AN16" s="16"/>
      <c r="AO16" s="16"/>
      <c r="AP16" s="16">
        <f aca="true" t="shared" si="17" ref="AP16:AV16">SUM(AP9:AP15)</f>
        <v>1505.83104</v>
      </c>
      <c r="AQ16" s="16">
        <f t="shared" si="17"/>
        <v>0</v>
      </c>
      <c r="AR16" s="16">
        <f t="shared" si="17"/>
        <v>0</v>
      </c>
      <c r="AS16" s="16">
        <f t="shared" si="17"/>
        <v>33544.49118722756</v>
      </c>
      <c r="AT16" s="16">
        <f t="shared" si="17"/>
        <v>1473.46668</v>
      </c>
      <c r="AU16" s="16">
        <f t="shared" si="17"/>
        <v>17182.00375277244</v>
      </c>
      <c r="AV16" s="17">
        <f t="shared" si="17"/>
        <v>-4467.899999999999</v>
      </c>
    </row>
    <row r="17" spans="1:48" ht="12.75">
      <c r="A17" s="9"/>
      <c r="B17" s="10"/>
      <c r="C17" s="11"/>
      <c r="D17" s="11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2"/>
      <c r="P17" s="42"/>
      <c r="Q17" s="44"/>
      <c r="R17" s="44"/>
      <c r="S17" s="44"/>
      <c r="T17" s="44"/>
      <c r="U17" s="44"/>
      <c r="V17" s="44"/>
      <c r="W17" s="77"/>
      <c r="X17" s="78"/>
      <c r="Y17" s="14"/>
      <c r="Z17" s="14"/>
      <c r="AA17" s="14"/>
      <c r="AB17" s="14"/>
      <c r="AC17" s="14"/>
      <c r="AD17" s="14"/>
      <c r="AE17" s="14"/>
      <c r="AF17" s="14"/>
      <c r="AG17" s="13"/>
      <c r="AH17" s="13"/>
      <c r="AI17" s="13"/>
      <c r="AJ17" s="13"/>
      <c r="AK17" s="72"/>
      <c r="AL17" s="72"/>
      <c r="AM17" s="73"/>
      <c r="AN17" s="73"/>
      <c r="AO17" s="73"/>
      <c r="AP17" s="19"/>
      <c r="AQ17" s="13"/>
      <c r="AR17" s="14"/>
      <c r="AS17" s="14"/>
      <c r="AT17" s="14"/>
      <c r="AU17" s="14"/>
      <c r="AV17" s="8"/>
    </row>
    <row r="18" spans="1:48" s="18" customFormat="1" ht="13.5" thickBot="1">
      <c r="A18" s="20" t="s">
        <v>42</v>
      </c>
      <c r="B18" s="21"/>
      <c r="C18" s="21">
        <f>C16</f>
        <v>53576.456500000015</v>
      </c>
      <c r="D18" s="21">
        <f aca="true" t="shared" si="18" ref="D18:AV18">D16</f>
        <v>18028.907500000005</v>
      </c>
      <c r="E18" s="21">
        <f t="shared" si="18"/>
        <v>3391.1500000000005</v>
      </c>
      <c r="F18" s="21">
        <f t="shared" si="18"/>
        <v>669.01</v>
      </c>
      <c r="G18" s="21">
        <f t="shared" si="18"/>
        <v>4590.900000000001</v>
      </c>
      <c r="H18" s="21">
        <f t="shared" si="18"/>
        <v>906.7400000000001</v>
      </c>
      <c r="I18" s="21">
        <f t="shared" si="18"/>
        <v>11034.01</v>
      </c>
      <c r="J18" s="21">
        <f t="shared" si="18"/>
        <v>2177.9199999999996</v>
      </c>
      <c r="K18" s="21">
        <f t="shared" si="18"/>
        <v>7643.04</v>
      </c>
      <c r="L18" s="21">
        <f t="shared" si="18"/>
        <v>1509.0399999999997</v>
      </c>
      <c r="M18" s="21">
        <f t="shared" si="18"/>
        <v>3090.66</v>
      </c>
      <c r="N18" s="21">
        <f t="shared" si="18"/>
        <v>535.08</v>
      </c>
      <c r="O18" s="21">
        <f t="shared" si="18"/>
        <v>29749.760000000002</v>
      </c>
      <c r="P18" s="21">
        <f t="shared" si="18"/>
        <v>5797.790000000001</v>
      </c>
      <c r="Q18" s="21">
        <f t="shared" si="18"/>
        <v>2887.25</v>
      </c>
      <c r="R18" s="21">
        <f t="shared" si="18"/>
        <v>3908.71</v>
      </c>
      <c r="S18" s="21">
        <f t="shared" si="18"/>
        <v>9384.43</v>
      </c>
      <c r="T18" s="21">
        <f t="shared" si="18"/>
        <v>6510.62</v>
      </c>
      <c r="U18" s="21">
        <f t="shared" si="18"/>
        <v>2590.85</v>
      </c>
      <c r="V18" s="21">
        <f t="shared" si="18"/>
        <v>25281.86</v>
      </c>
      <c r="W18" s="21">
        <f t="shared" si="18"/>
        <v>49108.55750000001</v>
      </c>
      <c r="X18" s="21">
        <f t="shared" si="18"/>
        <v>3091.40412</v>
      </c>
      <c r="Y18" s="21">
        <f t="shared" si="18"/>
        <v>3716.2860000000005</v>
      </c>
      <c r="Z18" s="21">
        <f t="shared" si="18"/>
        <v>1239.3212125600003</v>
      </c>
      <c r="AA18" s="21">
        <f t="shared" si="18"/>
        <v>5229.30928884</v>
      </c>
      <c r="AB18" s="21">
        <f t="shared" si="18"/>
        <v>941.2756719911997</v>
      </c>
      <c r="AC18" s="21">
        <f t="shared" si="18"/>
        <v>5112.1909765440005</v>
      </c>
      <c r="AD18" s="21">
        <f t="shared" si="18"/>
        <v>920.1943757779202</v>
      </c>
      <c r="AE18" s="21">
        <f t="shared" si="18"/>
        <v>11764.019509757998</v>
      </c>
      <c r="AF18" s="21">
        <f t="shared" si="18"/>
        <v>2117.52351175644</v>
      </c>
      <c r="AG18" s="21">
        <f t="shared" si="18"/>
        <v>0</v>
      </c>
      <c r="AH18" s="21">
        <f t="shared" si="18"/>
        <v>0</v>
      </c>
      <c r="AI18" s="21">
        <f t="shared" si="18"/>
        <v>0</v>
      </c>
      <c r="AJ18" s="21">
        <f t="shared" si="18"/>
        <v>0</v>
      </c>
      <c r="AK18" s="21">
        <f t="shared" si="18"/>
        <v>846.22</v>
      </c>
      <c r="AL18" s="21">
        <f t="shared" si="18"/>
        <v>0</v>
      </c>
      <c r="AM18" s="21">
        <f t="shared" si="18"/>
        <v>152.3196</v>
      </c>
      <c r="AN18" s="21">
        <f t="shared" si="18"/>
        <v>0</v>
      </c>
      <c r="AO18" s="21">
        <f t="shared" si="18"/>
        <v>0</v>
      </c>
      <c r="AP18" s="21">
        <f t="shared" si="18"/>
        <v>1505.83104</v>
      </c>
      <c r="AQ18" s="21">
        <f t="shared" si="18"/>
        <v>0</v>
      </c>
      <c r="AR18" s="21">
        <f t="shared" si="18"/>
        <v>0</v>
      </c>
      <c r="AS18" s="21">
        <f t="shared" si="18"/>
        <v>33544.49118722756</v>
      </c>
      <c r="AT18" s="21">
        <f t="shared" si="18"/>
        <v>1473.46668</v>
      </c>
      <c r="AU18" s="21">
        <f t="shared" si="18"/>
        <v>17182.00375277244</v>
      </c>
      <c r="AV18" s="21">
        <f t="shared" si="18"/>
        <v>-4467.899999999999</v>
      </c>
    </row>
    <row r="19" spans="1:48" ht="15" customHeight="1">
      <c r="A19" s="5" t="s">
        <v>84</v>
      </c>
      <c r="B19" s="49"/>
      <c r="C19" s="50"/>
      <c r="D19" s="50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6"/>
      <c r="P19" s="46"/>
      <c r="Q19" s="53"/>
      <c r="R19" s="53"/>
      <c r="S19" s="53"/>
      <c r="T19" s="53"/>
      <c r="U19" s="53"/>
      <c r="V19" s="45"/>
      <c r="W19" s="74"/>
      <c r="X19" s="75"/>
      <c r="Y19" s="12"/>
      <c r="Z19" s="12"/>
      <c r="AA19" s="12"/>
      <c r="AB19" s="12"/>
      <c r="AC19" s="12"/>
      <c r="AD19" s="12"/>
      <c r="AE19" s="12"/>
      <c r="AF19" s="12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12"/>
      <c r="AS19" s="12"/>
      <c r="AT19" s="12"/>
      <c r="AU19" s="12"/>
      <c r="AV19" s="26"/>
    </row>
    <row r="20" spans="1:48" ht="12.75" customHeight="1">
      <c r="A20" s="126" t="s">
        <v>79</v>
      </c>
      <c r="B20" s="116">
        <v>884.83</v>
      </c>
      <c r="C20" s="100">
        <f aca="true" t="shared" si="19" ref="C20:C31">B20*8.65</f>
        <v>7653.779500000001</v>
      </c>
      <c r="D20" s="101">
        <f>C20-E20-F20-G20-H20-I20-J20-K20-L20-M20-N20</f>
        <v>2586.4095</v>
      </c>
      <c r="E20" s="81">
        <v>482.13</v>
      </c>
      <c r="F20" s="81">
        <v>95.8</v>
      </c>
      <c r="G20" s="81">
        <v>652.82</v>
      </c>
      <c r="H20" s="81">
        <v>129.84</v>
      </c>
      <c r="I20" s="81">
        <v>1568.85</v>
      </c>
      <c r="J20" s="81">
        <v>311.87</v>
      </c>
      <c r="K20" s="81">
        <v>1086.7</v>
      </c>
      <c r="L20" s="81">
        <v>216.09</v>
      </c>
      <c r="M20" s="81">
        <v>446.65</v>
      </c>
      <c r="N20" s="102">
        <v>76.62</v>
      </c>
      <c r="O20" s="70">
        <f aca="true" t="shared" si="20" ref="O20:O31">E20+G20+I20+K20+M20</f>
        <v>4237.15</v>
      </c>
      <c r="P20" s="122">
        <f aca="true" t="shared" si="21" ref="P20:P31">N20+L20+J20+H20+F20</f>
        <v>830.22</v>
      </c>
      <c r="Q20" s="123">
        <v>506.09</v>
      </c>
      <c r="R20" s="103">
        <v>684.57</v>
      </c>
      <c r="S20" s="103">
        <v>1651</v>
      </c>
      <c r="T20" s="103">
        <v>1139.48</v>
      </c>
      <c r="U20" s="103">
        <v>487.65</v>
      </c>
      <c r="V20" s="99">
        <f>SUM(Q20:U20)</f>
        <v>4468.79</v>
      </c>
      <c r="W20" s="124">
        <f aca="true" t="shared" si="22" ref="W20:W31">D20+P20+V20</f>
        <v>7885.4195</v>
      </c>
      <c r="X20" s="83">
        <f>'[2]Шалым'!$I$3+'[2]Шалым'!$I$4</f>
        <v>1711.58764</v>
      </c>
      <c r="Y20" s="14">
        <f aca="true" t="shared" si="23" ref="Y20:Y31">0.6*B20</f>
        <v>530.898</v>
      </c>
      <c r="Z20" s="14">
        <f aca="true" t="shared" si="24" ref="Z20:Z31">B20*0.2</f>
        <v>176.966</v>
      </c>
      <c r="AA20" s="14">
        <f>1*B20</f>
        <v>884.83</v>
      </c>
      <c r="AB20" s="14">
        <v>0</v>
      </c>
      <c r="AC20" s="14">
        <f>0.98*B20</f>
        <v>867.1334</v>
      </c>
      <c r="AD20" s="14">
        <v>0</v>
      </c>
      <c r="AE20" s="14">
        <f>2.25*B20</f>
        <v>1990.8675</v>
      </c>
      <c r="AF20" s="14">
        <v>0</v>
      </c>
      <c r="AG20" s="14">
        <v>0</v>
      </c>
      <c r="AH20" s="14">
        <f>AG20*0.18</f>
        <v>0</v>
      </c>
      <c r="AI20" s="85"/>
      <c r="AJ20" s="85"/>
      <c r="AK20" s="73"/>
      <c r="AL20" s="73"/>
      <c r="AM20" s="73"/>
      <c r="AN20" s="104">
        <v>508</v>
      </c>
      <c r="AO20" s="92">
        <v>0.45</v>
      </c>
      <c r="AP20" s="14">
        <f aca="true" t="shared" si="25" ref="AP20:AP31">AN20*AO20*1.4</f>
        <v>320.03999999999996</v>
      </c>
      <c r="AQ20" s="88"/>
      <c r="AR20" s="88">
        <f aca="true" t="shared" si="26" ref="AR20:AR31">AQ20*0.18</f>
        <v>0</v>
      </c>
      <c r="AS20" s="88">
        <f>SUM(Y20:AR20)-AN20-AO20</f>
        <v>4770.7349</v>
      </c>
      <c r="AT20" s="90">
        <f>'[3]Шалым'!$M$3+'[3]Шалым'!$M$4</f>
        <v>814.834</v>
      </c>
      <c r="AU20" s="12">
        <f aca="true" t="shared" si="27" ref="AU20:AU31">W20+X20-AS20-AT20</f>
        <v>4011.4382399999995</v>
      </c>
      <c r="AV20" s="26">
        <f aca="true" t="shared" si="28" ref="AV20:AV31">V20-O20</f>
        <v>231.64000000000033</v>
      </c>
    </row>
    <row r="21" spans="1:48" ht="13.5" customHeight="1">
      <c r="A21" s="126" t="s">
        <v>80</v>
      </c>
      <c r="B21" s="116">
        <v>884.83</v>
      </c>
      <c r="C21" s="100">
        <f t="shared" si="19"/>
        <v>7653.779500000001</v>
      </c>
      <c r="D21" s="101">
        <f>C21-E21-F21-G21-H21-I21-J21-K21-L21-M21-N21</f>
        <v>2586.4095</v>
      </c>
      <c r="E21" s="81">
        <v>482.13</v>
      </c>
      <c r="F21" s="81">
        <v>95.8</v>
      </c>
      <c r="G21" s="81">
        <v>652.82</v>
      </c>
      <c r="H21" s="81">
        <v>129.84</v>
      </c>
      <c r="I21" s="81">
        <v>1568.85</v>
      </c>
      <c r="J21" s="81">
        <v>311.87</v>
      </c>
      <c r="K21" s="81">
        <v>1086.7</v>
      </c>
      <c r="L21" s="81">
        <v>216.09</v>
      </c>
      <c r="M21" s="81">
        <v>446.65</v>
      </c>
      <c r="N21" s="102">
        <v>76.62</v>
      </c>
      <c r="O21" s="70">
        <f t="shared" si="20"/>
        <v>4237.15</v>
      </c>
      <c r="P21" s="82">
        <f t="shared" si="21"/>
        <v>830.22</v>
      </c>
      <c r="Q21" s="103">
        <v>733.38</v>
      </c>
      <c r="R21" s="103">
        <v>993.15</v>
      </c>
      <c r="S21" s="103">
        <v>2387.95</v>
      </c>
      <c r="T21" s="103">
        <v>1652.05</v>
      </c>
      <c r="U21" s="103">
        <v>632.73</v>
      </c>
      <c r="V21" s="99">
        <f>SUM(Q21:U21)</f>
        <v>6399.26</v>
      </c>
      <c r="W21" s="83">
        <f t="shared" si="22"/>
        <v>9815.889500000001</v>
      </c>
      <c r="X21" s="83">
        <f>'[2]Шалым'!$I$3+'[2]Шалым'!$I$4</f>
        <v>1711.58764</v>
      </c>
      <c r="Y21" s="14">
        <f t="shared" si="23"/>
        <v>530.898</v>
      </c>
      <c r="Z21" s="14">
        <f t="shared" si="24"/>
        <v>176.966</v>
      </c>
      <c r="AA21" s="14">
        <f>1*B21</f>
        <v>884.83</v>
      </c>
      <c r="AB21" s="14">
        <v>0</v>
      </c>
      <c r="AC21" s="14">
        <f>0.98*B21</f>
        <v>867.1334</v>
      </c>
      <c r="AD21" s="14">
        <v>0</v>
      </c>
      <c r="AE21" s="14">
        <f>2.25*B21</f>
        <v>1990.8675</v>
      </c>
      <c r="AF21" s="14">
        <v>0</v>
      </c>
      <c r="AG21" s="14">
        <v>0</v>
      </c>
      <c r="AH21" s="14">
        <f>AG21*0.18</f>
        <v>0</v>
      </c>
      <c r="AI21" s="85"/>
      <c r="AJ21" s="85"/>
      <c r="AK21" s="73">
        <v>2750.35</v>
      </c>
      <c r="AL21" s="73"/>
      <c r="AM21" s="73"/>
      <c r="AN21" s="104">
        <v>407</v>
      </c>
      <c r="AO21" s="92">
        <v>0.45</v>
      </c>
      <c r="AP21" s="14">
        <f t="shared" si="25"/>
        <v>256.40999999999997</v>
      </c>
      <c r="AQ21" s="88"/>
      <c r="AR21" s="88">
        <f t="shared" si="26"/>
        <v>0</v>
      </c>
      <c r="AS21" s="88">
        <f>SUM(Y21:AR21)-AN21-AO21</f>
        <v>7457.454900000001</v>
      </c>
      <c r="AT21" s="90">
        <f>'[3]Шалым'!$M$10+'[3]Шалым'!$M$11</f>
        <v>814.834</v>
      </c>
      <c r="AU21" s="12">
        <f t="shared" si="27"/>
        <v>3255.1882400000004</v>
      </c>
      <c r="AV21" s="26">
        <f t="shared" si="28"/>
        <v>2162.1100000000006</v>
      </c>
    </row>
    <row r="22" spans="1:48" ht="13.5" customHeight="1">
      <c r="A22" s="126" t="s">
        <v>81</v>
      </c>
      <c r="B22" s="116">
        <v>884.83</v>
      </c>
      <c r="C22" s="100">
        <f t="shared" si="19"/>
        <v>7653.779500000001</v>
      </c>
      <c r="D22" s="101">
        <f>C22-E22-F22-G22-H22-I22-J22-K22-L22-M22-N22</f>
        <v>2592.5094999999997</v>
      </c>
      <c r="E22" s="81">
        <v>481.42</v>
      </c>
      <c r="F22" s="81">
        <v>95.8</v>
      </c>
      <c r="G22" s="81">
        <v>651.89</v>
      </c>
      <c r="H22" s="81">
        <v>129.84</v>
      </c>
      <c r="I22" s="81">
        <v>1566.55</v>
      </c>
      <c r="J22" s="81">
        <v>311.87</v>
      </c>
      <c r="K22" s="81">
        <v>1085.12</v>
      </c>
      <c r="L22" s="81">
        <v>216.09</v>
      </c>
      <c r="M22" s="81">
        <v>446.07</v>
      </c>
      <c r="N22" s="102">
        <v>76.62</v>
      </c>
      <c r="O22" s="70">
        <f t="shared" si="20"/>
        <v>4231.049999999999</v>
      </c>
      <c r="P22" s="82">
        <f t="shared" si="21"/>
        <v>830.22</v>
      </c>
      <c r="Q22" s="103">
        <v>235.23</v>
      </c>
      <c r="R22" s="103">
        <v>318.57</v>
      </c>
      <c r="S22" s="103">
        <v>769.55</v>
      </c>
      <c r="T22" s="103">
        <v>529.65</v>
      </c>
      <c r="U22" s="103">
        <v>246.27</v>
      </c>
      <c r="V22" s="99">
        <f>SUM(Q22:U22)</f>
        <v>2099.27</v>
      </c>
      <c r="W22" s="83">
        <f t="shared" si="22"/>
        <v>5521.9995</v>
      </c>
      <c r="X22" s="83">
        <f>'[2]Шалым'!$I$3+'[2]Шалым'!$I$4</f>
        <v>1711.58764</v>
      </c>
      <c r="Y22" s="14">
        <f t="shared" si="23"/>
        <v>530.898</v>
      </c>
      <c r="Z22" s="14">
        <f t="shared" si="24"/>
        <v>176.966</v>
      </c>
      <c r="AA22" s="14">
        <f>1*B22</f>
        <v>884.83</v>
      </c>
      <c r="AB22" s="14">
        <v>0</v>
      </c>
      <c r="AC22" s="14">
        <f>0.98*B22</f>
        <v>867.1334</v>
      </c>
      <c r="AD22" s="14">
        <v>0</v>
      </c>
      <c r="AE22" s="14">
        <f>2.25*B22</f>
        <v>1990.8675</v>
      </c>
      <c r="AF22" s="14">
        <v>0</v>
      </c>
      <c r="AG22" s="14"/>
      <c r="AH22" s="14"/>
      <c r="AI22" s="85"/>
      <c r="AJ22" s="85"/>
      <c r="AK22" s="73">
        <v>800</v>
      </c>
      <c r="AL22" s="73"/>
      <c r="AM22" s="73"/>
      <c r="AN22" s="104">
        <v>383</v>
      </c>
      <c r="AO22" s="92">
        <v>0.45</v>
      </c>
      <c r="AP22" s="14">
        <f t="shared" si="25"/>
        <v>241.28999999999996</v>
      </c>
      <c r="AQ22" s="88"/>
      <c r="AR22" s="88">
        <f t="shared" si="26"/>
        <v>0</v>
      </c>
      <c r="AS22" s="88">
        <f>SUM(Y22:AR22)-AN22-AO22</f>
        <v>5491.9849</v>
      </c>
      <c r="AT22" s="90">
        <f>'[3]Шалым'!$M$16+'[3]Шалым'!$M$17</f>
        <v>814.834</v>
      </c>
      <c r="AU22" s="12">
        <f t="shared" si="27"/>
        <v>926.7682399999993</v>
      </c>
      <c r="AV22" s="26">
        <f t="shared" si="28"/>
        <v>-2131.7799999999993</v>
      </c>
    </row>
    <row r="23" spans="1:48" ht="12.75" customHeight="1">
      <c r="A23" s="126" t="s">
        <v>82</v>
      </c>
      <c r="B23" s="116">
        <v>885.23</v>
      </c>
      <c r="C23" s="100">
        <f t="shared" si="19"/>
        <v>7657.239500000001</v>
      </c>
      <c r="D23" s="101">
        <f>C23-E23-F23-G23-H23-I23-J23-K23-L23-M23-N23</f>
        <v>2595.9795</v>
      </c>
      <c r="E23" s="81">
        <v>481.41</v>
      </c>
      <c r="F23" s="81">
        <v>95.8</v>
      </c>
      <c r="G23" s="81">
        <v>651.89</v>
      </c>
      <c r="H23" s="81">
        <v>129.84</v>
      </c>
      <c r="I23" s="81">
        <v>1566.55</v>
      </c>
      <c r="J23" s="81">
        <v>311.87</v>
      </c>
      <c r="K23" s="81">
        <v>1085.12</v>
      </c>
      <c r="L23" s="81">
        <v>216.09</v>
      </c>
      <c r="M23" s="81">
        <v>446.07</v>
      </c>
      <c r="N23" s="102">
        <v>76.62</v>
      </c>
      <c r="O23" s="70">
        <f t="shared" si="20"/>
        <v>4231.04</v>
      </c>
      <c r="P23" s="82">
        <f t="shared" si="21"/>
        <v>830.22</v>
      </c>
      <c r="Q23" s="103">
        <v>182.97</v>
      </c>
      <c r="R23" s="103">
        <v>247.6</v>
      </c>
      <c r="S23" s="103">
        <v>596.21</v>
      </c>
      <c r="T23" s="103">
        <v>412.24</v>
      </c>
      <c r="U23" s="103">
        <v>146.35</v>
      </c>
      <c r="V23" s="99">
        <f aca="true" t="shared" si="29" ref="V23:V31">SUM(Q23:U23)</f>
        <v>1585.37</v>
      </c>
      <c r="W23" s="83">
        <f t="shared" si="22"/>
        <v>5011.5695</v>
      </c>
      <c r="X23" s="83">
        <f>'[2]Шалым'!$I$22+'[2]Шалым'!$I$23</f>
        <v>1711.58764</v>
      </c>
      <c r="Y23" s="14">
        <f t="shared" si="23"/>
        <v>531.138</v>
      </c>
      <c r="Z23" s="14">
        <f t="shared" si="24"/>
        <v>177.04600000000002</v>
      </c>
      <c r="AA23" s="14">
        <f>1*(B23-0.4)</f>
        <v>884.83</v>
      </c>
      <c r="AB23" s="14">
        <v>0</v>
      </c>
      <c r="AC23" s="14">
        <f>(0.98*(B23-0.4))</f>
        <v>867.1334</v>
      </c>
      <c r="AD23" s="14">
        <v>0</v>
      </c>
      <c r="AE23" s="14">
        <f>2.25*(B23-0.4)</f>
        <v>1990.8675</v>
      </c>
      <c r="AF23" s="14">
        <v>0</v>
      </c>
      <c r="AG23" s="14"/>
      <c r="AH23" s="14"/>
      <c r="AI23" s="85"/>
      <c r="AJ23" s="85"/>
      <c r="AK23" s="73"/>
      <c r="AL23" s="73"/>
      <c r="AM23" s="73"/>
      <c r="AN23" s="104">
        <v>307</v>
      </c>
      <c r="AO23" s="92">
        <v>0.45</v>
      </c>
      <c r="AP23" s="14">
        <f t="shared" si="25"/>
        <v>193.41</v>
      </c>
      <c r="AQ23" s="88"/>
      <c r="AR23" s="88">
        <f t="shared" si="26"/>
        <v>0</v>
      </c>
      <c r="AS23" s="88">
        <f>SUM(Y23:AR23)-AN23-AO23</f>
        <v>4644.4249</v>
      </c>
      <c r="AT23" s="90">
        <f>'[2]Шалым'!$M$22+'[2]Шалым'!$M$23</f>
        <v>814.834</v>
      </c>
      <c r="AU23" s="12">
        <f t="shared" si="27"/>
        <v>1263.8982399999995</v>
      </c>
      <c r="AV23" s="26">
        <f t="shared" si="28"/>
        <v>-2645.67</v>
      </c>
    </row>
    <row r="24" spans="1:48" ht="12.75" customHeight="1">
      <c r="A24" s="126" t="s">
        <v>83</v>
      </c>
      <c r="B24" s="99">
        <v>883.63</v>
      </c>
      <c r="C24" s="100">
        <f t="shared" si="19"/>
        <v>7643.3995</v>
      </c>
      <c r="D24" s="101">
        <f>C24-E24-F24-G24-H24-I24-J24-K24-L24-M24-N24</f>
        <v>2590.4395</v>
      </c>
      <c r="E24" s="81">
        <v>480.45</v>
      </c>
      <c r="F24" s="81">
        <v>95.8</v>
      </c>
      <c r="G24" s="81">
        <v>650.59</v>
      </c>
      <c r="H24" s="81">
        <v>129.84</v>
      </c>
      <c r="I24" s="81">
        <v>1563.43</v>
      </c>
      <c r="J24" s="81">
        <v>311.87</v>
      </c>
      <c r="K24" s="81">
        <v>1082.96</v>
      </c>
      <c r="L24" s="81">
        <v>216.09</v>
      </c>
      <c r="M24" s="81">
        <v>445.31</v>
      </c>
      <c r="N24" s="102">
        <v>76.62</v>
      </c>
      <c r="O24" s="70">
        <f t="shared" si="20"/>
        <v>4222.740000000001</v>
      </c>
      <c r="P24" s="82">
        <f t="shared" si="21"/>
        <v>830.22</v>
      </c>
      <c r="Q24" s="103">
        <v>534.93</v>
      </c>
      <c r="R24" s="103">
        <v>724.77</v>
      </c>
      <c r="S24" s="103">
        <v>1745.48</v>
      </c>
      <c r="T24" s="103">
        <v>1206.89</v>
      </c>
      <c r="U24" s="103">
        <v>488.83</v>
      </c>
      <c r="V24" s="99">
        <f t="shared" si="29"/>
        <v>4700.9</v>
      </c>
      <c r="W24" s="83">
        <f t="shared" si="22"/>
        <v>8121.559499999999</v>
      </c>
      <c r="X24" s="83">
        <f>'[3]Шалым'!$I$16+'[3]Шалым'!$I$17</f>
        <v>1711.58764</v>
      </c>
      <c r="Y24" s="14">
        <f t="shared" si="23"/>
        <v>530.178</v>
      </c>
      <c r="Z24" s="14">
        <f t="shared" si="24"/>
        <v>176.726</v>
      </c>
      <c r="AA24" s="14">
        <f aca="true" t="shared" si="30" ref="AA24:AA31">1*B24</f>
        <v>883.63</v>
      </c>
      <c r="AB24" s="14">
        <v>0</v>
      </c>
      <c r="AC24" s="14">
        <f aca="true" t="shared" si="31" ref="AC24:AC31">(0.98*B24)</f>
        <v>865.9574</v>
      </c>
      <c r="AD24" s="14">
        <v>0</v>
      </c>
      <c r="AE24" s="14">
        <f aca="true" t="shared" si="32" ref="AE24:AE31">2.25*B24</f>
        <v>1988.1675</v>
      </c>
      <c r="AF24" s="14">
        <v>0</v>
      </c>
      <c r="AG24" s="14"/>
      <c r="AH24" s="14"/>
      <c r="AI24" s="85"/>
      <c r="AJ24" s="85"/>
      <c r="AK24" s="73"/>
      <c r="AL24" s="73"/>
      <c r="AM24" s="73"/>
      <c r="AN24" s="104">
        <v>263</v>
      </c>
      <c r="AO24" s="92">
        <v>0.45</v>
      </c>
      <c r="AP24" s="14">
        <f t="shared" si="25"/>
        <v>165.69</v>
      </c>
      <c r="AQ24" s="88"/>
      <c r="AR24" s="88">
        <f t="shared" si="26"/>
        <v>0</v>
      </c>
      <c r="AS24" s="88">
        <f>SUM(Y24:AR24)-AN24-AO24</f>
        <v>4610.3489</v>
      </c>
      <c r="AT24" s="90">
        <f>'[2]Шалым'!$M$22+'[2]Шалым'!$M$23</f>
        <v>814.834</v>
      </c>
      <c r="AU24" s="12">
        <f t="shared" si="27"/>
        <v>4407.964239999999</v>
      </c>
      <c r="AV24" s="26">
        <f t="shared" si="28"/>
        <v>478.15999999999894</v>
      </c>
    </row>
    <row r="25" spans="1:48" ht="12.75">
      <c r="A25" s="127" t="s">
        <v>38</v>
      </c>
      <c r="B25" s="99">
        <v>883.63</v>
      </c>
      <c r="C25" s="100">
        <f t="shared" si="19"/>
        <v>7643.3995</v>
      </c>
      <c r="D25" s="101">
        <f>(C25-E25-F25-G25-H25-I25-J25-K25-L25-M25-N25)*0.80125+0.01</f>
        <v>2075.4634368750008</v>
      </c>
      <c r="E25" s="81">
        <v>480.33</v>
      </c>
      <c r="F25" s="81">
        <v>95.8</v>
      </c>
      <c r="G25" s="81">
        <v>650.9</v>
      </c>
      <c r="H25" s="81">
        <v>129.84</v>
      </c>
      <c r="I25" s="81">
        <v>1563.46</v>
      </c>
      <c r="J25" s="81">
        <v>311.87</v>
      </c>
      <c r="K25" s="81">
        <v>1082.98</v>
      </c>
      <c r="L25" s="81">
        <v>216.09</v>
      </c>
      <c r="M25" s="81">
        <v>445.24</v>
      </c>
      <c r="N25" s="102">
        <v>76.62</v>
      </c>
      <c r="O25" s="70">
        <f t="shared" si="20"/>
        <v>4222.91</v>
      </c>
      <c r="P25" s="82">
        <f t="shared" si="21"/>
        <v>830.22</v>
      </c>
      <c r="Q25" s="103">
        <v>308.65</v>
      </c>
      <c r="R25" s="103">
        <v>417.86</v>
      </c>
      <c r="S25" s="103">
        <v>1004.66</v>
      </c>
      <c r="T25" s="103">
        <v>695.62</v>
      </c>
      <c r="U25" s="103">
        <v>246.91</v>
      </c>
      <c r="V25" s="99">
        <f t="shared" si="29"/>
        <v>2673.7</v>
      </c>
      <c r="W25" s="83">
        <f t="shared" si="22"/>
        <v>5579.383436875</v>
      </c>
      <c r="X25" s="83">
        <f>'[3]Шалым'!$I$16+'[3]Шалым'!$I$17</f>
        <v>1711.58764</v>
      </c>
      <c r="Y25" s="14">
        <f t="shared" si="23"/>
        <v>530.178</v>
      </c>
      <c r="Z25" s="14">
        <f t="shared" si="24"/>
        <v>176.726</v>
      </c>
      <c r="AA25" s="14">
        <f t="shared" si="30"/>
        <v>883.63</v>
      </c>
      <c r="AB25" s="14">
        <v>0</v>
      </c>
      <c r="AC25" s="14">
        <f t="shared" si="31"/>
        <v>865.9574</v>
      </c>
      <c r="AD25" s="14">
        <v>0</v>
      </c>
      <c r="AE25" s="14">
        <f t="shared" si="32"/>
        <v>1988.1675</v>
      </c>
      <c r="AF25" s="14">
        <v>0</v>
      </c>
      <c r="AG25" s="14"/>
      <c r="AH25" s="14"/>
      <c r="AI25" s="85"/>
      <c r="AJ25" s="85"/>
      <c r="AK25" s="73"/>
      <c r="AL25" s="73"/>
      <c r="AM25" s="73"/>
      <c r="AN25" s="104">
        <v>233</v>
      </c>
      <c r="AO25" s="92">
        <v>0.45</v>
      </c>
      <c r="AP25" s="14">
        <f t="shared" si="25"/>
        <v>146.79</v>
      </c>
      <c r="AQ25" s="88"/>
      <c r="AR25" s="88">
        <f t="shared" si="26"/>
        <v>0</v>
      </c>
      <c r="AS25" s="88">
        <f>SUM(Y25:AM25)+AP25</f>
        <v>4591.4489</v>
      </c>
      <c r="AT25" s="90">
        <f>'[2]Шалым'!$M$22+'[2]Шалым'!$M$23</f>
        <v>814.834</v>
      </c>
      <c r="AU25" s="12">
        <f t="shared" si="27"/>
        <v>1884.688176875</v>
      </c>
      <c r="AV25" s="26">
        <f t="shared" si="28"/>
        <v>-1549.21</v>
      </c>
    </row>
    <row r="26" spans="1:48" ht="12.75">
      <c r="A26" s="127" t="s">
        <v>39</v>
      </c>
      <c r="B26" s="125">
        <v>883.63</v>
      </c>
      <c r="C26" s="100">
        <f t="shared" si="19"/>
        <v>7643.3995</v>
      </c>
      <c r="D26" s="101">
        <f>(C26-E26-F26-G26-H26-I26-J26-K26-L26-M26-N26)*0.805915</f>
        <v>2091.6552697425</v>
      </c>
      <c r="E26" s="81">
        <v>575.67</v>
      </c>
      <c r="F26" s="81">
        <v>0</v>
      </c>
      <c r="G26" s="81">
        <v>779.68</v>
      </c>
      <c r="H26" s="81">
        <v>0</v>
      </c>
      <c r="I26" s="81">
        <v>1873.44</v>
      </c>
      <c r="J26" s="81">
        <v>0</v>
      </c>
      <c r="K26" s="81">
        <v>1297.76</v>
      </c>
      <c r="L26" s="81">
        <v>0</v>
      </c>
      <c r="M26" s="81">
        <v>521.47</v>
      </c>
      <c r="N26" s="102">
        <v>0</v>
      </c>
      <c r="O26" s="70">
        <f t="shared" si="20"/>
        <v>5048.02</v>
      </c>
      <c r="P26" s="82">
        <f t="shared" si="21"/>
        <v>0</v>
      </c>
      <c r="Q26" s="103">
        <v>255.7</v>
      </c>
      <c r="R26" s="103">
        <v>346.12</v>
      </c>
      <c r="S26" s="103">
        <v>832.44</v>
      </c>
      <c r="T26" s="103">
        <v>576.19</v>
      </c>
      <c r="U26" s="103">
        <v>225</v>
      </c>
      <c r="V26" s="99">
        <f t="shared" si="29"/>
        <v>2235.45</v>
      </c>
      <c r="W26" s="83">
        <f t="shared" si="22"/>
        <v>4327.1052697425</v>
      </c>
      <c r="X26" s="83">
        <f>'[4]Шалым'!$I$45+'[4]Шалым'!$I$46</f>
        <v>1711.58764</v>
      </c>
      <c r="Y26" s="14">
        <f t="shared" si="23"/>
        <v>530.178</v>
      </c>
      <c r="Z26" s="14">
        <f t="shared" si="24"/>
        <v>176.726</v>
      </c>
      <c r="AA26" s="14">
        <f t="shared" si="30"/>
        <v>883.63</v>
      </c>
      <c r="AB26" s="14">
        <v>0</v>
      </c>
      <c r="AC26" s="14">
        <f t="shared" si="31"/>
        <v>865.9574</v>
      </c>
      <c r="AD26" s="14">
        <v>0</v>
      </c>
      <c r="AE26" s="14">
        <f t="shared" si="32"/>
        <v>1988.1675</v>
      </c>
      <c r="AF26" s="14">
        <v>0</v>
      </c>
      <c r="AG26" s="14"/>
      <c r="AH26" s="14"/>
      <c r="AI26" s="85"/>
      <c r="AJ26" s="85"/>
      <c r="AK26" s="73"/>
      <c r="AL26" s="73"/>
      <c r="AM26" s="73"/>
      <c r="AN26" s="104">
        <v>248</v>
      </c>
      <c r="AO26" s="92">
        <v>0.45</v>
      </c>
      <c r="AP26" s="14">
        <f t="shared" si="25"/>
        <v>156.24</v>
      </c>
      <c r="AQ26" s="88"/>
      <c r="AR26" s="88">
        <f t="shared" si="26"/>
        <v>0</v>
      </c>
      <c r="AS26" s="88">
        <f aca="true" t="shared" si="33" ref="AS26:AS31">SUM(Y26:AM26)+AP26</f>
        <v>4600.8989</v>
      </c>
      <c r="AT26" s="90">
        <f>'[2]Шалым'!$M$22+'[2]Шалым'!$M$23</f>
        <v>814.834</v>
      </c>
      <c r="AU26" s="12">
        <f t="shared" si="27"/>
        <v>622.9600097424999</v>
      </c>
      <c r="AV26" s="26">
        <f t="shared" si="28"/>
        <v>-2812.5700000000006</v>
      </c>
    </row>
    <row r="27" spans="1:48" ht="12.75">
      <c r="A27" s="127" t="s">
        <v>40</v>
      </c>
      <c r="B27" s="99">
        <v>883.63</v>
      </c>
      <c r="C27" s="100">
        <f t="shared" si="19"/>
        <v>7643.3995</v>
      </c>
      <c r="D27" s="101">
        <f>(C27-E27-F27-G27-H27-I27-J27-K27-L27-M27-N27)*0.857717</f>
        <v>2226.1011186015</v>
      </c>
      <c r="E27" s="81">
        <v>575.67</v>
      </c>
      <c r="F27" s="81">
        <v>0</v>
      </c>
      <c r="G27" s="81">
        <v>779.68</v>
      </c>
      <c r="H27" s="81">
        <v>0</v>
      </c>
      <c r="I27" s="81">
        <v>1873.44</v>
      </c>
      <c r="J27" s="81">
        <v>0</v>
      </c>
      <c r="K27" s="81">
        <v>1297.76</v>
      </c>
      <c r="L27" s="81">
        <v>0</v>
      </c>
      <c r="M27" s="81">
        <v>521.47</v>
      </c>
      <c r="N27" s="102">
        <v>0</v>
      </c>
      <c r="O27" s="70">
        <f t="shared" si="20"/>
        <v>5048.02</v>
      </c>
      <c r="P27" s="82">
        <f t="shared" si="21"/>
        <v>0</v>
      </c>
      <c r="Q27" s="103">
        <v>302.61</v>
      </c>
      <c r="R27" s="103">
        <v>409.8</v>
      </c>
      <c r="S27" s="103">
        <v>984.71</v>
      </c>
      <c r="T27" s="103">
        <v>682.14</v>
      </c>
      <c r="U27" s="103">
        <v>242.09</v>
      </c>
      <c r="V27" s="99">
        <f t="shared" si="29"/>
        <v>2621.3500000000004</v>
      </c>
      <c r="W27" s="83">
        <f t="shared" si="22"/>
        <v>4847.451118601501</v>
      </c>
      <c r="X27" s="83">
        <f>'[3]Шалым'!$I$16+'[3]Шалым'!$I$17</f>
        <v>1711.58764</v>
      </c>
      <c r="Y27" s="14">
        <f t="shared" si="23"/>
        <v>530.178</v>
      </c>
      <c r="Z27" s="14">
        <f t="shared" si="24"/>
        <v>176.726</v>
      </c>
      <c r="AA27" s="14">
        <f t="shared" si="30"/>
        <v>883.63</v>
      </c>
      <c r="AB27" s="14">
        <v>0</v>
      </c>
      <c r="AC27" s="14">
        <f t="shared" si="31"/>
        <v>865.9574</v>
      </c>
      <c r="AD27" s="14">
        <v>0</v>
      </c>
      <c r="AE27" s="14">
        <f t="shared" si="32"/>
        <v>1988.1675</v>
      </c>
      <c r="AF27" s="14">
        <v>0</v>
      </c>
      <c r="AG27" s="14"/>
      <c r="AH27" s="14"/>
      <c r="AI27" s="85"/>
      <c r="AJ27" s="85"/>
      <c r="AK27" s="73"/>
      <c r="AL27" s="73">
        <f>47.8</f>
        <v>47.8</v>
      </c>
      <c r="AM27" s="73">
        <f>AL27*0.18</f>
        <v>8.604</v>
      </c>
      <c r="AN27" s="104">
        <v>293</v>
      </c>
      <c r="AO27" s="92">
        <v>0.45</v>
      </c>
      <c r="AP27" s="14">
        <f t="shared" si="25"/>
        <v>184.58999999999997</v>
      </c>
      <c r="AQ27" s="88"/>
      <c r="AR27" s="88">
        <f t="shared" si="26"/>
        <v>0</v>
      </c>
      <c r="AS27" s="88">
        <f t="shared" si="33"/>
        <v>4685.652900000001</v>
      </c>
      <c r="AT27" s="90">
        <f>'[2]Шалым'!$M$22+'[2]Шалым'!$M$23</f>
        <v>814.834</v>
      </c>
      <c r="AU27" s="12">
        <f t="shared" si="27"/>
        <v>1058.5518586014996</v>
      </c>
      <c r="AV27" s="26">
        <f t="shared" si="28"/>
        <v>-2426.67</v>
      </c>
    </row>
    <row r="28" spans="1:48" ht="12.75">
      <c r="A28" s="9" t="s">
        <v>41</v>
      </c>
      <c r="B28" s="99">
        <v>883.63</v>
      </c>
      <c r="C28" s="100">
        <f t="shared" si="19"/>
        <v>7643.3995</v>
      </c>
      <c r="D28" s="101">
        <f>(C28-E28-F28-G28-H28-I28-J28-K28-L28-M28-N28)*0.87553</f>
        <v>2272.332613635</v>
      </c>
      <c r="E28" s="81">
        <v>575.67</v>
      </c>
      <c r="F28" s="81">
        <v>0</v>
      </c>
      <c r="G28" s="81">
        <v>779.68</v>
      </c>
      <c r="H28" s="81">
        <v>0</v>
      </c>
      <c r="I28" s="81">
        <v>1873.44</v>
      </c>
      <c r="J28" s="81">
        <v>0</v>
      </c>
      <c r="K28" s="81">
        <v>1297.76</v>
      </c>
      <c r="L28" s="81">
        <v>0</v>
      </c>
      <c r="M28" s="81">
        <v>521.47</v>
      </c>
      <c r="N28" s="102">
        <v>0</v>
      </c>
      <c r="O28" s="70">
        <f t="shared" si="20"/>
        <v>5048.02</v>
      </c>
      <c r="P28" s="82">
        <f t="shared" si="21"/>
        <v>0</v>
      </c>
      <c r="Q28" s="103">
        <v>533.28</v>
      </c>
      <c r="R28" s="103">
        <v>722.39</v>
      </c>
      <c r="S28" s="103">
        <v>1736.24</v>
      </c>
      <c r="T28" s="103">
        <v>1293.08</v>
      </c>
      <c r="U28" s="103">
        <v>500.99</v>
      </c>
      <c r="V28" s="99">
        <f t="shared" si="29"/>
        <v>4785.98</v>
      </c>
      <c r="W28" s="83">
        <f t="shared" si="22"/>
        <v>7058.312613635</v>
      </c>
      <c r="X28" s="83">
        <f>'[3]Шалым'!$I$16+'[3]Шалым'!$I$17</f>
        <v>1711.58764</v>
      </c>
      <c r="Y28" s="14">
        <f t="shared" si="23"/>
        <v>530.178</v>
      </c>
      <c r="Z28" s="14">
        <f t="shared" si="24"/>
        <v>176.726</v>
      </c>
      <c r="AA28" s="14">
        <f t="shared" si="30"/>
        <v>883.63</v>
      </c>
      <c r="AB28" s="14">
        <v>0</v>
      </c>
      <c r="AC28" s="14">
        <f t="shared" si="31"/>
        <v>865.9574</v>
      </c>
      <c r="AD28" s="14">
        <v>0</v>
      </c>
      <c r="AE28" s="14">
        <f t="shared" si="32"/>
        <v>1988.1675</v>
      </c>
      <c r="AF28" s="14">
        <v>0</v>
      </c>
      <c r="AG28" s="14"/>
      <c r="AH28" s="14"/>
      <c r="AI28" s="85"/>
      <c r="AJ28" s="85"/>
      <c r="AK28" s="73"/>
      <c r="AL28" s="73"/>
      <c r="AM28" s="73"/>
      <c r="AN28" s="104">
        <v>349</v>
      </c>
      <c r="AO28" s="92">
        <v>0.45</v>
      </c>
      <c r="AP28" s="14">
        <f t="shared" si="25"/>
        <v>219.87</v>
      </c>
      <c r="AQ28" s="88"/>
      <c r="AR28" s="88">
        <f t="shared" si="26"/>
        <v>0</v>
      </c>
      <c r="AS28" s="88">
        <f t="shared" si="33"/>
        <v>4664.5289</v>
      </c>
      <c r="AT28" s="90">
        <f>'[2]Шалым'!$M$22+'[2]Шалым'!$M$23</f>
        <v>814.834</v>
      </c>
      <c r="AU28" s="12">
        <f t="shared" si="27"/>
        <v>3290.537353635</v>
      </c>
      <c r="AV28" s="26">
        <f t="shared" si="28"/>
        <v>-262.0400000000009</v>
      </c>
    </row>
    <row r="29" spans="1:48" ht="12.75">
      <c r="A29" s="9" t="s">
        <v>34</v>
      </c>
      <c r="B29" s="99">
        <v>883.63</v>
      </c>
      <c r="C29" s="100">
        <f t="shared" si="19"/>
        <v>7643.3995</v>
      </c>
      <c r="D29" s="101">
        <f>(C29-E29-F29-G29-H29-I29-J29-K29-L29-M29-N29)*0.811308</f>
        <v>2105.6521513860002</v>
      </c>
      <c r="E29" s="81">
        <v>575.67</v>
      </c>
      <c r="F29" s="81">
        <v>0</v>
      </c>
      <c r="G29" s="81">
        <v>779.68</v>
      </c>
      <c r="H29" s="81">
        <v>0</v>
      </c>
      <c r="I29" s="81">
        <v>1873.44</v>
      </c>
      <c r="J29" s="81">
        <v>0</v>
      </c>
      <c r="K29" s="81">
        <v>1297.76</v>
      </c>
      <c r="L29" s="81">
        <v>0</v>
      </c>
      <c r="M29" s="81">
        <v>521.47</v>
      </c>
      <c r="N29" s="102">
        <v>0</v>
      </c>
      <c r="O29" s="70">
        <f t="shared" si="20"/>
        <v>5048.02</v>
      </c>
      <c r="P29" s="82">
        <f t="shared" si="21"/>
        <v>0</v>
      </c>
      <c r="Q29" s="103">
        <v>573.89</v>
      </c>
      <c r="R29" s="103">
        <v>777.1</v>
      </c>
      <c r="S29" s="103">
        <v>1867.79</v>
      </c>
      <c r="T29" s="103">
        <v>1259.92</v>
      </c>
      <c r="U29" s="103">
        <v>538.06</v>
      </c>
      <c r="V29" s="99">
        <f t="shared" si="29"/>
        <v>5016.76</v>
      </c>
      <c r="W29" s="83">
        <f t="shared" si="22"/>
        <v>7122.412151386001</v>
      </c>
      <c r="X29" s="83">
        <f>'[4]Шалым'!$I$45+'[4]Шалым'!$I$46</f>
        <v>1711.58764</v>
      </c>
      <c r="Y29" s="14">
        <f t="shared" si="23"/>
        <v>530.178</v>
      </c>
      <c r="Z29" s="14">
        <f t="shared" si="24"/>
        <v>176.726</v>
      </c>
      <c r="AA29" s="14">
        <f t="shared" si="30"/>
        <v>883.63</v>
      </c>
      <c r="AB29" s="14">
        <v>0</v>
      </c>
      <c r="AC29" s="14">
        <f t="shared" si="31"/>
        <v>865.9574</v>
      </c>
      <c r="AD29" s="14">
        <v>0</v>
      </c>
      <c r="AE29" s="14">
        <f t="shared" si="32"/>
        <v>1988.1675</v>
      </c>
      <c r="AF29" s="14">
        <v>0</v>
      </c>
      <c r="AG29" s="14"/>
      <c r="AH29" s="14"/>
      <c r="AI29" s="85"/>
      <c r="AJ29" s="85"/>
      <c r="AK29" s="73"/>
      <c r="AL29" s="73"/>
      <c r="AM29" s="73"/>
      <c r="AN29" s="104">
        <v>425</v>
      </c>
      <c r="AO29" s="92">
        <v>0.45</v>
      </c>
      <c r="AP29" s="14">
        <f t="shared" si="25"/>
        <v>267.75</v>
      </c>
      <c r="AQ29" s="88"/>
      <c r="AR29" s="88">
        <f t="shared" si="26"/>
        <v>0</v>
      </c>
      <c r="AS29" s="88">
        <f t="shared" si="33"/>
        <v>4712.4089</v>
      </c>
      <c r="AT29" s="90">
        <f>'[2]Шалым'!$M$22+'[2]Шалым'!$M$23</f>
        <v>814.834</v>
      </c>
      <c r="AU29" s="12">
        <f t="shared" si="27"/>
        <v>3306.7568913860005</v>
      </c>
      <c r="AV29" s="26">
        <f t="shared" si="28"/>
        <v>-31.26000000000022</v>
      </c>
    </row>
    <row r="30" spans="1:48" ht="12.75">
      <c r="A30" s="9" t="s">
        <v>35</v>
      </c>
      <c r="B30" s="99">
        <v>883.63</v>
      </c>
      <c r="C30" s="100">
        <f t="shared" si="19"/>
        <v>7643.3995</v>
      </c>
      <c r="D30" s="101">
        <f>(C30-E30-F30-G30-H30-I30-J30-K30-L30-M30-N30)*0.870679</f>
        <v>2249.0853167205</v>
      </c>
      <c r="E30" s="81">
        <v>577.11</v>
      </c>
      <c r="F30" s="81">
        <v>0</v>
      </c>
      <c r="G30" s="81">
        <v>781.55</v>
      </c>
      <c r="H30" s="81">
        <v>0</v>
      </c>
      <c r="I30" s="81">
        <v>1878.05</v>
      </c>
      <c r="J30" s="81">
        <v>0</v>
      </c>
      <c r="K30" s="81">
        <v>1300.93</v>
      </c>
      <c r="L30" s="81">
        <v>0</v>
      </c>
      <c r="M30" s="81">
        <v>522.62</v>
      </c>
      <c r="N30" s="102">
        <v>0</v>
      </c>
      <c r="O30" s="70">
        <f t="shared" si="20"/>
        <v>5060.26</v>
      </c>
      <c r="P30" s="82">
        <f t="shared" si="21"/>
        <v>0</v>
      </c>
      <c r="Q30" s="103">
        <v>350.47</v>
      </c>
      <c r="R30" s="103">
        <v>474.67</v>
      </c>
      <c r="S30" s="103">
        <v>1140.57</v>
      </c>
      <c r="T30" s="103">
        <v>790.1</v>
      </c>
      <c r="U30" s="103">
        <v>280.36</v>
      </c>
      <c r="V30" s="99">
        <f t="shared" si="29"/>
        <v>3036.17</v>
      </c>
      <c r="W30" s="83">
        <f t="shared" si="22"/>
        <v>5285.255316720501</v>
      </c>
      <c r="X30" s="83">
        <f>'[4]Шалым'!$I$45+'[4]Шалым'!$I$46</f>
        <v>1711.58764</v>
      </c>
      <c r="Y30" s="14">
        <f t="shared" si="23"/>
        <v>530.178</v>
      </c>
      <c r="Z30" s="14">
        <f t="shared" si="24"/>
        <v>176.726</v>
      </c>
      <c r="AA30" s="14">
        <f t="shared" si="30"/>
        <v>883.63</v>
      </c>
      <c r="AB30" s="14">
        <v>0</v>
      </c>
      <c r="AC30" s="14">
        <f t="shared" si="31"/>
        <v>865.9574</v>
      </c>
      <c r="AD30" s="14">
        <v>0</v>
      </c>
      <c r="AE30" s="14">
        <f t="shared" si="32"/>
        <v>1988.1675</v>
      </c>
      <c r="AF30" s="14">
        <v>0</v>
      </c>
      <c r="AG30" s="14"/>
      <c r="AH30" s="14"/>
      <c r="AI30" s="85"/>
      <c r="AJ30" s="85"/>
      <c r="AK30" s="73"/>
      <c r="AL30" s="73"/>
      <c r="AM30" s="73"/>
      <c r="AN30" s="104">
        <v>470</v>
      </c>
      <c r="AO30" s="92">
        <v>0.45</v>
      </c>
      <c r="AP30" s="14">
        <f t="shared" si="25"/>
        <v>296.09999999999997</v>
      </c>
      <c r="AQ30" s="88"/>
      <c r="AR30" s="88">
        <f t="shared" si="26"/>
        <v>0</v>
      </c>
      <c r="AS30" s="88">
        <f t="shared" si="33"/>
        <v>4740.758900000001</v>
      </c>
      <c r="AT30" s="90">
        <f>'[2]Шалым'!$M$22+'[2]Шалым'!$M$23</f>
        <v>814.834</v>
      </c>
      <c r="AU30" s="12">
        <f t="shared" si="27"/>
        <v>1441.2500567204997</v>
      </c>
      <c r="AV30" s="26">
        <f t="shared" si="28"/>
        <v>-2024.0900000000001</v>
      </c>
    </row>
    <row r="31" spans="1:48" ht="12.75">
      <c r="A31" s="9" t="s">
        <v>36</v>
      </c>
      <c r="B31" s="99">
        <v>883.63</v>
      </c>
      <c r="C31" s="100">
        <f t="shared" si="19"/>
        <v>7643.3995</v>
      </c>
      <c r="D31" s="101">
        <f>(C31-E31-F31-G31-H31-I31-J31-K31-L31-M31-N31)*0.91496</f>
        <v>2385.86753772</v>
      </c>
      <c r="E31" s="81">
        <v>574.23</v>
      </c>
      <c r="F31" s="81">
        <v>0</v>
      </c>
      <c r="G31" s="81">
        <v>777.81</v>
      </c>
      <c r="H31" s="81">
        <v>0</v>
      </c>
      <c r="I31" s="81">
        <v>1868.83</v>
      </c>
      <c r="J31" s="81">
        <v>0</v>
      </c>
      <c r="K31" s="81">
        <v>1294.59</v>
      </c>
      <c r="L31" s="81">
        <v>0</v>
      </c>
      <c r="M31" s="81">
        <v>520.32</v>
      </c>
      <c r="N31" s="102">
        <v>0</v>
      </c>
      <c r="O31" s="70">
        <f t="shared" si="20"/>
        <v>5035.78</v>
      </c>
      <c r="P31" s="82">
        <f t="shared" si="21"/>
        <v>0</v>
      </c>
      <c r="Q31" s="103">
        <v>689.69</v>
      </c>
      <c r="R31" s="103">
        <v>934.43</v>
      </c>
      <c r="S31" s="103">
        <v>2244.89</v>
      </c>
      <c r="T31" s="103">
        <v>1555.21</v>
      </c>
      <c r="U31" s="103">
        <v>551.73</v>
      </c>
      <c r="V31" s="99">
        <f t="shared" si="29"/>
        <v>5975.949999999999</v>
      </c>
      <c r="W31" s="83">
        <f t="shared" si="22"/>
        <v>8361.817537719999</v>
      </c>
      <c r="X31" s="83">
        <f>'[4]Шалым'!$I$45+'[4]Шалым'!$I$46</f>
        <v>1711.58764</v>
      </c>
      <c r="Y31" s="14">
        <f t="shared" si="23"/>
        <v>530.178</v>
      </c>
      <c r="Z31" s="14">
        <f t="shared" si="24"/>
        <v>176.726</v>
      </c>
      <c r="AA31" s="14">
        <f t="shared" si="30"/>
        <v>883.63</v>
      </c>
      <c r="AB31" s="14">
        <v>0</v>
      </c>
      <c r="AC31" s="14">
        <f t="shared" si="31"/>
        <v>865.9574</v>
      </c>
      <c r="AD31" s="14">
        <v>0</v>
      </c>
      <c r="AE31" s="14">
        <f t="shared" si="32"/>
        <v>1988.1675</v>
      </c>
      <c r="AF31" s="14">
        <v>0</v>
      </c>
      <c r="AG31" s="14"/>
      <c r="AH31" s="14"/>
      <c r="AI31" s="85"/>
      <c r="AJ31" s="85"/>
      <c r="AK31" s="73">
        <v>256</v>
      </c>
      <c r="AL31" s="73"/>
      <c r="AM31" s="73"/>
      <c r="AN31" s="104">
        <v>514</v>
      </c>
      <c r="AO31" s="92">
        <v>0.45</v>
      </c>
      <c r="AP31" s="14">
        <f t="shared" si="25"/>
        <v>323.82</v>
      </c>
      <c r="AQ31" s="88"/>
      <c r="AR31" s="88">
        <f t="shared" si="26"/>
        <v>0</v>
      </c>
      <c r="AS31" s="88">
        <f t="shared" si="33"/>
        <v>5024.4789</v>
      </c>
      <c r="AT31" s="90">
        <f>'[2]Шалым'!$M$22+'[2]Шалым'!$M$23</f>
        <v>814.834</v>
      </c>
      <c r="AU31" s="12">
        <f t="shared" si="27"/>
        <v>4234.0922777199985</v>
      </c>
      <c r="AV31" s="26">
        <f t="shared" si="28"/>
        <v>940.1699999999992</v>
      </c>
    </row>
    <row r="32" spans="1:48" s="18" customFormat="1" ht="12.75">
      <c r="A32" s="15" t="s">
        <v>5</v>
      </c>
      <c r="B32" s="51"/>
      <c r="C32" s="16">
        <f aca="true" t="shared" si="34" ref="C32:AT32">SUM(C20:C31)</f>
        <v>91765.774</v>
      </c>
      <c r="D32" s="16">
        <f t="shared" si="34"/>
        <v>28357.9049446805</v>
      </c>
      <c r="E32" s="16">
        <f t="shared" si="34"/>
        <v>6341.889999999999</v>
      </c>
      <c r="F32" s="16">
        <f t="shared" si="34"/>
        <v>574.8</v>
      </c>
      <c r="G32" s="16">
        <f t="shared" si="34"/>
        <v>8588.990000000002</v>
      </c>
      <c r="H32" s="16">
        <f t="shared" si="34"/>
        <v>779.0400000000001</v>
      </c>
      <c r="I32" s="16">
        <f t="shared" si="34"/>
        <v>20638.33</v>
      </c>
      <c r="J32" s="16">
        <f t="shared" si="34"/>
        <v>1871.2199999999998</v>
      </c>
      <c r="K32" s="16">
        <f t="shared" si="34"/>
        <v>14296.140000000001</v>
      </c>
      <c r="L32" s="16">
        <f t="shared" si="34"/>
        <v>1296.54</v>
      </c>
      <c r="M32" s="16">
        <f t="shared" si="34"/>
        <v>5804.81</v>
      </c>
      <c r="N32" s="16">
        <f t="shared" si="34"/>
        <v>459.72</v>
      </c>
      <c r="O32" s="16">
        <f t="shared" si="34"/>
        <v>55670.16000000001</v>
      </c>
      <c r="P32" s="16">
        <f t="shared" si="34"/>
        <v>4981.320000000001</v>
      </c>
      <c r="Q32" s="16">
        <f t="shared" si="34"/>
        <v>5206.890000000001</v>
      </c>
      <c r="R32" s="16">
        <f t="shared" si="34"/>
        <v>7051.030000000001</v>
      </c>
      <c r="S32" s="16">
        <f t="shared" si="34"/>
        <v>16961.489999999998</v>
      </c>
      <c r="T32" s="16">
        <f t="shared" si="34"/>
        <v>11792.570000000003</v>
      </c>
      <c r="U32" s="16">
        <f t="shared" si="34"/>
        <v>4586.969999999999</v>
      </c>
      <c r="V32" s="16">
        <f t="shared" si="34"/>
        <v>45598.94999999999</v>
      </c>
      <c r="W32" s="16">
        <f t="shared" si="34"/>
        <v>78938.1749446805</v>
      </c>
      <c r="X32" s="16">
        <f t="shared" si="34"/>
        <v>20539.051680000004</v>
      </c>
      <c r="Y32" s="16">
        <f t="shared" si="34"/>
        <v>6365.255999999999</v>
      </c>
      <c r="Z32" s="16">
        <f t="shared" si="34"/>
        <v>2121.752000000001</v>
      </c>
      <c r="AA32" s="16">
        <f t="shared" si="34"/>
        <v>10608.359999999999</v>
      </c>
      <c r="AB32" s="16">
        <f t="shared" si="34"/>
        <v>0</v>
      </c>
      <c r="AC32" s="16">
        <f t="shared" si="34"/>
        <v>10396.192799999999</v>
      </c>
      <c r="AD32" s="16">
        <f t="shared" si="34"/>
        <v>0</v>
      </c>
      <c r="AE32" s="16">
        <f t="shared" si="34"/>
        <v>23868.809999999998</v>
      </c>
      <c r="AF32" s="16">
        <f t="shared" si="34"/>
        <v>0</v>
      </c>
      <c r="AG32" s="16">
        <f t="shared" si="34"/>
        <v>0</v>
      </c>
      <c r="AH32" s="16">
        <f t="shared" si="34"/>
        <v>0</v>
      </c>
      <c r="AI32" s="16">
        <f t="shared" si="34"/>
        <v>0</v>
      </c>
      <c r="AJ32" s="16">
        <f t="shared" si="34"/>
        <v>0</v>
      </c>
      <c r="AK32" s="16">
        <f t="shared" si="34"/>
        <v>3806.35</v>
      </c>
      <c r="AL32" s="16">
        <f t="shared" si="34"/>
        <v>47.8</v>
      </c>
      <c r="AM32" s="16">
        <f t="shared" si="34"/>
        <v>8.604</v>
      </c>
      <c r="AN32" s="16">
        <f t="shared" si="34"/>
        <v>4400</v>
      </c>
      <c r="AO32" s="16">
        <f t="shared" si="34"/>
        <v>5.400000000000001</v>
      </c>
      <c r="AP32" s="16">
        <f t="shared" si="34"/>
        <v>2772</v>
      </c>
      <c r="AQ32" s="16">
        <f t="shared" si="34"/>
        <v>0</v>
      </c>
      <c r="AR32" s="16">
        <f t="shared" si="34"/>
        <v>0</v>
      </c>
      <c r="AS32" s="16">
        <f t="shared" si="34"/>
        <v>59995.124800000005</v>
      </c>
      <c r="AT32" s="16">
        <f t="shared" si="34"/>
        <v>9778.008</v>
      </c>
      <c r="AU32" s="16">
        <f>SUM(AU20:AU31)</f>
        <v>29704.093824680498</v>
      </c>
      <c r="AV32" s="16">
        <f>SUM(AV20:AV31)</f>
        <v>-10071.210000000003</v>
      </c>
    </row>
    <row r="33" spans="1:48" ht="12.75">
      <c r="A33" s="9"/>
      <c r="B33" s="10"/>
      <c r="C33" s="11"/>
      <c r="D33" s="11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2"/>
      <c r="P33" s="42"/>
      <c r="Q33" s="44"/>
      <c r="R33" s="44"/>
      <c r="S33" s="44"/>
      <c r="T33" s="44"/>
      <c r="U33" s="44"/>
      <c r="V33" s="44"/>
      <c r="W33" s="77"/>
      <c r="X33" s="78"/>
      <c r="Y33" s="14"/>
      <c r="Z33" s="14"/>
      <c r="AA33" s="14"/>
      <c r="AB33" s="14"/>
      <c r="AC33" s="14"/>
      <c r="AD33" s="14"/>
      <c r="AE33" s="14"/>
      <c r="AF33" s="14"/>
      <c r="AG33" s="13"/>
      <c r="AH33" s="13"/>
      <c r="AI33" s="13"/>
      <c r="AJ33" s="13"/>
      <c r="AK33" s="72"/>
      <c r="AL33" s="72"/>
      <c r="AM33" s="73"/>
      <c r="AN33" s="73"/>
      <c r="AO33" s="73"/>
      <c r="AP33" s="19"/>
      <c r="AQ33" s="13"/>
      <c r="AR33" s="14"/>
      <c r="AS33" s="14"/>
      <c r="AT33" s="14"/>
      <c r="AU33" s="14"/>
      <c r="AV33" s="8"/>
    </row>
    <row r="34" spans="1:48" s="18" customFormat="1" ht="13.5" thickBot="1">
      <c r="A34" s="20" t="s">
        <v>42</v>
      </c>
      <c r="B34" s="21"/>
      <c r="C34" s="21">
        <f aca="true" t="shared" si="35" ref="C34:AU34">C32+C18</f>
        <v>145342.2305</v>
      </c>
      <c r="D34" s="21">
        <f t="shared" si="35"/>
        <v>46386.8124446805</v>
      </c>
      <c r="E34" s="21">
        <f t="shared" si="35"/>
        <v>9733.04</v>
      </c>
      <c r="F34" s="21">
        <f t="shared" si="35"/>
        <v>1243.81</v>
      </c>
      <c r="G34" s="21">
        <f t="shared" si="35"/>
        <v>13179.890000000003</v>
      </c>
      <c r="H34" s="21">
        <f t="shared" si="35"/>
        <v>1685.7800000000002</v>
      </c>
      <c r="I34" s="21">
        <f t="shared" si="35"/>
        <v>31672.340000000004</v>
      </c>
      <c r="J34" s="21">
        <f t="shared" si="35"/>
        <v>4049.1399999999994</v>
      </c>
      <c r="K34" s="21">
        <f t="shared" si="35"/>
        <v>21939.18</v>
      </c>
      <c r="L34" s="21">
        <f t="shared" si="35"/>
        <v>2805.58</v>
      </c>
      <c r="M34" s="21">
        <f t="shared" si="35"/>
        <v>8895.470000000001</v>
      </c>
      <c r="N34" s="21">
        <f t="shared" si="35"/>
        <v>994.8000000000001</v>
      </c>
      <c r="O34" s="21">
        <f t="shared" si="35"/>
        <v>85419.92000000001</v>
      </c>
      <c r="P34" s="21">
        <f t="shared" si="35"/>
        <v>10779.11</v>
      </c>
      <c r="Q34" s="21">
        <f t="shared" si="35"/>
        <v>8094.140000000001</v>
      </c>
      <c r="R34" s="21">
        <f t="shared" si="35"/>
        <v>10959.740000000002</v>
      </c>
      <c r="S34" s="21">
        <f t="shared" si="35"/>
        <v>26345.92</v>
      </c>
      <c r="T34" s="21">
        <f t="shared" si="35"/>
        <v>18303.190000000002</v>
      </c>
      <c r="U34" s="21">
        <f t="shared" si="35"/>
        <v>7177.82</v>
      </c>
      <c r="V34" s="21">
        <f t="shared" si="35"/>
        <v>70880.81</v>
      </c>
      <c r="W34" s="21">
        <f t="shared" si="35"/>
        <v>128046.73244468051</v>
      </c>
      <c r="X34" s="21">
        <f t="shared" si="35"/>
        <v>23630.455800000003</v>
      </c>
      <c r="Y34" s="21">
        <f t="shared" si="35"/>
        <v>10081.542</v>
      </c>
      <c r="Z34" s="21">
        <f t="shared" si="35"/>
        <v>3361.073212560001</v>
      </c>
      <c r="AA34" s="21">
        <f t="shared" si="35"/>
        <v>15837.66928884</v>
      </c>
      <c r="AB34" s="21">
        <f t="shared" si="35"/>
        <v>941.2756719911997</v>
      </c>
      <c r="AC34" s="21">
        <f t="shared" si="35"/>
        <v>15508.383776544</v>
      </c>
      <c r="AD34" s="21">
        <f t="shared" si="35"/>
        <v>920.1943757779202</v>
      </c>
      <c r="AE34" s="21">
        <f t="shared" si="35"/>
        <v>35632.829509758</v>
      </c>
      <c r="AF34" s="21">
        <f t="shared" si="35"/>
        <v>2117.52351175644</v>
      </c>
      <c r="AG34" s="21">
        <f t="shared" si="35"/>
        <v>0</v>
      </c>
      <c r="AH34" s="21">
        <f t="shared" si="35"/>
        <v>0</v>
      </c>
      <c r="AI34" s="21">
        <f t="shared" si="35"/>
        <v>0</v>
      </c>
      <c r="AJ34" s="21">
        <f t="shared" si="35"/>
        <v>0</v>
      </c>
      <c r="AK34" s="21">
        <f t="shared" si="35"/>
        <v>4652.57</v>
      </c>
      <c r="AL34" s="21">
        <f t="shared" si="35"/>
        <v>47.8</v>
      </c>
      <c r="AM34" s="21">
        <f t="shared" si="35"/>
        <v>160.92360000000002</v>
      </c>
      <c r="AN34" s="21">
        <f t="shared" si="35"/>
        <v>4400</v>
      </c>
      <c r="AO34" s="21">
        <f t="shared" si="35"/>
        <v>5.400000000000001</v>
      </c>
      <c r="AP34" s="21">
        <f t="shared" si="35"/>
        <v>4277.83104</v>
      </c>
      <c r="AQ34" s="21">
        <f t="shared" si="35"/>
        <v>0</v>
      </c>
      <c r="AR34" s="21">
        <f t="shared" si="35"/>
        <v>0</v>
      </c>
      <c r="AS34" s="21">
        <f t="shared" si="35"/>
        <v>93539.61598722756</v>
      </c>
      <c r="AT34" s="21">
        <f t="shared" si="35"/>
        <v>11251.47468</v>
      </c>
      <c r="AU34" s="21">
        <f t="shared" si="35"/>
        <v>46886.097577452936</v>
      </c>
      <c r="AV34" s="21">
        <f>AV32+AV18</f>
        <v>-14539.11</v>
      </c>
    </row>
  </sheetData>
  <sheetProtection/>
  <mergeCells count="56">
    <mergeCell ref="O5:O6"/>
    <mergeCell ref="R5:R6"/>
    <mergeCell ref="S5:S6"/>
    <mergeCell ref="T5:T6"/>
    <mergeCell ref="AR5:AR6"/>
    <mergeCell ref="AI5:AI6"/>
    <mergeCell ref="AJ5:AJ6"/>
    <mergeCell ref="AL5:AL6"/>
    <mergeCell ref="AQ5:AQ6"/>
    <mergeCell ref="U5:U6"/>
    <mergeCell ref="N5:N6"/>
    <mergeCell ref="AS5:AS6"/>
    <mergeCell ref="AM5:AM6"/>
    <mergeCell ref="Y5:Y6"/>
    <mergeCell ref="X3:X6"/>
    <mergeCell ref="Y3:AS4"/>
    <mergeCell ref="AF5:AF6"/>
    <mergeCell ref="AG5:AG6"/>
    <mergeCell ref="V5:V6"/>
    <mergeCell ref="AN5:AP5"/>
    <mergeCell ref="E5:E6"/>
    <mergeCell ref="F5:F6"/>
    <mergeCell ref="G5:G6"/>
    <mergeCell ref="H5:H6"/>
    <mergeCell ref="L5:L6"/>
    <mergeCell ref="M5:M6"/>
    <mergeCell ref="I5:I6"/>
    <mergeCell ref="J5:J6"/>
    <mergeCell ref="K5:K6"/>
    <mergeCell ref="AU3:AU6"/>
    <mergeCell ref="O3:P4"/>
    <mergeCell ref="Q3:V4"/>
    <mergeCell ref="W3:W6"/>
    <mergeCell ref="P5:P6"/>
    <mergeCell ref="Q5:Q6"/>
    <mergeCell ref="M4:N4"/>
    <mergeCell ref="AV3:AV6"/>
    <mergeCell ref="Z5:Z6"/>
    <mergeCell ref="AA5:AA6"/>
    <mergeCell ref="AB5:AB6"/>
    <mergeCell ref="AC5:AC6"/>
    <mergeCell ref="AD5:AD6"/>
    <mergeCell ref="AE5:AE6"/>
    <mergeCell ref="AH5:AH6"/>
    <mergeCell ref="AK5:AK6"/>
    <mergeCell ref="AT3:AT6"/>
    <mergeCell ref="A1:N1"/>
    <mergeCell ref="A3:A6"/>
    <mergeCell ref="B3:B6"/>
    <mergeCell ref="C3:C6"/>
    <mergeCell ref="D3:D6"/>
    <mergeCell ref="E3:N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workbookViewId="0" topLeftCell="A1">
      <selection activeCell="D43" sqref="D43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10" width="9.25390625" style="2" customWidth="1"/>
    <col min="11" max="11" width="9.875" style="2" customWidth="1"/>
    <col min="12" max="12" width="10.875" style="2" customWidth="1"/>
    <col min="13" max="13" width="10.125" style="2" customWidth="1"/>
    <col min="14" max="14" width="9.375" style="2" customWidth="1"/>
    <col min="15" max="16" width="10.375" style="2" customWidth="1"/>
    <col min="17" max="17" width="10.75390625" style="2" customWidth="1"/>
    <col min="18" max="18" width="13.00390625" style="2" customWidth="1"/>
    <col min="19" max="16384" width="9.125" style="2" customWidth="1"/>
  </cols>
  <sheetData>
    <row r="1" spans="2:9" ht="20.25" customHeight="1">
      <c r="B1" s="180" t="s">
        <v>43</v>
      </c>
      <c r="C1" s="180"/>
      <c r="D1" s="180"/>
      <c r="E1" s="180"/>
      <c r="F1" s="180"/>
      <c r="G1" s="180"/>
      <c r="H1" s="180"/>
      <c r="I1" s="118"/>
    </row>
    <row r="2" spans="2:9" ht="21" customHeight="1">
      <c r="B2" s="180" t="s">
        <v>44</v>
      </c>
      <c r="C2" s="180"/>
      <c r="D2" s="180"/>
      <c r="E2" s="180"/>
      <c r="F2" s="180"/>
      <c r="G2" s="180"/>
      <c r="H2" s="180"/>
      <c r="I2" s="118"/>
    </row>
    <row r="5" spans="1:17" ht="12.75">
      <c r="A5" s="182" t="s">
        <v>78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</row>
    <row r="6" spans="1:17" ht="12.75">
      <c r="A6" s="183" t="s">
        <v>85</v>
      </c>
      <c r="B6" s="183"/>
      <c r="C6" s="183"/>
      <c r="D6" s="183"/>
      <c r="E6" s="183"/>
      <c r="F6" s="183"/>
      <c r="G6" s="183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6" ht="13.5" thickBot="1">
      <c r="A8" s="181" t="s">
        <v>45</v>
      </c>
      <c r="B8" s="181"/>
      <c r="C8" s="181"/>
      <c r="D8" s="181"/>
      <c r="E8" s="181">
        <v>8.65</v>
      </c>
      <c r="F8" s="181"/>
    </row>
    <row r="9" spans="1:18" ht="12.75" customHeight="1">
      <c r="A9" s="129" t="s">
        <v>46</v>
      </c>
      <c r="B9" s="209" t="s">
        <v>1</v>
      </c>
      <c r="C9" s="212" t="s">
        <v>47</v>
      </c>
      <c r="D9" s="215" t="s">
        <v>3</v>
      </c>
      <c r="E9" s="199" t="s">
        <v>48</v>
      </c>
      <c r="F9" s="200"/>
      <c r="G9" s="173" t="s">
        <v>49</v>
      </c>
      <c r="H9" s="174"/>
      <c r="I9" s="177" t="s">
        <v>61</v>
      </c>
      <c r="J9" s="184" t="s">
        <v>8</v>
      </c>
      <c r="K9" s="165"/>
      <c r="L9" s="165"/>
      <c r="M9" s="165"/>
      <c r="N9" s="165"/>
      <c r="O9" s="185"/>
      <c r="P9" s="177" t="s">
        <v>62</v>
      </c>
      <c r="Q9" s="188" t="s">
        <v>50</v>
      </c>
      <c r="R9" s="188" t="s">
        <v>10</v>
      </c>
    </row>
    <row r="10" spans="1:18" ht="12.75">
      <c r="A10" s="130"/>
      <c r="B10" s="210"/>
      <c r="C10" s="213"/>
      <c r="D10" s="216"/>
      <c r="E10" s="201"/>
      <c r="F10" s="202"/>
      <c r="G10" s="175"/>
      <c r="H10" s="176"/>
      <c r="I10" s="178"/>
      <c r="J10" s="186"/>
      <c r="K10" s="140"/>
      <c r="L10" s="140"/>
      <c r="M10" s="140"/>
      <c r="N10" s="140"/>
      <c r="O10" s="187"/>
      <c r="P10" s="178"/>
      <c r="Q10" s="189"/>
      <c r="R10" s="189"/>
    </row>
    <row r="11" spans="1:18" ht="26.25" customHeight="1">
      <c r="A11" s="130"/>
      <c r="B11" s="210"/>
      <c r="C11" s="213"/>
      <c r="D11" s="216"/>
      <c r="E11" s="191" t="s">
        <v>51</v>
      </c>
      <c r="F11" s="192"/>
      <c r="G11" s="69" t="s">
        <v>52</v>
      </c>
      <c r="H11" s="193" t="s">
        <v>7</v>
      </c>
      <c r="I11" s="178"/>
      <c r="J11" s="195" t="s">
        <v>53</v>
      </c>
      <c r="K11" s="197" t="s">
        <v>26</v>
      </c>
      <c r="L11" s="197" t="s">
        <v>54</v>
      </c>
      <c r="M11" s="197" t="s">
        <v>31</v>
      </c>
      <c r="N11" s="197" t="s">
        <v>55</v>
      </c>
      <c r="O11" s="193" t="s">
        <v>33</v>
      </c>
      <c r="P11" s="178"/>
      <c r="Q11" s="189"/>
      <c r="R11" s="189"/>
    </row>
    <row r="12" spans="1:18" ht="66.75" customHeight="1" thickBot="1">
      <c r="A12" s="208"/>
      <c r="B12" s="211"/>
      <c r="C12" s="214"/>
      <c r="D12" s="217"/>
      <c r="E12" s="54" t="s">
        <v>56</v>
      </c>
      <c r="F12" s="57" t="s">
        <v>17</v>
      </c>
      <c r="G12" s="66" t="s">
        <v>76</v>
      </c>
      <c r="H12" s="194"/>
      <c r="I12" s="179"/>
      <c r="J12" s="196"/>
      <c r="K12" s="198"/>
      <c r="L12" s="198"/>
      <c r="M12" s="198"/>
      <c r="N12" s="198"/>
      <c r="O12" s="194"/>
      <c r="P12" s="179"/>
      <c r="Q12" s="190"/>
      <c r="R12" s="190"/>
    </row>
    <row r="13" spans="1:18" ht="13.5" thickBot="1">
      <c r="A13" s="55">
        <v>1</v>
      </c>
      <c r="B13" s="56">
        <v>2</v>
      </c>
      <c r="C13" s="55">
        <v>3</v>
      </c>
      <c r="D13" s="56">
        <v>4</v>
      </c>
      <c r="E13" s="55">
        <v>5</v>
      </c>
      <c r="F13" s="56">
        <v>6</v>
      </c>
      <c r="G13" s="55">
        <v>7</v>
      </c>
      <c r="H13" s="56">
        <v>8</v>
      </c>
      <c r="I13" s="55">
        <v>9</v>
      </c>
      <c r="J13" s="56">
        <v>10</v>
      </c>
      <c r="K13" s="55">
        <v>11</v>
      </c>
      <c r="L13" s="56">
        <v>12</v>
      </c>
      <c r="M13" s="55">
        <v>13</v>
      </c>
      <c r="N13" s="56">
        <v>14</v>
      </c>
      <c r="O13" s="55">
        <v>15</v>
      </c>
      <c r="P13" s="56">
        <v>16</v>
      </c>
      <c r="Q13" s="55">
        <v>17</v>
      </c>
      <c r="R13" s="56">
        <v>18</v>
      </c>
    </row>
    <row r="14" spans="1:20" ht="12.75">
      <c r="A14" s="6" t="s">
        <v>37</v>
      </c>
      <c r="B14" s="35"/>
      <c r="C14" s="36"/>
      <c r="D14" s="37"/>
      <c r="E14" s="38"/>
      <c r="F14" s="40"/>
      <c r="G14" s="39"/>
      <c r="H14" s="40"/>
      <c r="I14" s="120"/>
      <c r="J14" s="39"/>
      <c r="K14" s="12"/>
      <c r="L14" s="12"/>
      <c r="M14" s="27"/>
      <c r="N14" s="60"/>
      <c r="O14" s="26"/>
      <c r="P14" s="119"/>
      <c r="Q14" s="63"/>
      <c r="R14" s="63"/>
      <c r="S14" s="1"/>
      <c r="T14" s="1"/>
    </row>
    <row r="15" spans="1:20" ht="12.75">
      <c r="A15" s="9" t="s">
        <v>38</v>
      </c>
      <c r="B15" s="67">
        <f>Лист1!B9</f>
        <v>884.83</v>
      </c>
      <c r="C15" s="23">
        <f aca="true" t="shared" si="0" ref="C15:C21">B15*8.65</f>
        <v>7653.779500000001</v>
      </c>
      <c r="D15" s="24">
        <f>Лист1!D9</f>
        <v>2577.97</v>
      </c>
      <c r="E15" s="12">
        <f>Лист1!O9</f>
        <v>4934.37</v>
      </c>
      <c r="F15" s="26">
        <f>Лист1!P9</f>
        <v>937.12</v>
      </c>
      <c r="G15" s="25">
        <f>Лист1!V9</f>
        <v>1183.2599999999998</v>
      </c>
      <c r="H15" s="26">
        <f>Лист1!W9</f>
        <v>4698.349999999999</v>
      </c>
      <c r="I15" s="121">
        <f>Лист1!X9</f>
        <v>0</v>
      </c>
      <c r="J15" s="25">
        <f>Лист1!Y9</f>
        <v>530.898</v>
      </c>
      <c r="K15" s="12">
        <f>Лист1!AA9+Лист1!AB9</f>
        <v>877.0476723976</v>
      </c>
      <c r="L15" s="12">
        <f>Лист1!Z9+Лист1!AC9+Лист1!AD9+Лист1!AE9+Лист1!AF9+Лист1!AG9+Лист1!AH9+Лист1!AI9+Лист1!AJ9</f>
        <v>3011.68551858188</v>
      </c>
      <c r="M15" s="27">
        <f>Лист1!AK9+Лист1!AL9+Лист1!AM9+Лист1!AQ9+Лист1!AR9</f>
        <v>0</v>
      </c>
      <c r="N15" s="27">
        <f>Лист1!AP9</f>
        <v>138.56976</v>
      </c>
      <c r="O15" s="26">
        <f>Лист1!AS9</f>
        <v>4558.20095097948</v>
      </c>
      <c r="P15" s="119">
        <f>Лист1!AT9</f>
        <v>0</v>
      </c>
      <c r="Q15" s="63">
        <f>Лист1!AU9</f>
        <v>140.14904902051967</v>
      </c>
      <c r="R15" s="63">
        <f>Лист1!AV9</f>
        <v>-3751.11</v>
      </c>
      <c r="S15" s="1"/>
      <c r="T15" s="1"/>
    </row>
    <row r="16" spans="1:20" ht="12.75">
      <c r="A16" s="9" t="s">
        <v>39</v>
      </c>
      <c r="B16" s="67">
        <f>Лист1!B10</f>
        <v>884.83</v>
      </c>
      <c r="C16" s="23">
        <f t="shared" si="0"/>
        <v>7653.779500000001</v>
      </c>
      <c r="D16" s="24">
        <f>Лист1!D10</f>
        <v>2583.35</v>
      </c>
      <c r="E16" s="12">
        <f>Лист1!O10</f>
        <v>3565.18</v>
      </c>
      <c r="F16" s="26">
        <f>Лист1!P10</f>
        <v>709.57</v>
      </c>
      <c r="G16" s="25">
        <f>Лист1!V10</f>
        <v>4342.92</v>
      </c>
      <c r="H16" s="26">
        <f>Лист1!W10</f>
        <v>7635.84</v>
      </c>
      <c r="I16" s="121">
        <f>Лист1!X10</f>
        <v>0</v>
      </c>
      <c r="J16" s="25">
        <f>Лист1!Y10</f>
        <v>530.898</v>
      </c>
      <c r="K16" s="12">
        <f>Лист1!AA10+Лист1!AB10</f>
        <v>877.0476723976</v>
      </c>
      <c r="L16" s="12">
        <f>Лист1!Z10+Лист1!AC10+Лист1!AD10+Лист1!AE10+Лист1!AF10+Лист1!AG10+Лист1!AH10+Лист1!AI10+Лист1!AJ10</f>
        <v>3008.8322390418803</v>
      </c>
      <c r="M16" s="27">
        <f>Лист1!AK10+Лист1!AL10+Лист1!AM10+Лист1!AQ10+Лист1!AR10</f>
        <v>0</v>
      </c>
      <c r="N16" s="27">
        <f>Лист1!AP10</f>
        <v>147.49056000000002</v>
      </c>
      <c r="O16" s="26">
        <f>Лист1!AS10</f>
        <v>4564.26847143948</v>
      </c>
      <c r="P16" s="119">
        <f>Лист1!AT10</f>
        <v>0</v>
      </c>
      <c r="Q16" s="63">
        <f>Лист1!AU10</f>
        <v>3071.57152856052</v>
      </c>
      <c r="R16" s="63">
        <f>Лист1!AV10</f>
        <v>777.7400000000002</v>
      </c>
      <c r="S16" s="1"/>
      <c r="T16" s="1"/>
    </row>
    <row r="17" spans="1:20" ht="12.75">
      <c r="A17" s="9" t="s">
        <v>40</v>
      </c>
      <c r="B17" s="67">
        <f>Лист1!B11</f>
        <v>884.83</v>
      </c>
      <c r="C17" s="23">
        <f t="shared" si="0"/>
        <v>7653.779500000001</v>
      </c>
      <c r="D17" s="24">
        <f>Лист1!D11</f>
        <v>2557.8595000000005</v>
      </c>
      <c r="E17" s="12">
        <f>Лист1!O11</f>
        <v>4265.7</v>
      </c>
      <c r="F17" s="26">
        <f>Лист1!P11</f>
        <v>830.22</v>
      </c>
      <c r="G17" s="25">
        <f>Лист1!V11</f>
        <v>3101.29</v>
      </c>
      <c r="H17" s="26">
        <f>Лист1!W11</f>
        <v>6489.369500000001</v>
      </c>
      <c r="I17" s="121">
        <f>Лист1!X11</f>
        <v>0</v>
      </c>
      <c r="J17" s="25">
        <f>Лист1!Y11</f>
        <v>530.898</v>
      </c>
      <c r="K17" s="12">
        <f>Лист1!AA11+Лист1!AB11</f>
        <v>877.012173018</v>
      </c>
      <c r="L17" s="12">
        <f>Лист1!Z11+Лист1!AC11+Лист1!AD11+Лист1!AE11+Лист1!AF11+Лист1!AG11+Лист1!AH11+Лист1!AI11+Лист1!AJ11</f>
        <v>3009.6276516614</v>
      </c>
      <c r="M17" s="27">
        <f>Лист1!AK11+Лист1!AL11+Лист1!AM11+Лист1!AQ11+Лист1!AR11</f>
        <v>0</v>
      </c>
      <c r="N17" s="27">
        <f>Лист1!AP11</f>
        <v>174.25295999999997</v>
      </c>
      <c r="O17" s="26">
        <f>Лист1!AS11</f>
        <v>4591.7907846794</v>
      </c>
      <c r="P17" s="119">
        <f>Лист1!AT11</f>
        <v>0</v>
      </c>
      <c r="Q17" s="63">
        <f>Лист1!AU11</f>
        <v>1897.578715320601</v>
      </c>
      <c r="R17" s="63">
        <f>Лист1!AV11</f>
        <v>-1164.4099999999999</v>
      </c>
      <c r="S17" s="1"/>
      <c r="T17" s="1"/>
    </row>
    <row r="18" spans="1:20" ht="12.75">
      <c r="A18" s="9" t="s">
        <v>41</v>
      </c>
      <c r="B18" s="67">
        <f>Лист1!B12</f>
        <v>884.83</v>
      </c>
      <c r="C18" s="23">
        <f t="shared" si="0"/>
        <v>7653.779500000001</v>
      </c>
      <c r="D18" s="24">
        <f>Лист1!D12</f>
        <v>2557.8595000000005</v>
      </c>
      <c r="E18" s="12">
        <f>Лист1!O12</f>
        <v>4265.7</v>
      </c>
      <c r="F18" s="26">
        <f>Лист1!P12</f>
        <v>830.22</v>
      </c>
      <c r="G18" s="25">
        <f>Лист1!V12</f>
        <v>2447.0600000000004</v>
      </c>
      <c r="H18" s="26">
        <f>Лист1!W12</f>
        <v>5835.139500000001</v>
      </c>
      <c r="I18" s="121">
        <f>Лист1!X12</f>
        <v>0</v>
      </c>
      <c r="J18" s="25">
        <f>Лист1!Y12</f>
        <v>530.898</v>
      </c>
      <c r="K18" s="12">
        <f>Лист1!AA12+Лист1!AB12</f>
        <v>877.023973018</v>
      </c>
      <c r="L18" s="12">
        <f>Лист1!Z12+Лист1!AC12+Лист1!AD12+Лист1!AE12+Лист1!AF12+Лист1!AG12+Лист1!AH12+Лист1!AI12+Лист1!AJ12</f>
        <v>3009.7091091111997</v>
      </c>
      <c r="M18" s="27">
        <f>Лист1!AK12+Лист1!AL12+Лист1!AM12+Лист1!AQ12+Лист1!AR12</f>
        <v>0</v>
      </c>
      <c r="N18" s="27">
        <f>Лист1!AP12</f>
        <v>207.55728000000005</v>
      </c>
      <c r="O18" s="26">
        <f>Лист1!AS12</f>
        <v>4625.1883621292</v>
      </c>
      <c r="P18" s="119">
        <f>Лист1!AT12</f>
        <v>0</v>
      </c>
      <c r="Q18" s="63">
        <f>Лист1!AU12</f>
        <v>1209.9511378708012</v>
      </c>
      <c r="R18" s="63">
        <f>Лист1!AV12</f>
        <v>-1818.6399999999994</v>
      </c>
      <c r="S18" s="1"/>
      <c r="T18" s="1"/>
    </row>
    <row r="19" spans="1:20" ht="12.75">
      <c r="A19" s="9" t="s">
        <v>34</v>
      </c>
      <c r="B19" s="67">
        <f>Лист1!B13</f>
        <v>884.83</v>
      </c>
      <c r="C19" s="23">
        <f>B19*8.65</f>
        <v>7653.779500000001</v>
      </c>
      <c r="D19" s="24">
        <f>Лист1!D13</f>
        <v>2579.0495</v>
      </c>
      <c r="E19" s="12">
        <f>Лист1!O13</f>
        <v>4244.51</v>
      </c>
      <c r="F19" s="26">
        <f>Лист1!P13</f>
        <v>830.22</v>
      </c>
      <c r="G19" s="25">
        <f>Лист1!V13</f>
        <v>6494.83</v>
      </c>
      <c r="H19" s="26">
        <f>Лист1!W13</f>
        <v>9904.0995</v>
      </c>
      <c r="I19" s="121">
        <f>Лист1!X13</f>
        <v>1030.46804</v>
      </c>
      <c r="J19" s="25">
        <f>Лист1!Y13</f>
        <v>530.898</v>
      </c>
      <c r="K19" s="12">
        <f>Лист1!AA13+Лист1!AB13</f>
        <v>887.48449</v>
      </c>
      <c r="L19" s="12">
        <f>Лист1!Z13+Лист1!AC13+Лист1!AD13+Лист1!AE13+Лист1!AF13+Лист1!AG13+Лист1!AH13+Лист1!AI13+Лист1!AJ13</f>
        <v>3037.7983560000002</v>
      </c>
      <c r="M19" s="27">
        <f>Лист1!AK13+Лист1!AL13+Лист1!AM13+Лист1!AQ13+Лист1!AR13</f>
        <v>0</v>
      </c>
      <c r="N19" s="27">
        <f>Лист1!AP13</f>
        <v>252.756</v>
      </c>
      <c r="O19" s="26">
        <f>Лист1!AS13</f>
        <v>4708.9368460000005</v>
      </c>
      <c r="P19" s="119">
        <f>Лист1!AT13</f>
        <v>491.15556</v>
      </c>
      <c r="Q19" s="63">
        <f>Лист1!AU13</f>
        <v>5734.475133999999</v>
      </c>
      <c r="R19" s="63">
        <f>Лист1!AV13</f>
        <v>2250.3199999999997</v>
      </c>
      <c r="S19" s="1"/>
      <c r="T19" s="1"/>
    </row>
    <row r="20" spans="1:20" ht="12.75">
      <c r="A20" s="9" t="s">
        <v>35</v>
      </c>
      <c r="B20" s="67">
        <f>Лист1!B14</f>
        <v>884.83</v>
      </c>
      <c r="C20" s="23">
        <f t="shared" si="0"/>
        <v>7653.779500000001</v>
      </c>
      <c r="D20" s="24">
        <f>Лист1!D14</f>
        <v>2586.4095000000007</v>
      </c>
      <c r="E20" s="12">
        <f>Лист1!O14</f>
        <v>4237.15</v>
      </c>
      <c r="F20" s="26">
        <f>Лист1!P14</f>
        <v>830.22</v>
      </c>
      <c r="G20" s="25">
        <f>Лист1!V14</f>
        <v>2934.9700000000003</v>
      </c>
      <c r="H20" s="26">
        <f>Лист1!W14</f>
        <v>6351.599500000001</v>
      </c>
      <c r="I20" s="121">
        <f>Лист1!X14</f>
        <v>1030.46804</v>
      </c>
      <c r="J20" s="25">
        <f>Лист1!Y14</f>
        <v>530.898</v>
      </c>
      <c r="K20" s="12">
        <f>Лист1!AA14+Лист1!AB14</f>
        <v>887.48449</v>
      </c>
      <c r="L20" s="12">
        <f>Лист1!Z14+Лист1!AC14+Лист1!AD14+Лист1!AE14+Лист1!AF14+Лист1!AG14+Лист1!AH14+Лист1!AI14+Лист1!AJ14</f>
        <v>3037.7983560000002</v>
      </c>
      <c r="M20" s="27">
        <f>Лист1!AK14+Лист1!AL14+Лист1!AM14+Лист1!AQ14+Лист1!AR14</f>
        <v>998.5396000000001</v>
      </c>
      <c r="N20" s="27">
        <f>Лист1!AP14</f>
        <v>279.5184</v>
      </c>
      <c r="O20" s="26">
        <f>Лист1!AS14</f>
        <v>5734.238846</v>
      </c>
      <c r="P20" s="119">
        <f>Лист1!AT14</f>
        <v>491.15556</v>
      </c>
      <c r="Q20" s="63">
        <f>Лист1!AU14</f>
        <v>1156.6731340000008</v>
      </c>
      <c r="R20" s="63">
        <f>Лист1!AV14</f>
        <v>-1302.1799999999994</v>
      </c>
      <c r="S20" s="1"/>
      <c r="T20" s="1"/>
    </row>
    <row r="21" spans="1:20" ht="13.5" thickBot="1">
      <c r="A21" s="28" t="s">
        <v>36</v>
      </c>
      <c r="B21" s="67">
        <f>Лист1!B15</f>
        <v>884.83</v>
      </c>
      <c r="C21" s="29">
        <f t="shared" si="0"/>
        <v>7653.779500000001</v>
      </c>
      <c r="D21" s="24">
        <f>Лист1!D15</f>
        <v>2586.4095</v>
      </c>
      <c r="E21" s="12">
        <f>Лист1!O15</f>
        <v>4237.15</v>
      </c>
      <c r="F21" s="26">
        <f>Лист1!P15</f>
        <v>830.22</v>
      </c>
      <c r="G21" s="25">
        <f>Лист1!V15</f>
        <v>4777.53</v>
      </c>
      <c r="H21" s="26">
        <f>Лист1!W15</f>
        <v>8194.1595</v>
      </c>
      <c r="I21" s="121">
        <f>Лист1!X15</f>
        <v>1030.46804</v>
      </c>
      <c r="J21" s="25">
        <f>Лист1!Y15</f>
        <v>530.898</v>
      </c>
      <c r="K21" s="12">
        <f>Лист1!AA15+Лист1!AB15</f>
        <v>887.48449</v>
      </c>
      <c r="L21" s="12">
        <f>Лист1!Z15+Лист1!AC15+Лист1!AD15+Лист1!AE15+Лист1!AF15+Лист1!AG15+Лист1!AH15+Лист1!AI15+Лист1!AJ15</f>
        <v>3037.7983560000002</v>
      </c>
      <c r="M21" s="27">
        <f>Лист1!AK15+Лист1!AL15+Лист1!AM15+Лист1!AQ15+Лист1!AR15</f>
        <v>0</v>
      </c>
      <c r="N21" s="27">
        <f>Лист1!AP15</f>
        <v>305.68608</v>
      </c>
      <c r="O21" s="26">
        <f>Лист1!AS15</f>
        <v>4761.866926000001</v>
      </c>
      <c r="P21" s="119">
        <f>Лист1!AT15</f>
        <v>491.15556</v>
      </c>
      <c r="Q21" s="63">
        <f>Лист1!AU15</f>
        <v>3971.6050539999987</v>
      </c>
      <c r="R21" s="63">
        <f>Лист1!AV15</f>
        <v>540.3800000000001</v>
      </c>
      <c r="S21" s="1"/>
      <c r="T21" s="1"/>
    </row>
    <row r="22" spans="1:20" s="18" customFormat="1" ht="13.5" thickBot="1">
      <c r="A22" s="30" t="s">
        <v>5</v>
      </c>
      <c r="B22" s="31"/>
      <c r="C22" s="32">
        <f aca="true" t="shared" si="1" ref="C22:O22">SUM(C15:C21)</f>
        <v>53576.456500000015</v>
      </c>
      <c r="D22" s="58">
        <f t="shared" si="1"/>
        <v>18028.907500000005</v>
      </c>
      <c r="E22" s="32">
        <f t="shared" si="1"/>
        <v>29749.760000000002</v>
      </c>
      <c r="F22" s="59">
        <f t="shared" si="1"/>
        <v>5797.790000000001</v>
      </c>
      <c r="G22" s="58">
        <f t="shared" si="1"/>
        <v>25281.86</v>
      </c>
      <c r="H22" s="59">
        <f>SUM(H15:H21)</f>
        <v>49108.55750000001</v>
      </c>
      <c r="I22" s="59">
        <f>SUM(I15:I21)</f>
        <v>3091.40412</v>
      </c>
      <c r="J22" s="58">
        <f t="shared" si="1"/>
        <v>3716.2860000000005</v>
      </c>
      <c r="K22" s="58">
        <f t="shared" si="1"/>
        <v>6170.5849608312</v>
      </c>
      <c r="L22" s="58">
        <f t="shared" si="1"/>
        <v>21153.24958639636</v>
      </c>
      <c r="M22" s="58">
        <f t="shared" si="1"/>
        <v>998.5396000000001</v>
      </c>
      <c r="N22" s="58">
        <f t="shared" si="1"/>
        <v>1505.83104</v>
      </c>
      <c r="O22" s="58">
        <f t="shared" si="1"/>
        <v>33544.49118722756</v>
      </c>
      <c r="P22" s="58">
        <f>SUM(P15:P21)</f>
        <v>1473.46668</v>
      </c>
      <c r="Q22" s="58">
        <f>SUM(Q15:Q21)</f>
        <v>17182.00375277244</v>
      </c>
      <c r="R22" s="58">
        <f>SUM(R15:R21)</f>
        <v>-4467.899999999999</v>
      </c>
      <c r="S22" s="61"/>
      <c r="T22" s="61"/>
    </row>
    <row r="23" spans="1:20" ht="13.5" thickBot="1">
      <c r="A23" s="203" t="s">
        <v>57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64"/>
      <c r="S23" s="1"/>
      <c r="T23" s="1"/>
    </row>
    <row r="24" spans="1:20" s="18" customFormat="1" ht="13.5" thickBot="1">
      <c r="A24" s="65" t="s">
        <v>42</v>
      </c>
      <c r="B24" s="33"/>
      <c r="C24" s="34">
        <f>C22</f>
        <v>53576.456500000015</v>
      </c>
      <c r="D24" s="34">
        <f aca="true" t="shared" si="2" ref="D24:R24">D22</f>
        <v>18028.907500000005</v>
      </c>
      <c r="E24" s="34">
        <f t="shared" si="2"/>
        <v>29749.760000000002</v>
      </c>
      <c r="F24" s="34">
        <f t="shared" si="2"/>
        <v>5797.790000000001</v>
      </c>
      <c r="G24" s="34">
        <f t="shared" si="2"/>
        <v>25281.86</v>
      </c>
      <c r="H24" s="34">
        <f>H22</f>
        <v>49108.55750000001</v>
      </c>
      <c r="I24" s="34">
        <f>I22</f>
        <v>3091.40412</v>
      </c>
      <c r="J24" s="34">
        <f t="shared" si="2"/>
        <v>3716.2860000000005</v>
      </c>
      <c r="K24" s="34">
        <f t="shared" si="2"/>
        <v>6170.5849608312</v>
      </c>
      <c r="L24" s="34">
        <f t="shared" si="2"/>
        <v>21153.24958639636</v>
      </c>
      <c r="M24" s="34">
        <f t="shared" si="2"/>
        <v>998.5396000000001</v>
      </c>
      <c r="N24" s="34">
        <f t="shared" si="2"/>
        <v>1505.83104</v>
      </c>
      <c r="O24" s="34">
        <f t="shared" si="2"/>
        <v>33544.49118722756</v>
      </c>
      <c r="P24" s="34">
        <f t="shared" si="2"/>
        <v>1473.46668</v>
      </c>
      <c r="Q24" s="34">
        <f t="shared" si="2"/>
        <v>17182.00375277244</v>
      </c>
      <c r="R24" s="34">
        <f t="shared" si="2"/>
        <v>-4467.899999999999</v>
      </c>
      <c r="S24" s="62"/>
      <c r="T24" s="61"/>
    </row>
    <row r="25" spans="1:20" ht="12.75">
      <c r="A25" s="6" t="s">
        <v>84</v>
      </c>
      <c r="B25" s="35"/>
      <c r="C25" s="36"/>
      <c r="D25" s="37"/>
      <c r="E25" s="38"/>
      <c r="F25" s="40"/>
      <c r="G25" s="39"/>
      <c r="H25" s="40"/>
      <c r="I25" s="120"/>
      <c r="J25" s="39"/>
      <c r="K25" s="12"/>
      <c r="L25" s="12"/>
      <c r="M25" s="27"/>
      <c r="N25" s="60"/>
      <c r="O25" s="26"/>
      <c r="P25" s="119"/>
      <c r="Q25" s="63"/>
      <c r="R25" s="63"/>
      <c r="S25" s="1"/>
      <c r="T25" s="1"/>
    </row>
    <row r="26" spans="1:18" ht="12.75">
      <c r="A26" s="2" t="s">
        <v>79</v>
      </c>
      <c r="B26" s="67">
        <f>Лист1!B20</f>
        <v>884.83</v>
      </c>
      <c r="C26" s="29">
        <f aca="true" t="shared" si="3" ref="C26:C36">B26*8.65</f>
        <v>7653.779500000001</v>
      </c>
      <c r="D26" s="24">
        <f>Лист1!D20</f>
        <v>2586.4095</v>
      </c>
      <c r="E26" s="12">
        <f>Лист1!O20</f>
        <v>4237.15</v>
      </c>
      <c r="F26" s="26">
        <f>Лист1!P20</f>
        <v>830.22</v>
      </c>
      <c r="G26" s="25">
        <f>Лист1!V20</f>
        <v>4468.79</v>
      </c>
      <c r="H26" s="26">
        <f>Лист1!W20</f>
        <v>7885.4195</v>
      </c>
      <c r="I26" s="121">
        <f>Лист1!X20</f>
        <v>1711.58764</v>
      </c>
      <c r="J26" s="25">
        <f>Лист1!Y20</f>
        <v>530.898</v>
      </c>
      <c r="K26" s="12">
        <f>Лист1!AA20+Лист1!AB20</f>
        <v>884.83</v>
      </c>
      <c r="L26" s="12">
        <f>Лист1!Z20+Лист1!AC20+Лист1!AD20+Лист1!AE20+Лист1!AF20+Лист1!AG20+Лист1!AH20+Лист1!AI20+Лист1!AJ20</f>
        <v>3034.9669000000004</v>
      </c>
      <c r="M26" s="27">
        <f>Лист1!AK20+Лист1!AL20+Лист1!AM20+Лист1!AQ20+Лист1!AR20</f>
        <v>0</v>
      </c>
      <c r="N26" s="27">
        <f>Лист1!AP20</f>
        <v>320.03999999999996</v>
      </c>
      <c r="O26" s="26">
        <f>Лист1!AS20</f>
        <v>4770.7349</v>
      </c>
      <c r="P26" s="119">
        <f>Лист1!AT20</f>
        <v>814.834</v>
      </c>
      <c r="Q26" s="63">
        <f>Лист1!AU20</f>
        <v>4011.4382399999995</v>
      </c>
      <c r="R26" s="63">
        <f>Лист1!AV20</f>
        <v>231.64000000000033</v>
      </c>
    </row>
    <row r="27" spans="1:18" ht="12.75">
      <c r="A27" s="2" t="s">
        <v>80</v>
      </c>
      <c r="B27" s="67">
        <f>Лист1!B21</f>
        <v>884.83</v>
      </c>
      <c r="C27" s="29">
        <f t="shared" si="3"/>
        <v>7653.779500000001</v>
      </c>
      <c r="D27" s="24">
        <f>Лист1!D21</f>
        <v>2586.4095</v>
      </c>
      <c r="E27" s="12">
        <f>Лист1!O21</f>
        <v>4237.15</v>
      </c>
      <c r="F27" s="26">
        <f>Лист1!P21</f>
        <v>830.22</v>
      </c>
      <c r="G27" s="25">
        <f>Лист1!V21</f>
        <v>6399.26</v>
      </c>
      <c r="H27" s="26">
        <f>Лист1!W21</f>
        <v>9815.889500000001</v>
      </c>
      <c r="I27" s="121">
        <f>Лист1!X21</f>
        <v>1711.58764</v>
      </c>
      <c r="J27" s="25">
        <f>Лист1!Y21</f>
        <v>530.898</v>
      </c>
      <c r="K27" s="12">
        <f>Лист1!AA21+Лист1!AB21</f>
        <v>884.83</v>
      </c>
      <c r="L27" s="12">
        <f>Лист1!Z21+Лист1!AC21+Лист1!AD21+Лист1!AE21+Лист1!AF21+Лист1!AG21+Лист1!AH21+Лист1!AI21+Лист1!AJ21</f>
        <v>3034.9669000000004</v>
      </c>
      <c r="M27" s="27">
        <f>Лист1!AK21+Лист1!AL21+Лист1!AM21+Лист1!AQ21+Лист1!AR21</f>
        <v>2750.35</v>
      </c>
      <c r="N27" s="27">
        <f>Лист1!AP21</f>
        <v>256.40999999999997</v>
      </c>
      <c r="O27" s="26">
        <f>Лист1!AS21</f>
        <v>7457.454900000001</v>
      </c>
      <c r="P27" s="119">
        <f>Лист1!AT21</f>
        <v>814.834</v>
      </c>
      <c r="Q27" s="63">
        <f>Лист1!AU21</f>
        <v>3255.1882400000004</v>
      </c>
      <c r="R27" s="63">
        <f>Лист1!AV21</f>
        <v>2162.1100000000006</v>
      </c>
    </row>
    <row r="28" spans="1:18" ht="12.75">
      <c r="A28" s="2" t="s">
        <v>81</v>
      </c>
      <c r="B28" s="67">
        <f>Лист1!B22</f>
        <v>884.83</v>
      </c>
      <c r="C28" s="29">
        <f t="shared" si="3"/>
        <v>7653.779500000001</v>
      </c>
      <c r="D28" s="24">
        <f>Лист1!D22</f>
        <v>2592.5094999999997</v>
      </c>
      <c r="E28" s="12">
        <f>Лист1!O22</f>
        <v>4231.049999999999</v>
      </c>
      <c r="F28" s="26">
        <f>Лист1!P22</f>
        <v>830.22</v>
      </c>
      <c r="G28" s="25">
        <f>Лист1!V22</f>
        <v>2099.27</v>
      </c>
      <c r="H28" s="26">
        <f>Лист1!W22</f>
        <v>5521.9995</v>
      </c>
      <c r="I28" s="121">
        <f>Лист1!X22</f>
        <v>1711.58764</v>
      </c>
      <c r="J28" s="25">
        <f>Лист1!Y22</f>
        <v>530.898</v>
      </c>
      <c r="K28" s="12">
        <f>Лист1!AA22+Лист1!AB22</f>
        <v>884.83</v>
      </c>
      <c r="L28" s="12">
        <f>Лист1!Z22+Лист1!AC22+Лист1!AD22+Лист1!AE22+Лист1!AF22+Лист1!AG22+Лист1!AH22+Лист1!AI22+Лист1!AJ22</f>
        <v>3034.9669000000004</v>
      </c>
      <c r="M28" s="27">
        <f>Лист1!AK22+Лист1!AL22+Лист1!AM22+Лист1!AQ22+Лист1!AR22</f>
        <v>800</v>
      </c>
      <c r="N28" s="27">
        <f>Лист1!AP22</f>
        <v>241.28999999999996</v>
      </c>
      <c r="O28" s="26">
        <f>Лист1!AS22</f>
        <v>5491.9849</v>
      </c>
      <c r="P28" s="119">
        <f>Лист1!AT22</f>
        <v>814.834</v>
      </c>
      <c r="Q28" s="63">
        <f>Лист1!AU22</f>
        <v>926.7682399999993</v>
      </c>
      <c r="R28" s="63">
        <f>Лист1!AV22</f>
        <v>-2131.7799999999993</v>
      </c>
    </row>
    <row r="29" spans="1:18" ht="12.75">
      <c r="A29" s="1" t="s">
        <v>82</v>
      </c>
      <c r="B29" s="67">
        <f>Лист1!B23</f>
        <v>885.23</v>
      </c>
      <c r="C29" s="29">
        <f t="shared" si="3"/>
        <v>7657.239500000001</v>
      </c>
      <c r="D29" s="24">
        <f>Лист1!D23</f>
        <v>2595.9795</v>
      </c>
      <c r="E29" s="12">
        <f>Лист1!O23</f>
        <v>4231.04</v>
      </c>
      <c r="F29" s="26">
        <f>Лист1!P23</f>
        <v>830.22</v>
      </c>
      <c r="G29" s="25">
        <f>Лист1!V23</f>
        <v>1585.37</v>
      </c>
      <c r="H29" s="26">
        <f>Лист1!W23</f>
        <v>5011.5695</v>
      </c>
      <c r="I29" s="121">
        <f>Лист1!X23</f>
        <v>1711.58764</v>
      </c>
      <c r="J29" s="25">
        <f>Лист1!Y23</f>
        <v>531.138</v>
      </c>
      <c r="K29" s="12">
        <f>Лист1!AA23+Лист1!AB23</f>
        <v>884.83</v>
      </c>
      <c r="L29" s="12">
        <f>Лист1!Z23+Лист1!AC23+Лист1!AD23+Лист1!AE23+Лист1!AF23+Лист1!AG23+Лист1!AH23+Лист1!AI23+Лист1!AJ23</f>
        <v>3035.0469000000003</v>
      </c>
      <c r="M29" s="27">
        <f>Лист1!AK23+Лист1!AL23+Лист1!AM23+Лист1!AQ23+Лист1!AR23</f>
        <v>0</v>
      </c>
      <c r="N29" s="27">
        <f>Лист1!AP23</f>
        <v>193.41</v>
      </c>
      <c r="O29" s="26">
        <f>Лист1!AS23</f>
        <v>4644.4249</v>
      </c>
      <c r="P29" s="119">
        <f>Лист1!AT23</f>
        <v>814.834</v>
      </c>
      <c r="Q29" s="63">
        <f>Лист1!AU23</f>
        <v>1263.8982399999995</v>
      </c>
      <c r="R29" s="63">
        <f>Лист1!AV23</f>
        <v>-2645.67</v>
      </c>
    </row>
    <row r="30" spans="1:18" ht="12.75">
      <c r="A30" s="1" t="s">
        <v>83</v>
      </c>
      <c r="B30" s="67">
        <f>Лист1!B24</f>
        <v>883.63</v>
      </c>
      <c r="C30" s="29">
        <f t="shared" si="3"/>
        <v>7643.3995</v>
      </c>
      <c r="D30" s="24">
        <f>Лист1!D24</f>
        <v>2590.4395</v>
      </c>
      <c r="E30" s="12">
        <f>Лист1!O24</f>
        <v>4222.740000000001</v>
      </c>
      <c r="F30" s="26">
        <f>Лист1!P24</f>
        <v>830.22</v>
      </c>
      <c r="G30" s="25">
        <f>Лист1!V24</f>
        <v>4700.9</v>
      </c>
      <c r="H30" s="26">
        <f>Лист1!W24</f>
        <v>8121.559499999999</v>
      </c>
      <c r="I30" s="121">
        <f>Лист1!X24</f>
        <v>1711.58764</v>
      </c>
      <c r="J30" s="25">
        <f>Лист1!Y24</f>
        <v>530.178</v>
      </c>
      <c r="K30" s="12">
        <f>Лист1!AA24+Лист1!AB24</f>
        <v>883.63</v>
      </c>
      <c r="L30" s="12">
        <f>Лист1!Z24+Лист1!AC24+Лист1!AD24+Лист1!AE24+Лист1!AF24+Лист1!AG24+Лист1!AH24+Лист1!AI24+Лист1!AJ24</f>
        <v>3030.8509</v>
      </c>
      <c r="M30" s="27">
        <f>Лист1!AK24+Лист1!AL24+Лист1!AM24+Лист1!AQ24+Лист1!AR24</f>
        <v>0</v>
      </c>
      <c r="N30" s="27">
        <f>Лист1!AP24</f>
        <v>165.69</v>
      </c>
      <c r="O30" s="26">
        <f>Лист1!AS24</f>
        <v>4610.3489</v>
      </c>
      <c r="P30" s="119">
        <f>Лист1!AT24</f>
        <v>814.834</v>
      </c>
      <c r="Q30" s="63">
        <f>Лист1!AU24</f>
        <v>4407.964239999999</v>
      </c>
      <c r="R30" s="63">
        <f>Лист1!AV24</f>
        <v>478.15999999999894</v>
      </c>
    </row>
    <row r="31" spans="1:20" ht="12.75">
      <c r="A31" s="9" t="s">
        <v>38</v>
      </c>
      <c r="B31" s="67">
        <f>Лист1!B25</f>
        <v>883.63</v>
      </c>
      <c r="C31" s="29">
        <f t="shared" si="3"/>
        <v>7643.3995</v>
      </c>
      <c r="D31" s="24">
        <f>Лист1!D25</f>
        <v>2075.4634368750008</v>
      </c>
      <c r="E31" s="12">
        <f>Лист1!O25</f>
        <v>4222.91</v>
      </c>
      <c r="F31" s="26">
        <f>Лист1!P25</f>
        <v>830.22</v>
      </c>
      <c r="G31" s="25">
        <f>Лист1!V25</f>
        <v>2673.7</v>
      </c>
      <c r="H31" s="26">
        <f>Лист1!W25</f>
        <v>5579.383436875</v>
      </c>
      <c r="I31" s="121">
        <f>Лист1!X25</f>
        <v>1711.58764</v>
      </c>
      <c r="J31" s="25">
        <f>Лист1!Y25</f>
        <v>530.178</v>
      </c>
      <c r="K31" s="12">
        <f>Лист1!AA25+Лист1!AB25</f>
        <v>883.63</v>
      </c>
      <c r="L31" s="12">
        <f>Лист1!Z25+Лист1!AC25+Лист1!AD25+Лист1!AE25+Лист1!AF25+Лист1!AG25+Лист1!AH25+Лист1!AI25+Лист1!AJ25</f>
        <v>3030.8509</v>
      </c>
      <c r="M31" s="27">
        <f>Лист1!AK25+Лист1!AL25+Лист1!AM25+Лист1!AQ25+Лист1!AR25</f>
        <v>0</v>
      </c>
      <c r="N31" s="27">
        <f>Лист1!AP25</f>
        <v>146.79</v>
      </c>
      <c r="O31" s="26">
        <f>Лист1!AS25</f>
        <v>4591.4489</v>
      </c>
      <c r="P31" s="119">
        <f>Лист1!AT25</f>
        <v>814.834</v>
      </c>
      <c r="Q31" s="63">
        <f>Лист1!AU25</f>
        <v>1884.688176875</v>
      </c>
      <c r="R31" s="63">
        <f>Лист1!AV25</f>
        <v>-1549.21</v>
      </c>
      <c r="S31" s="1"/>
      <c r="T31" s="1"/>
    </row>
    <row r="32" spans="1:20" ht="12.75">
      <c r="A32" s="9" t="s">
        <v>39</v>
      </c>
      <c r="B32" s="67">
        <f>Лист1!B26</f>
        <v>883.63</v>
      </c>
      <c r="C32" s="29">
        <f t="shared" si="3"/>
        <v>7643.3995</v>
      </c>
      <c r="D32" s="24">
        <f>Лист1!D26</f>
        <v>2091.6552697425</v>
      </c>
      <c r="E32" s="12">
        <f>Лист1!O26</f>
        <v>5048.02</v>
      </c>
      <c r="F32" s="26">
        <f>Лист1!P26</f>
        <v>0</v>
      </c>
      <c r="G32" s="25">
        <f>Лист1!V26</f>
        <v>2235.45</v>
      </c>
      <c r="H32" s="26">
        <f>Лист1!W26</f>
        <v>4327.1052697425</v>
      </c>
      <c r="I32" s="121">
        <f>Лист1!X26</f>
        <v>1711.58764</v>
      </c>
      <c r="J32" s="25">
        <f>Лист1!Y26</f>
        <v>530.178</v>
      </c>
      <c r="K32" s="12">
        <f>Лист1!AA26+Лист1!AB26</f>
        <v>883.63</v>
      </c>
      <c r="L32" s="12">
        <f>Лист1!Z26+Лист1!AC26+Лист1!AD26+Лист1!AE26+Лист1!AF26+Лист1!AG26+Лист1!AH26+Лист1!AI26+Лист1!AJ26</f>
        <v>3030.8509</v>
      </c>
      <c r="M32" s="27">
        <f>Лист1!AK26+Лист1!AL26+Лист1!AM26+Лист1!AQ26+Лист1!AR26</f>
        <v>0</v>
      </c>
      <c r="N32" s="27">
        <f>Лист1!AP26</f>
        <v>156.24</v>
      </c>
      <c r="O32" s="26">
        <f>Лист1!AS26</f>
        <v>4600.8989</v>
      </c>
      <c r="P32" s="119">
        <f>Лист1!AT26</f>
        <v>814.834</v>
      </c>
      <c r="Q32" s="63">
        <f>Лист1!AU26</f>
        <v>622.9600097424999</v>
      </c>
      <c r="R32" s="63">
        <f>Лист1!AV26</f>
        <v>-2812.5700000000006</v>
      </c>
      <c r="S32" s="1"/>
      <c r="T32" s="1"/>
    </row>
    <row r="33" spans="1:20" ht="12.75">
      <c r="A33" s="9" t="s">
        <v>40</v>
      </c>
      <c r="B33" s="67">
        <f>Лист1!B27</f>
        <v>883.63</v>
      </c>
      <c r="C33" s="29">
        <f t="shared" si="3"/>
        <v>7643.3995</v>
      </c>
      <c r="D33" s="24">
        <f>Лист1!D27</f>
        <v>2226.1011186015</v>
      </c>
      <c r="E33" s="12">
        <f>Лист1!O27</f>
        <v>5048.02</v>
      </c>
      <c r="F33" s="26">
        <f>Лист1!P27</f>
        <v>0</v>
      </c>
      <c r="G33" s="25">
        <f>Лист1!V27</f>
        <v>2621.3500000000004</v>
      </c>
      <c r="H33" s="26">
        <f>Лист1!W27</f>
        <v>4847.451118601501</v>
      </c>
      <c r="I33" s="121">
        <f>Лист1!X27</f>
        <v>1711.58764</v>
      </c>
      <c r="J33" s="25">
        <f>Лист1!Y27</f>
        <v>530.178</v>
      </c>
      <c r="K33" s="12">
        <f>Лист1!AA27+Лист1!AB27</f>
        <v>883.63</v>
      </c>
      <c r="L33" s="12">
        <f>Лист1!Z27+Лист1!AC27+Лист1!AD27+Лист1!AE27+Лист1!AF27+Лист1!AG27+Лист1!AH27+Лист1!AI27+Лист1!AJ27</f>
        <v>3030.8509</v>
      </c>
      <c r="M33" s="27">
        <f>Лист1!AK27+Лист1!AL27+Лист1!AM27+Лист1!AQ27+Лист1!AR27</f>
        <v>56.403999999999996</v>
      </c>
      <c r="N33" s="27">
        <f>Лист1!AP27</f>
        <v>184.58999999999997</v>
      </c>
      <c r="O33" s="26">
        <f>Лист1!AS27</f>
        <v>4685.652900000001</v>
      </c>
      <c r="P33" s="119">
        <f>Лист1!AT27</f>
        <v>814.834</v>
      </c>
      <c r="Q33" s="63">
        <f>Лист1!AU27</f>
        <v>1058.5518586014996</v>
      </c>
      <c r="R33" s="63">
        <f>Лист1!AV27</f>
        <v>-2426.67</v>
      </c>
      <c r="S33" s="1"/>
      <c r="T33" s="1"/>
    </row>
    <row r="34" spans="1:20" ht="12.75">
      <c r="A34" s="9" t="s">
        <v>41</v>
      </c>
      <c r="B34" s="67">
        <f>Лист1!B28</f>
        <v>883.63</v>
      </c>
      <c r="C34" s="29">
        <f t="shared" si="3"/>
        <v>7643.3995</v>
      </c>
      <c r="D34" s="24">
        <f>Лист1!D28</f>
        <v>2272.332613635</v>
      </c>
      <c r="E34" s="12">
        <f>Лист1!O28</f>
        <v>5048.02</v>
      </c>
      <c r="F34" s="26">
        <f>Лист1!P28</f>
        <v>0</v>
      </c>
      <c r="G34" s="25">
        <f>Лист1!V28</f>
        <v>4785.98</v>
      </c>
      <c r="H34" s="26">
        <f>Лист1!W28</f>
        <v>7058.312613635</v>
      </c>
      <c r="I34" s="121">
        <f>Лист1!X28</f>
        <v>1711.58764</v>
      </c>
      <c r="J34" s="25">
        <f>Лист1!Y28</f>
        <v>530.178</v>
      </c>
      <c r="K34" s="12">
        <f>Лист1!AA28+Лист1!AB28</f>
        <v>883.63</v>
      </c>
      <c r="L34" s="12">
        <f>Лист1!Z28+Лист1!AC28+Лист1!AD28+Лист1!AE28+Лист1!AF28+Лист1!AG28+Лист1!AH28+Лист1!AI28+Лист1!AJ28</f>
        <v>3030.8509</v>
      </c>
      <c r="M34" s="27">
        <f>Лист1!AK28+Лист1!AL28+Лист1!AM28+Лист1!AQ28+Лист1!AR28</f>
        <v>0</v>
      </c>
      <c r="N34" s="27">
        <f>Лист1!AP28</f>
        <v>219.87</v>
      </c>
      <c r="O34" s="26">
        <f>Лист1!AS28</f>
        <v>4664.5289</v>
      </c>
      <c r="P34" s="119">
        <f>Лист1!AT28</f>
        <v>814.834</v>
      </c>
      <c r="Q34" s="63">
        <f>Лист1!AU28</f>
        <v>3290.537353635</v>
      </c>
      <c r="R34" s="63">
        <f>Лист1!AV28</f>
        <v>-262.0400000000009</v>
      </c>
      <c r="S34" s="1"/>
      <c r="T34" s="1"/>
    </row>
    <row r="35" spans="1:20" ht="12.75">
      <c r="A35" s="9" t="s">
        <v>34</v>
      </c>
      <c r="B35" s="67">
        <f>Лист1!B29</f>
        <v>883.63</v>
      </c>
      <c r="C35" s="29">
        <f t="shared" si="3"/>
        <v>7643.3995</v>
      </c>
      <c r="D35" s="24">
        <f>Лист1!D29</f>
        <v>2105.6521513860002</v>
      </c>
      <c r="E35" s="12">
        <f>Лист1!O29</f>
        <v>5048.02</v>
      </c>
      <c r="F35" s="26">
        <f>Лист1!P29</f>
        <v>0</v>
      </c>
      <c r="G35" s="25">
        <f>Лист1!V29</f>
        <v>5016.76</v>
      </c>
      <c r="H35" s="26">
        <f>Лист1!W29</f>
        <v>7122.412151386001</v>
      </c>
      <c r="I35" s="121">
        <f>Лист1!X29</f>
        <v>1711.58764</v>
      </c>
      <c r="J35" s="25">
        <f>Лист1!Y29</f>
        <v>530.178</v>
      </c>
      <c r="K35" s="12">
        <f>Лист1!AA29+Лист1!AB29</f>
        <v>883.63</v>
      </c>
      <c r="L35" s="12">
        <f>Лист1!Z29+Лист1!AC29+Лист1!AD29+Лист1!AE29+Лист1!AF29+Лист1!AG29+Лист1!AH29+Лист1!AI29+Лист1!AJ29</f>
        <v>3030.8509</v>
      </c>
      <c r="M35" s="27">
        <f>Лист1!AK29+Лист1!AL29+Лист1!AM29+Лист1!AQ29+Лист1!AR29</f>
        <v>0</v>
      </c>
      <c r="N35" s="27">
        <f>Лист1!AP29</f>
        <v>267.75</v>
      </c>
      <c r="O35" s="26">
        <f>Лист1!AS29</f>
        <v>4712.4089</v>
      </c>
      <c r="P35" s="119">
        <f>Лист1!AT29</f>
        <v>814.834</v>
      </c>
      <c r="Q35" s="63">
        <f>Лист1!AU29</f>
        <v>3306.7568913860005</v>
      </c>
      <c r="R35" s="63">
        <f>Лист1!AV29</f>
        <v>-31.26000000000022</v>
      </c>
      <c r="S35" s="1"/>
      <c r="T35" s="1"/>
    </row>
    <row r="36" spans="1:20" ht="12.75">
      <c r="A36" s="9" t="s">
        <v>35</v>
      </c>
      <c r="B36" s="67">
        <f>Лист1!B30</f>
        <v>883.63</v>
      </c>
      <c r="C36" s="29">
        <f t="shared" si="3"/>
        <v>7643.3995</v>
      </c>
      <c r="D36" s="24">
        <f>Лист1!D30</f>
        <v>2249.0853167205</v>
      </c>
      <c r="E36" s="12">
        <f>Лист1!O30</f>
        <v>5060.26</v>
      </c>
      <c r="F36" s="26">
        <f>Лист1!P30</f>
        <v>0</v>
      </c>
      <c r="G36" s="25">
        <f>Лист1!V30</f>
        <v>3036.17</v>
      </c>
      <c r="H36" s="26">
        <f>Лист1!W30</f>
        <v>5285.255316720501</v>
      </c>
      <c r="I36" s="121">
        <f>Лист1!X30</f>
        <v>1711.58764</v>
      </c>
      <c r="J36" s="25">
        <f>Лист1!Y30</f>
        <v>530.178</v>
      </c>
      <c r="K36" s="12">
        <f>Лист1!AA30+Лист1!AB30</f>
        <v>883.63</v>
      </c>
      <c r="L36" s="12">
        <f>Лист1!Z30+Лист1!AC30+Лист1!AD30+Лист1!AE30+Лист1!AF30+Лист1!AG30+Лист1!AH30+Лист1!AI30+Лист1!AJ30</f>
        <v>3030.8509</v>
      </c>
      <c r="M36" s="27">
        <f>Лист1!AK30+Лист1!AL30+Лист1!AM30+Лист1!AQ30+Лист1!AR30</f>
        <v>0</v>
      </c>
      <c r="N36" s="27">
        <f>Лист1!AP30</f>
        <v>296.09999999999997</v>
      </c>
      <c r="O36" s="26">
        <f>Лист1!AS30</f>
        <v>4740.758900000001</v>
      </c>
      <c r="P36" s="119">
        <f>Лист1!AT30</f>
        <v>814.834</v>
      </c>
      <c r="Q36" s="63">
        <f>Лист1!AU30</f>
        <v>1441.2500567204997</v>
      </c>
      <c r="R36" s="63">
        <f>Лист1!AV30</f>
        <v>-2024.0900000000001</v>
      </c>
      <c r="S36" s="1"/>
      <c r="T36" s="1"/>
    </row>
    <row r="37" spans="1:20" ht="13.5" thickBot="1">
      <c r="A37" s="28" t="s">
        <v>36</v>
      </c>
      <c r="B37" s="67">
        <f>Лист1!B31</f>
        <v>883.63</v>
      </c>
      <c r="C37" s="29">
        <f>B37*8.65</f>
        <v>7643.3995</v>
      </c>
      <c r="D37" s="24">
        <f>Лист1!D31</f>
        <v>2385.86753772</v>
      </c>
      <c r="E37" s="12">
        <f>Лист1!O31</f>
        <v>5035.78</v>
      </c>
      <c r="F37" s="26">
        <f>Лист1!P31</f>
        <v>0</v>
      </c>
      <c r="G37" s="25">
        <f>Лист1!V31</f>
        <v>5975.949999999999</v>
      </c>
      <c r="H37" s="26">
        <f>Лист1!W31</f>
        <v>8361.817537719999</v>
      </c>
      <c r="I37" s="121">
        <f>Лист1!X31</f>
        <v>1711.58764</v>
      </c>
      <c r="J37" s="25">
        <f>Лист1!Y31</f>
        <v>530.178</v>
      </c>
      <c r="K37" s="12">
        <f>Лист1!AA31+Лист1!AB31</f>
        <v>883.63</v>
      </c>
      <c r="L37" s="12">
        <f>Лист1!Z31+Лист1!AC31+Лист1!AD31+Лист1!AE31+Лист1!AF31+Лист1!AG31+Лист1!AH31+Лист1!AI31+Лист1!AJ31</f>
        <v>3030.8509</v>
      </c>
      <c r="M37" s="27">
        <f>Лист1!AK31+Лист1!AL31+Лист1!AM31+Лист1!AQ31+Лист1!AR31</f>
        <v>256</v>
      </c>
      <c r="N37" s="27">
        <f>Лист1!AP31</f>
        <v>323.82</v>
      </c>
      <c r="O37" s="26">
        <f>Лист1!AS31</f>
        <v>5024.4789</v>
      </c>
      <c r="P37" s="119">
        <f>Лист1!AT31</f>
        <v>814.834</v>
      </c>
      <c r="Q37" s="63">
        <f>Лист1!AU31</f>
        <v>4234.0922777199985</v>
      </c>
      <c r="R37" s="63">
        <f>Лист1!AV31</f>
        <v>940.1699999999992</v>
      </c>
      <c r="S37" s="1"/>
      <c r="T37" s="1"/>
    </row>
    <row r="38" spans="1:20" s="18" customFormat="1" ht="13.5" thickBot="1">
      <c r="A38" s="30" t="s">
        <v>5</v>
      </c>
      <c r="B38" s="31"/>
      <c r="C38" s="58">
        <f aca="true" t="shared" si="4" ref="C38:Q38">SUM(C26:C37)</f>
        <v>91765.774</v>
      </c>
      <c r="D38" s="58">
        <f t="shared" si="4"/>
        <v>28357.9049446805</v>
      </c>
      <c r="E38" s="58">
        <f t="shared" si="4"/>
        <v>55670.16000000001</v>
      </c>
      <c r="F38" s="58">
        <f t="shared" si="4"/>
        <v>4981.320000000001</v>
      </c>
      <c r="G38" s="58">
        <f t="shared" si="4"/>
        <v>45598.94999999999</v>
      </c>
      <c r="H38" s="58">
        <f t="shared" si="4"/>
        <v>78938.1749446805</v>
      </c>
      <c r="I38" s="58">
        <f t="shared" si="4"/>
        <v>20539.051680000004</v>
      </c>
      <c r="J38" s="58">
        <f t="shared" si="4"/>
        <v>6365.255999999999</v>
      </c>
      <c r="K38" s="58">
        <f t="shared" si="4"/>
        <v>10608.359999999999</v>
      </c>
      <c r="L38" s="58">
        <f t="shared" si="4"/>
        <v>36386.7548</v>
      </c>
      <c r="M38" s="58">
        <f t="shared" si="4"/>
        <v>3862.754</v>
      </c>
      <c r="N38" s="58">
        <f t="shared" si="4"/>
        <v>2772</v>
      </c>
      <c r="O38" s="58">
        <f t="shared" si="4"/>
        <v>59995.124800000005</v>
      </c>
      <c r="P38" s="58">
        <f t="shared" si="4"/>
        <v>9778.008</v>
      </c>
      <c r="Q38" s="58">
        <f t="shared" si="4"/>
        <v>29704.093824680498</v>
      </c>
      <c r="R38" s="58">
        <f>SUM(R26:R37)</f>
        <v>-10071.210000000003</v>
      </c>
      <c r="S38" s="61"/>
      <c r="T38" s="61"/>
    </row>
    <row r="39" spans="1:20" ht="13.5" thickBot="1">
      <c r="A39" s="203" t="s">
        <v>57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64"/>
      <c r="S39" s="1"/>
      <c r="T39" s="1"/>
    </row>
    <row r="40" spans="1:20" s="18" customFormat="1" ht="13.5" thickBot="1">
      <c r="A40" s="65" t="s">
        <v>42</v>
      </c>
      <c r="B40" s="33"/>
      <c r="C40" s="34">
        <f aca="true" t="shared" si="5" ref="C40:Q40">C38+C24</f>
        <v>145342.2305</v>
      </c>
      <c r="D40" s="34">
        <f t="shared" si="5"/>
        <v>46386.8124446805</v>
      </c>
      <c r="E40" s="34">
        <f t="shared" si="5"/>
        <v>85419.92000000001</v>
      </c>
      <c r="F40" s="34">
        <f t="shared" si="5"/>
        <v>10779.11</v>
      </c>
      <c r="G40" s="34">
        <f t="shared" si="5"/>
        <v>70880.81</v>
      </c>
      <c r="H40" s="34">
        <f t="shared" si="5"/>
        <v>128046.73244468051</v>
      </c>
      <c r="I40" s="34">
        <f t="shared" si="5"/>
        <v>23630.455800000003</v>
      </c>
      <c r="J40" s="34">
        <f t="shared" si="5"/>
        <v>10081.542</v>
      </c>
      <c r="K40" s="34">
        <f t="shared" si="5"/>
        <v>16778.9449608312</v>
      </c>
      <c r="L40" s="34">
        <f t="shared" si="5"/>
        <v>57540.004386396366</v>
      </c>
      <c r="M40" s="34">
        <f t="shared" si="5"/>
        <v>4861.2936</v>
      </c>
      <c r="N40" s="34">
        <f t="shared" si="5"/>
        <v>4277.83104</v>
      </c>
      <c r="O40" s="34">
        <f t="shared" si="5"/>
        <v>93539.61598722756</v>
      </c>
      <c r="P40" s="34">
        <f t="shared" si="5"/>
        <v>11251.47468</v>
      </c>
      <c r="Q40" s="34">
        <f t="shared" si="5"/>
        <v>46886.097577452936</v>
      </c>
      <c r="R40" s="34">
        <f>R38+R24</f>
        <v>-14539.11</v>
      </c>
      <c r="S40" s="62"/>
      <c r="T40" s="61"/>
    </row>
    <row r="48" spans="1:20" ht="12.75">
      <c r="A48" s="18" t="s">
        <v>75</v>
      </c>
      <c r="D48" s="68" t="s">
        <v>86</v>
      </c>
      <c r="S48" s="1"/>
      <c r="T48" s="1"/>
    </row>
    <row r="49" spans="1:20" ht="12.75">
      <c r="A49" s="19" t="s">
        <v>58</v>
      </c>
      <c r="B49" s="19" t="s">
        <v>59</v>
      </c>
      <c r="C49" s="207" t="s">
        <v>60</v>
      </c>
      <c r="D49" s="207"/>
      <c r="S49" s="1"/>
      <c r="T49" s="1"/>
    </row>
    <row r="50" spans="1:20" ht="12.75">
      <c r="A50" s="91">
        <v>60178.68</v>
      </c>
      <c r="B50" s="91">
        <v>36521.74</v>
      </c>
      <c r="C50" s="205">
        <f>A50-B50</f>
        <v>23656.940000000002</v>
      </c>
      <c r="D50" s="206"/>
      <c r="S50" s="1"/>
      <c r="T50" s="1"/>
    </row>
    <row r="51" spans="1:20" ht="12.75">
      <c r="A51" s="41"/>
      <c r="S51" s="1"/>
      <c r="T51" s="1"/>
    </row>
    <row r="52" spans="1:20" ht="12.75">
      <c r="A52" s="2" t="s">
        <v>63</v>
      </c>
      <c r="G52" s="2" t="s">
        <v>64</v>
      </c>
      <c r="S52" s="1"/>
      <c r="T52" s="1"/>
    </row>
    <row r="53" ht="12.75">
      <c r="A53" s="1"/>
    </row>
    <row r="54" ht="12.75">
      <c r="A54" s="1"/>
    </row>
    <row r="55" ht="12.75">
      <c r="A55" s="2" t="s">
        <v>74</v>
      </c>
    </row>
    <row r="56" ht="12.75">
      <c r="A56" s="2" t="s">
        <v>65</v>
      </c>
    </row>
  </sheetData>
  <sheetProtection/>
  <mergeCells count="29">
    <mergeCell ref="A39:Q39"/>
    <mergeCell ref="C50:D50"/>
    <mergeCell ref="O11:O12"/>
    <mergeCell ref="A23:Q23"/>
    <mergeCell ref="C49:D49"/>
    <mergeCell ref="Q9:Q12"/>
    <mergeCell ref="A9:A12"/>
    <mergeCell ref="B9:B12"/>
    <mergeCell ref="C9:C12"/>
    <mergeCell ref="D9:D12"/>
    <mergeCell ref="R9:R12"/>
    <mergeCell ref="E11:F11"/>
    <mergeCell ref="H11:H12"/>
    <mergeCell ref="J11:J12"/>
    <mergeCell ref="K11:K12"/>
    <mergeCell ref="L11:L12"/>
    <mergeCell ref="M11:M12"/>
    <mergeCell ref="N11:N12"/>
    <mergeCell ref="E9:F10"/>
    <mergeCell ref="G9:H10"/>
    <mergeCell ref="P9:P12"/>
    <mergeCell ref="I9:I12"/>
    <mergeCell ref="B1:H1"/>
    <mergeCell ref="B2:H2"/>
    <mergeCell ref="A8:D8"/>
    <mergeCell ref="E8:F8"/>
    <mergeCell ref="A5:Q5"/>
    <mergeCell ref="A6:G6"/>
    <mergeCell ref="J9:O10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2010-08-17T07:53:17Z</cp:lastPrinted>
  <dcterms:created xsi:type="dcterms:W3CDTF">2010-04-02T05:03:24Z</dcterms:created>
  <dcterms:modified xsi:type="dcterms:W3CDTF">2011-04-18T08:01:32Z</dcterms:modified>
  <cp:category/>
  <cp:version/>
  <cp:contentType/>
  <cp:contentStatus/>
</cp:coreProperties>
</file>