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<sst xmlns="http://schemas.openxmlformats.org/spreadsheetml/2006/main" count="152" uniqueCount="87">
  <si>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</si>
  <si>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</si>
  <si>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</si>
  <si>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</si>
  <si>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</si>
  <si>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</si>
  <si>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</si>
  <si>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</si>
  <si>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</si>
  <si>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</si>
  <si>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</si>
  <si>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</si>
  <si>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</si>
  <si>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</si>
  <si>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</si>
  <si>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</si>
  <si>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</si>
  <si>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</si>
  <si>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</si>
  <si>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</si>
  <si>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</si>
  <si>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</si>
  <si>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</si>
  <si>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</si>
  <si>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</si>
  <si>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</si>
  <si>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</si>
  <si>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</si>
  <si>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</si>
  <si>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</si>
  <si>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</si>
  <si>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</si>
  <si>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</si>
  <si>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</si>
  <si>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</si>
  <si>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</si>
  <si>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</si>
  <si>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</si>
  <si>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</si>
  <si>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</si>
  <si>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</si>
  <si>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</si>
  <si>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</si>
  <si>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</si>
  <si>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</si>
  <si>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</si>
  <si>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</si>
  <si>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</si>
  <si>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</si>
  <si>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</si>
  <si>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</si>
  <si>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</si>
  <si>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</si>
  <si>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</si>
  <si>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</si>
  <si>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</si>
  <si>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</si>
  <si>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</si>
  <si>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</si>
  <si>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</si>
  <si>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</si>
  <si>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</si>
  <si>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</si>
  <si>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</si>
  <si>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</si>
  <si>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</si>
  <si>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</si>
  <si>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</si>
  <si>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</si>
  <si>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</si>
  <si>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</si>
  <si>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</si>
  <si>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</si>
  <si>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</si>
  <si>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</si>
  <si>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</si>
  <si>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</si>
  <si>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</si>
  <si>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Капитальный ремонт</t>
  </si>
  <si>
    <t>Собрано за содержание и тек.рем.</t>
  </si>
  <si>
    <t>Выписка по лицевому счету по адресу г. Таштагол ул. Коммунистическая, д. 12</t>
  </si>
  <si>
    <t>Лицевой счет по адресу г. Таштагол, ул. Коммунистическая, д. 12</t>
  </si>
  <si>
    <t>2010 год</t>
  </si>
  <si>
    <t>январь</t>
  </si>
  <si>
    <t>февраль</t>
  </si>
  <si>
    <t>*по состоянию на 01.01.2011 г.</t>
  </si>
  <si>
    <t>за период с марта 2009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</si>
</sst>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0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39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7" fillId="34" borderId="41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33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H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23" sqref="AU23:AU3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69" t="s">
        <v>81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70" t="s">
        <v>0</v>
      </c>
      <c r="B3" s="173" t="s">
        <v>1</v>
      </c>
      <c r="C3" s="173" t="s">
        <v>2</v>
      </c>
      <c r="D3" s="173" t="s">
        <v>3</v>
      </c>
      <c r="E3" s="176" t="s">
        <v>4</v>
      </c>
      <c r="F3" s="176"/>
      <c r="G3" s="176"/>
      <c r="H3" s="176"/>
      <c r="I3" s="176"/>
      <c r="J3" s="176"/>
      <c r="K3" s="176"/>
      <c r="L3" s="176"/>
      <c r="M3" s="176"/>
      <c r="N3" s="176"/>
      <c r="O3" s="154" t="s">
        <v>5</v>
      </c>
      <c r="P3" s="154"/>
      <c r="Q3" s="156" t="s">
        <v>6</v>
      </c>
      <c r="R3" s="156"/>
      <c r="S3" s="156"/>
      <c r="T3" s="156"/>
      <c r="U3" s="156"/>
      <c r="V3" s="156"/>
      <c r="W3" s="158" t="s">
        <v>76</v>
      </c>
      <c r="X3" s="147" t="s">
        <v>64</v>
      </c>
      <c r="Y3" s="150" t="s">
        <v>8</v>
      </c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66" t="s">
        <v>65</v>
      </c>
      <c r="AU3" s="151" t="s">
        <v>9</v>
      </c>
      <c r="AV3" s="161" t="s">
        <v>10</v>
      </c>
    </row>
    <row r="4" spans="1:48" ht="36" customHeight="1" thickBot="1">
      <c r="A4" s="171"/>
      <c r="B4" s="174"/>
      <c r="C4" s="174"/>
      <c r="D4" s="174"/>
      <c r="E4" s="155" t="s">
        <v>11</v>
      </c>
      <c r="F4" s="155"/>
      <c r="G4" s="155" t="s">
        <v>12</v>
      </c>
      <c r="H4" s="155"/>
      <c r="I4" s="155" t="s">
        <v>13</v>
      </c>
      <c r="J4" s="155"/>
      <c r="K4" s="155" t="s">
        <v>14</v>
      </c>
      <c r="L4" s="155"/>
      <c r="M4" s="155" t="s">
        <v>15</v>
      </c>
      <c r="N4" s="155"/>
      <c r="O4" s="155"/>
      <c r="P4" s="155"/>
      <c r="Q4" s="157"/>
      <c r="R4" s="157"/>
      <c r="S4" s="157"/>
      <c r="T4" s="157"/>
      <c r="U4" s="157"/>
      <c r="V4" s="157"/>
      <c r="W4" s="159"/>
      <c r="X4" s="148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67"/>
      <c r="AU4" s="152"/>
      <c r="AV4" s="162"/>
    </row>
    <row r="5" spans="1:48" ht="29.25" customHeight="1" thickBot="1">
      <c r="A5" s="171"/>
      <c r="B5" s="174"/>
      <c r="C5" s="174"/>
      <c r="D5" s="174"/>
      <c r="E5" s="134" t="s">
        <v>16</v>
      </c>
      <c r="F5" s="134" t="s">
        <v>17</v>
      </c>
      <c r="G5" s="134" t="s">
        <v>16</v>
      </c>
      <c r="H5" s="134" t="s">
        <v>17</v>
      </c>
      <c r="I5" s="134" t="s">
        <v>16</v>
      </c>
      <c r="J5" s="134" t="s">
        <v>17</v>
      </c>
      <c r="K5" s="134" t="s">
        <v>16</v>
      </c>
      <c r="L5" s="134" t="s">
        <v>17</v>
      </c>
      <c r="M5" s="134" t="s">
        <v>16</v>
      </c>
      <c r="N5" s="134" t="s">
        <v>17</v>
      </c>
      <c r="O5" s="134" t="s">
        <v>16</v>
      </c>
      <c r="P5" s="134" t="s">
        <v>17</v>
      </c>
      <c r="Q5" s="132" t="s">
        <v>18</v>
      </c>
      <c r="R5" s="132" t="s">
        <v>19</v>
      </c>
      <c r="S5" s="132" t="s">
        <v>20</v>
      </c>
      <c r="T5" s="132" t="s">
        <v>21</v>
      </c>
      <c r="U5" s="132" t="s">
        <v>22</v>
      </c>
      <c r="V5" s="132" t="s">
        <v>23</v>
      </c>
      <c r="W5" s="159"/>
      <c r="X5" s="148"/>
      <c r="Y5" s="139" t="s">
        <v>24</v>
      </c>
      <c r="Z5" s="139" t="s">
        <v>25</v>
      </c>
      <c r="AA5" s="139" t="s">
        <v>26</v>
      </c>
      <c r="AB5" s="139" t="s">
        <v>27</v>
      </c>
      <c r="AC5" s="139" t="s">
        <v>28</v>
      </c>
      <c r="AD5" s="139" t="s">
        <v>27</v>
      </c>
      <c r="AE5" s="139" t="s">
        <v>29</v>
      </c>
      <c r="AF5" s="139" t="s">
        <v>27</v>
      </c>
      <c r="AG5" s="139" t="s">
        <v>30</v>
      </c>
      <c r="AH5" s="139" t="s">
        <v>27</v>
      </c>
      <c r="AI5" s="141" t="s">
        <v>69</v>
      </c>
      <c r="AJ5" s="143" t="s">
        <v>27</v>
      </c>
      <c r="AK5" s="164" t="s">
        <v>70</v>
      </c>
      <c r="AL5" s="145" t="s">
        <v>71</v>
      </c>
      <c r="AM5" s="145" t="s">
        <v>27</v>
      </c>
      <c r="AN5" s="136" t="s">
        <v>72</v>
      </c>
      <c r="AO5" s="137"/>
      <c r="AP5" s="138"/>
      <c r="AQ5" s="139" t="s">
        <v>32</v>
      </c>
      <c r="AR5" s="139" t="s">
        <v>27</v>
      </c>
      <c r="AS5" s="139" t="s">
        <v>33</v>
      </c>
      <c r="AT5" s="167"/>
      <c r="AU5" s="152"/>
      <c r="AV5" s="162"/>
    </row>
    <row r="6" spans="1:48" ht="54" customHeight="1" thickBot="1">
      <c r="A6" s="172"/>
      <c r="B6" s="175"/>
      <c r="C6" s="175"/>
      <c r="D6" s="17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3"/>
      <c r="R6" s="133"/>
      <c r="S6" s="133"/>
      <c r="T6" s="133"/>
      <c r="U6" s="133"/>
      <c r="V6" s="133"/>
      <c r="W6" s="160"/>
      <c r="X6" s="149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2"/>
      <c r="AJ6" s="144"/>
      <c r="AK6" s="165"/>
      <c r="AL6" s="146"/>
      <c r="AM6" s="146"/>
      <c r="AN6" s="88" t="s">
        <v>73</v>
      </c>
      <c r="AO6" s="88" t="s">
        <v>74</v>
      </c>
      <c r="AP6" s="88" t="s">
        <v>75</v>
      </c>
      <c r="AQ6" s="140"/>
      <c r="AR6" s="140"/>
      <c r="AS6" s="140"/>
      <c r="AT6" s="168"/>
      <c r="AU6" s="153"/>
      <c r="AV6" s="163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05">
        <v>737.8</v>
      </c>
      <c r="C9" s="94">
        <f aca="true" t="shared" si="0" ref="C9:C18">B9*8.65</f>
        <v>6381.97</v>
      </c>
      <c r="D9" s="114">
        <f>C9*0.125</f>
        <v>797.74625</v>
      </c>
      <c r="E9" s="82">
        <v>278.7</v>
      </c>
      <c r="F9" s="82">
        <v>37.13</v>
      </c>
      <c r="G9" s="82">
        <v>376.24</v>
      </c>
      <c r="H9" s="82">
        <v>50.12</v>
      </c>
      <c r="I9" s="82">
        <v>905.77</v>
      </c>
      <c r="J9" s="82">
        <v>120.68</v>
      </c>
      <c r="K9" s="82">
        <v>627.07</v>
      </c>
      <c r="L9" s="82">
        <v>83.55</v>
      </c>
      <c r="M9" s="82">
        <v>222.97</v>
      </c>
      <c r="N9" s="108">
        <v>29.7</v>
      </c>
      <c r="O9" s="71">
        <f aca="true" t="shared" si="1" ref="O9:O18">E9+G9+I9+K9+M9</f>
        <v>2410.75</v>
      </c>
      <c r="P9" s="83">
        <f aca="true" t="shared" si="2" ref="P9:P18">N9+L9+J9+H9+F9</f>
        <v>321.18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05">
        <f aca="true" t="shared" si="3" ref="V9:V18">SUM(Q9:U9)</f>
        <v>0</v>
      </c>
      <c r="W9" s="100">
        <f aca="true" t="shared" si="4" ref="W9:W18">D9+P9+V9</f>
        <v>1118.92625</v>
      </c>
      <c r="X9" s="100"/>
      <c r="Y9" s="99">
        <f>0.6*B9*0.9</f>
        <v>398.412</v>
      </c>
      <c r="Z9" s="99">
        <f>B9*0.2*0.9081</f>
        <v>133.999236</v>
      </c>
      <c r="AA9" s="99">
        <f>0.85*B9*0.8909</f>
        <v>558.710117</v>
      </c>
      <c r="AB9" s="99">
        <f aca="true" t="shared" si="5" ref="AB9:AB18">AA9*0.18</f>
        <v>100.56782105999999</v>
      </c>
      <c r="AC9" s="99">
        <f>(0.83*B9)*0.8928</f>
        <v>546.7275072</v>
      </c>
      <c r="AD9" s="99">
        <f aca="true" t="shared" si="6" ref="AD9:AD18">AC9*0.18</f>
        <v>98.410951296</v>
      </c>
      <c r="AE9" s="99">
        <f>1.91*B9*0.8927</f>
        <v>1257.9910545999999</v>
      </c>
      <c r="AF9" s="99">
        <f aca="true" t="shared" si="7" ref="AF9:AF18">AE9*0.18</f>
        <v>226.43838982799997</v>
      </c>
      <c r="AG9" s="99">
        <v>0</v>
      </c>
      <c r="AH9" s="99">
        <f aca="true" t="shared" si="8" ref="AH9:AJ18">AG9*0.18</f>
        <v>0</v>
      </c>
      <c r="AI9" s="113"/>
      <c r="AJ9" s="113">
        <f t="shared" si="8"/>
        <v>0</v>
      </c>
      <c r="AK9" s="101"/>
      <c r="AL9" s="101"/>
      <c r="AM9" s="74">
        <f>(AK9+AL9)*0.18</f>
        <v>0</v>
      </c>
      <c r="AN9" s="102">
        <v>383</v>
      </c>
      <c r="AO9" s="103">
        <v>0.15</v>
      </c>
      <c r="AP9" s="99">
        <f aca="true" t="shared" si="9" ref="AP9:AP15">AN9*AO9*1.12*1.18</f>
        <v>75.92592</v>
      </c>
      <c r="AQ9" s="104"/>
      <c r="AR9" s="104">
        <f>AQ9*0.18</f>
        <v>0</v>
      </c>
      <c r="AS9" s="104">
        <f>SUM(Y9:AM9)</f>
        <v>3321.2570769839995</v>
      </c>
      <c r="AT9" s="112"/>
      <c r="AU9" s="12">
        <f aca="true" t="shared" si="10" ref="AU9:AU18">W9+X9-AS9-AT9</f>
        <v>-2202.3308269839995</v>
      </c>
      <c r="AV9" s="26">
        <f aca="true" t="shared" si="11" ref="AV9:AV18">V9-O9</f>
        <v>-2410.75</v>
      </c>
    </row>
    <row r="10" spans="1:48" ht="12.75">
      <c r="A10" s="9" t="s">
        <v>39</v>
      </c>
      <c r="B10" s="105">
        <v>737.8</v>
      </c>
      <c r="C10" s="106">
        <f t="shared" si="0"/>
        <v>6381.97</v>
      </c>
      <c r="D10" s="114">
        <f>C10*0.125</f>
        <v>797.74625</v>
      </c>
      <c r="E10" s="82">
        <v>278.7</v>
      </c>
      <c r="F10" s="82">
        <v>37.13</v>
      </c>
      <c r="G10" s="82">
        <v>376.24</v>
      </c>
      <c r="H10" s="82">
        <v>50.12</v>
      </c>
      <c r="I10" s="82">
        <v>905.77</v>
      </c>
      <c r="J10" s="82">
        <v>120.68</v>
      </c>
      <c r="K10" s="82">
        <v>627.07</v>
      </c>
      <c r="L10" s="82">
        <v>83.55</v>
      </c>
      <c r="M10" s="82">
        <v>222.97</v>
      </c>
      <c r="N10" s="108">
        <v>29.7</v>
      </c>
      <c r="O10" s="72">
        <f t="shared" si="1"/>
        <v>2410.75</v>
      </c>
      <c r="P10" s="83">
        <f t="shared" si="2"/>
        <v>321.18</v>
      </c>
      <c r="Q10" s="109">
        <v>43.62</v>
      </c>
      <c r="R10" s="110">
        <v>58.89</v>
      </c>
      <c r="S10" s="110">
        <v>141.76</v>
      </c>
      <c r="T10" s="110">
        <v>98.15</v>
      </c>
      <c r="U10" s="110">
        <v>34.9</v>
      </c>
      <c r="V10" s="105">
        <f t="shared" si="3"/>
        <v>377.31999999999994</v>
      </c>
      <c r="W10" s="115">
        <f t="shared" si="4"/>
        <v>1496.24625</v>
      </c>
      <c r="X10" s="100"/>
      <c r="Y10" s="99">
        <f>0.6*B10*0.9</f>
        <v>398.412</v>
      </c>
      <c r="Z10" s="99">
        <f>B10*0.2*0.9234</f>
        <v>136.256904</v>
      </c>
      <c r="AA10" s="99">
        <f>0.85*B10*0.8909</f>
        <v>558.710117</v>
      </c>
      <c r="AB10" s="99">
        <f t="shared" si="5"/>
        <v>100.56782105999999</v>
      </c>
      <c r="AC10" s="99">
        <f>(0.83*B10)*0.8928</f>
        <v>546.7275072</v>
      </c>
      <c r="AD10" s="99">
        <f t="shared" si="6"/>
        <v>98.410951296</v>
      </c>
      <c r="AE10" s="99">
        <f>1.91*B10*0.8927</f>
        <v>1257.9910545999999</v>
      </c>
      <c r="AF10" s="99">
        <f t="shared" si="7"/>
        <v>226.43838982799997</v>
      </c>
      <c r="AG10" s="99">
        <v>0</v>
      </c>
      <c r="AH10" s="99">
        <f t="shared" si="8"/>
        <v>0</v>
      </c>
      <c r="AI10" s="113"/>
      <c r="AJ10" s="86">
        <f t="shared" si="8"/>
        <v>0</v>
      </c>
      <c r="AK10" s="101"/>
      <c r="AL10" s="101"/>
      <c r="AM10" s="74">
        <f>(AK10+AL10)*0.18</f>
        <v>0</v>
      </c>
      <c r="AN10" s="87">
        <v>307</v>
      </c>
      <c r="AO10" s="103">
        <v>0.15</v>
      </c>
      <c r="AP10" s="99">
        <f t="shared" si="9"/>
        <v>60.85968</v>
      </c>
      <c r="AQ10" s="89"/>
      <c r="AR10" s="98">
        <f aca="true" t="shared" si="12" ref="AR10:AR18">AQ10*0.18</f>
        <v>0</v>
      </c>
      <c r="AS10" s="90">
        <f>SUM(Y10:AM10)+AP10+AP9</f>
        <v>3460.3003449839994</v>
      </c>
      <c r="AT10" s="93"/>
      <c r="AU10" s="12">
        <f t="shared" si="10"/>
        <v>-1964.0540949839994</v>
      </c>
      <c r="AV10" s="26">
        <f t="shared" si="11"/>
        <v>-2033.43</v>
      </c>
    </row>
    <row r="11" spans="1:48" ht="12.75">
      <c r="A11" s="9" t="s">
        <v>40</v>
      </c>
      <c r="B11" s="105">
        <v>737.8</v>
      </c>
      <c r="C11" s="106">
        <f t="shared" si="0"/>
        <v>6381.97</v>
      </c>
      <c r="D11" s="114">
        <f>C11-E11-F11-G11-H11-I11-J11-K11-L11-M11-N11</f>
        <v>3416.5200000000013</v>
      </c>
      <c r="E11" s="91">
        <v>300.6</v>
      </c>
      <c r="F11" s="91">
        <v>41.78</v>
      </c>
      <c r="G11" s="91">
        <v>406.9</v>
      </c>
      <c r="H11" s="91">
        <v>56.62</v>
      </c>
      <c r="I11" s="91">
        <v>978.02</v>
      </c>
      <c r="J11" s="91">
        <v>135.99</v>
      </c>
      <c r="K11" s="91">
        <v>677.44</v>
      </c>
      <c r="L11" s="91">
        <v>94.21</v>
      </c>
      <c r="M11" s="91">
        <v>240.48</v>
      </c>
      <c r="N11" s="92">
        <v>33.41</v>
      </c>
      <c r="O11" s="116">
        <f t="shared" si="1"/>
        <v>2603.44</v>
      </c>
      <c r="P11" s="117">
        <f t="shared" si="2"/>
        <v>362.01</v>
      </c>
      <c r="Q11" s="110">
        <v>73.47</v>
      </c>
      <c r="R11" s="110">
        <v>99.21</v>
      </c>
      <c r="S11" s="110">
        <v>238.85</v>
      </c>
      <c r="T11" s="110">
        <v>165.34</v>
      </c>
      <c r="U11" s="110">
        <v>58.81</v>
      </c>
      <c r="V11" s="105">
        <f t="shared" si="3"/>
        <v>635.6800000000001</v>
      </c>
      <c r="W11" s="100">
        <f t="shared" si="4"/>
        <v>4414.210000000002</v>
      </c>
      <c r="X11" s="100"/>
      <c r="Y11" s="99">
        <f aca="true" t="shared" si="13" ref="Y11:Y18">0.6*B11</f>
        <v>442.67999999999995</v>
      </c>
      <c r="Z11" s="99">
        <f>B11*0.2*1.011</f>
        <v>149.18316</v>
      </c>
      <c r="AA11" s="99">
        <f>0.85*B11*0.9899</f>
        <v>620.795987</v>
      </c>
      <c r="AB11" s="99">
        <f t="shared" si="5"/>
        <v>111.74327765999999</v>
      </c>
      <c r="AC11" s="99">
        <f>(0.83*B11)*0.992</f>
        <v>607.4750079999999</v>
      </c>
      <c r="AD11" s="99">
        <f t="shared" si="6"/>
        <v>109.34550143999998</v>
      </c>
      <c r="AE11" s="99">
        <f>1.91*B11*0.992</f>
        <v>1397.9244159999998</v>
      </c>
      <c r="AF11" s="99">
        <f t="shared" si="7"/>
        <v>251.62639487999996</v>
      </c>
      <c r="AG11" s="99">
        <v>0</v>
      </c>
      <c r="AH11" s="99">
        <f t="shared" si="8"/>
        <v>0</v>
      </c>
      <c r="AI11" s="113"/>
      <c r="AJ11" s="86">
        <f t="shared" si="8"/>
        <v>0</v>
      </c>
      <c r="AK11" s="101"/>
      <c r="AL11" s="101"/>
      <c r="AM11" s="74">
        <f>(AK11+AL11)*0.18</f>
        <v>0</v>
      </c>
      <c r="AN11" s="87">
        <v>263</v>
      </c>
      <c r="AO11" s="103">
        <v>0.15</v>
      </c>
      <c r="AP11" s="99">
        <f t="shared" si="9"/>
        <v>52.137119999999996</v>
      </c>
      <c r="AQ11" s="104"/>
      <c r="AR11" s="104">
        <f t="shared" si="12"/>
        <v>0</v>
      </c>
      <c r="AS11" s="104">
        <f aca="true" t="shared" si="14" ref="AS11:AS17">SUM(Y11:AM11)+AP11</f>
        <v>3742.910864979999</v>
      </c>
      <c r="AT11" s="112"/>
      <c r="AU11" s="12">
        <f t="shared" si="10"/>
        <v>671.2991350200027</v>
      </c>
      <c r="AV11" s="26">
        <f t="shared" si="11"/>
        <v>-1967.76</v>
      </c>
    </row>
    <row r="12" spans="1:48" ht="12.75">
      <c r="A12" s="9" t="s">
        <v>41</v>
      </c>
      <c r="B12" s="105">
        <v>737.8</v>
      </c>
      <c r="C12" s="106">
        <f t="shared" si="0"/>
        <v>6381.97</v>
      </c>
      <c r="D12" s="114">
        <v>3419.2</v>
      </c>
      <c r="E12" s="91">
        <v>615.38</v>
      </c>
      <c r="F12" s="91">
        <v>68.72</v>
      </c>
      <c r="G12" s="91">
        <v>833.09</v>
      </c>
      <c r="H12" s="91">
        <v>93.15</v>
      </c>
      <c r="I12" s="91">
        <v>1001.15</v>
      </c>
      <c r="J12" s="91">
        <v>111.86</v>
      </c>
      <c r="K12" s="91">
        <v>1386.91</v>
      </c>
      <c r="L12" s="91">
        <v>154.99</v>
      </c>
      <c r="M12" s="91">
        <v>492.32</v>
      </c>
      <c r="N12" s="118">
        <v>54.97</v>
      </c>
      <c r="O12" s="72">
        <f t="shared" si="1"/>
        <v>4328.849999999999</v>
      </c>
      <c r="P12" s="83">
        <f t="shared" si="2"/>
        <v>483.69000000000005</v>
      </c>
      <c r="Q12" s="110">
        <v>229.76</v>
      </c>
      <c r="R12" s="110">
        <v>310.37</v>
      </c>
      <c r="S12" s="110">
        <v>746.94</v>
      </c>
      <c r="T12" s="110">
        <v>517.16</v>
      </c>
      <c r="U12" s="110">
        <v>183.82</v>
      </c>
      <c r="V12" s="105">
        <f t="shared" si="3"/>
        <v>1988.05</v>
      </c>
      <c r="W12" s="100">
        <f t="shared" si="4"/>
        <v>5890.94</v>
      </c>
      <c r="X12" s="100"/>
      <c r="Y12" s="99">
        <f t="shared" si="13"/>
        <v>442.67999999999995</v>
      </c>
      <c r="Z12" s="99">
        <f>B12*0.2*1.01045</f>
        <v>149.102002</v>
      </c>
      <c r="AA12" s="99">
        <f>0.85*B12*0.98824</f>
        <v>619.7549512</v>
      </c>
      <c r="AB12" s="99">
        <f t="shared" si="5"/>
        <v>111.555891216</v>
      </c>
      <c r="AC12" s="99">
        <f>(0.83*B12)*0.99023</f>
        <v>606.3911060199999</v>
      </c>
      <c r="AD12" s="99">
        <f t="shared" si="6"/>
        <v>109.15039908359998</v>
      </c>
      <c r="AE12" s="99">
        <f>(1.91)*B12*0.99023-0.01</f>
        <v>1395.42013554</v>
      </c>
      <c r="AF12" s="99">
        <f t="shared" si="7"/>
        <v>251.1756243972</v>
      </c>
      <c r="AG12" s="99">
        <v>0</v>
      </c>
      <c r="AH12" s="99">
        <f t="shared" si="8"/>
        <v>0</v>
      </c>
      <c r="AI12" s="113"/>
      <c r="AJ12" s="113">
        <f t="shared" si="8"/>
        <v>0</v>
      </c>
      <c r="AK12" s="101"/>
      <c r="AL12" s="101"/>
      <c r="AM12" s="74">
        <f>(AK12+AL12)*0.18</f>
        <v>0</v>
      </c>
      <c r="AN12" s="87">
        <v>233</v>
      </c>
      <c r="AO12" s="103">
        <v>0.15</v>
      </c>
      <c r="AP12" s="99">
        <f t="shared" si="9"/>
        <v>46.189919999999994</v>
      </c>
      <c r="AQ12" s="104"/>
      <c r="AR12" s="104">
        <f t="shared" si="12"/>
        <v>0</v>
      </c>
      <c r="AS12" s="104">
        <f t="shared" si="14"/>
        <v>3731.4200294567995</v>
      </c>
      <c r="AT12" s="112"/>
      <c r="AU12" s="12">
        <f t="shared" si="10"/>
        <v>2159.5199705432</v>
      </c>
      <c r="AV12" s="26">
        <f t="shared" si="11"/>
        <v>-2340.7999999999993</v>
      </c>
    </row>
    <row r="13" spans="1:48" ht="12.75">
      <c r="A13" s="9" t="s">
        <v>42</v>
      </c>
      <c r="B13" s="105">
        <v>737.8</v>
      </c>
      <c r="C13" s="106">
        <f t="shared" si="0"/>
        <v>6381.97</v>
      </c>
      <c r="D13" s="114">
        <v>3419.19</v>
      </c>
      <c r="E13" s="91">
        <v>0.02</v>
      </c>
      <c r="F13" s="91">
        <v>0</v>
      </c>
      <c r="G13" s="91">
        <v>-0.01</v>
      </c>
      <c r="H13" s="91">
        <v>-0.01</v>
      </c>
      <c r="I13" s="91">
        <v>1001.15</v>
      </c>
      <c r="J13" s="91">
        <v>111.86</v>
      </c>
      <c r="K13" s="91">
        <v>0.03</v>
      </c>
      <c r="L13" s="91">
        <v>-0.01</v>
      </c>
      <c r="M13" s="91">
        <v>0</v>
      </c>
      <c r="N13" s="118">
        <v>-0.01</v>
      </c>
      <c r="O13" s="72">
        <f t="shared" si="1"/>
        <v>1001.1899999999999</v>
      </c>
      <c r="P13" s="83">
        <f t="shared" si="2"/>
        <v>111.83</v>
      </c>
      <c r="Q13" s="110">
        <v>297.45</v>
      </c>
      <c r="R13" s="110">
        <v>402.57</v>
      </c>
      <c r="S13" s="110">
        <v>678.54</v>
      </c>
      <c r="T13" s="110">
        <v>670.22</v>
      </c>
      <c r="U13" s="110">
        <v>237.95</v>
      </c>
      <c r="V13" s="105">
        <f t="shared" si="3"/>
        <v>2286.7299999999996</v>
      </c>
      <c r="W13" s="100">
        <f t="shared" si="4"/>
        <v>5817.75</v>
      </c>
      <c r="X13" s="100"/>
      <c r="Y13" s="99">
        <f t="shared" si="13"/>
        <v>442.67999999999995</v>
      </c>
      <c r="Z13" s="99">
        <f>B13*0.2*0.99426</f>
        <v>146.7130056</v>
      </c>
      <c r="AA13" s="99">
        <f>0.85*B13*0.98824</f>
        <v>619.7549512</v>
      </c>
      <c r="AB13" s="99">
        <f t="shared" si="5"/>
        <v>111.555891216</v>
      </c>
      <c r="AC13" s="99">
        <f>0.83*B13*0.99023</f>
        <v>606.3911060199999</v>
      </c>
      <c r="AD13" s="99">
        <f t="shared" si="6"/>
        <v>109.15039908359998</v>
      </c>
      <c r="AE13" s="99">
        <f>1.91*B13*0.99023</f>
        <v>1395.43013554</v>
      </c>
      <c r="AF13" s="99">
        <f t="shared" si="7"/>
        <v>251.17742439719999</v>
      </c>
      <c r="AG13" s="99">
        <v>0</v>
      </c>
      <c r="AH13" s="99">
        <f t="shared" si="8"/>
        <v>0</v>
      </c>
      <c r="AI13" s="113"/>
      <c r="AJ13" s="86">
        <f t="shared" si="8"/>
        <v>0</v>
      </c>
      <c r="AK13" s="101">
        <v>2021</v>
      </c>
      <c r="AL13" s="101"/>
      <c r="AM13" s="101">
        <f>AK13*0.18</f>
        <v>363.78</v>
      </c>
      <c r="AN13" s="97">
        <v>248</v>
      </c>
      <c r="AO13" s="103">
        <v>0.15</v>
      </c>
      <c r="AP13" s="99">
        <f t="shared" si="9"/>
        <v>49.16352</v>
      </c>
      <c r="AQ13" s="104"/>
      <c r="AR13" s="104">
        <f t="shared" si="12"/>
        <v>0</v>
      </c>
      <c r="AS13" s="104">
        <f t="shared" si="14"/>
        <v>6116.7964330568</v>
      </c>
      <c r="AT13" s="112"/>
      <c r="AU13" s="12">
        <f t="shared" si="10"/>
        <v>-299.0464330568002</v>
      </c>
      <c r="AV13" s="26">
        <f t="shared" si="11"/>
        <v>1285.5399999999995</v>
      </c>
    </row>
    <row r="14" spans="1:48" ht="12.75">
      <c r="A14" s="9" t="s">
        <v>43</v>
      </c>
      <c r="B14" s="105">
        <v>737.8</v>
      </c>
      <c r="C14" s="106">
        <f t="shared" si="0"/>
        <v>6381.97</v>
      </c>
      <c r="D14" s="114">
        <f>C14-E14-F14-G14-H14-I14-J14-K14-L14-M14-N14</f>
        <v>3416.6000000000004</v>
      </c>
      <c r="E14" s="91">
        <v>314.4</v>
      </c>
      <c r="F14" s="91">
        <v>27.96</v>
      </c>
      <c r="G14" s="91">
        <v>425.62</v>
      </c>
      <c r="H14" s="91">
        <v>37.89</v>
      </c>
      <c r="I14" s="91">
        <v>1022.98</v>
      </c>
      <c r="J14" s="91">
        <v>91.01</v>
      </c>
      <c r="K14" s="91">
        <v>708.58</v>
      </c>
      <c r="L14" s="91">
        <v>63.05</v>
      </c>
      <c r="M14" s="91">
        <v>251.52</v>
      </c>
      <c r="N14" s="118">
        <v>22.36</v>
      </c>
      <c r="O14" s="72">
        <f t="shared" si="1"/>
        <v>2723.1</v>
      </c>
      <c r="P14" s="83">
        <f t="shared" si="2"/>
        <v>242.27</v>
      </c>
      <c r="Q14" s="110">
        <v>87.27</v>
      </c>
      <c r="R14" s="110">
        <v>118.09</v>
      </c>
      <c r="S14" s="110">
        <v>396.62</v>
      </c>
      <c r="T14" s="110">
        <v>196.64</v>
      </c>
      <c r="U14" s="110">
        <v>69.81</v>
      </c>
      <c r="V14" s="105">
        <f>SUM(Q14:U14)</f>
        <v>868.4300000000001</v>
      </c>
      <c r="W14" s="100">
        <f t="shared" si="4"/>
        <v>4527.3</v>
      </c>
      <c r="X14" s="100"/>
      <c r="Y14" s="99">
        <f t="shared" si="13"/>
        <v>442.67999999999995</v>
      </c>
      <c r="Z14" s="99">
        <f>B14*0.2*0.99875</f>
        <v>147.37555</v>
      </c>
      <c r="AA14" s="99">
        <f>0.85*B14*0.9882</f>
        <v>619.729866</v>
      </c>
      <c r="AB14" s="99">
        <f t="shared" si="5"/>
        <v>111.55137588</v>
      </c>
      <c r="AC14" s="99">
        <f>0.83*B14*0.9903</f>
        <v>606.4339721999999</v>
      </c>
      <c r="AD14" s="99">
        <f t="shared" si="6"/>
        <v>109.15811499599997</v>
      </c>
      <c r="AE14" s="99">
        <f>1.91*B14*0.9902</f>
        <v>1395.3878595999997</v>
      </c>
      <c r="AF14" s="99">
        <f t="shared" si="7"/>
        <v>251.16981472799995</v>
      </c>
      <c r="AG14" s="99">
        <v>0</v>
      </c>
      <c r="AH14" s="99">
        <f t="shared" si="8"/>
        <v>0</v>
      </c>
      <c r="AI14" s="113"/>
      <c r="AJ14" s="86">
        <f t="shared" si="8"/>
        <v>0</v>
      </c>
      <c r="AK14" s="101">
        <v>3850.77</v>
      </c>
      <c r="AL14" s="101">
        <v>4598</v>
      </c>
      <c r="AM14" s="74">
        <f>(AK14+AL14)*0.18</f>
        <v>1520.7786</v>
      </c>
      <c r="AN14" s="97">
        <v>293</v>
      </c>
      <c r="AO14" s="103">
        <v>0.15</v>
      </c>
      <c r="AP14" s="99">
        <f t="shared" si="9"/>
        <v>58.08431999999999</v>
      </c>
      <c r="AQ14" s="104"/>
      <c r="AR14" s="104">
        <f t="shared" si="12"/>
        <v>0</v>
      </c>
      <c r="AS14" s="104">
        <f>SUM(Y14:AM14)+AP14</f>
        <v>13711.119473404</v>
      </c>
      <c r="AT14" s="112"/>
      <c r="AU14" s="12">
        <f t="shared" si="10"/>
        <v>-9183.819473404</v>
      </c>
      <c r="AV14" s="26">
        <f t="shared" si="11"/>
        <v>-1854.6699999999998</v>
      </c>
    </row>
    <row r="15" spans="1:48" ht="12.75">
      <c r="A15" s="9" t="s">
        <v>44</v>
      </c>
      <c r="B15" s="105">
        <v>737.8</v>
      </c>
      <c r="C15" s="106">
        <f t="shared" si="0"/>
        <v>6381.97</v>
      </c>
      <c r="D15" s="114">
        <f>C15-E15-F15-G15-H15-I15-J15-K15-L15-M15-N15</f>
        <v>3415.3600000000006</v>
      </c>
      <c r="E15" s="82">
        <v>317.6</v>
      </c>
      <c r="F15" s="82">
        <v>24.91</v>
      </c>
      <c r="G15" s="82">
        <v>429.94</v>
      </c>
      <c r="H15" s="82">
        <v>33.76</v>
      </c>
      <c r="I15" s="82">
        <v>1033.36</v>
      </c>
      <c r="J15" s="82">
        <v>81.09</v>
      </c>
      <c r="K15" s="82">
        <v>715.78</v>
      </c>
      <c r="L15" s="82">
        <v>56.17</v>
      </c>
      <c r="M15" s="82">
        <v>254.08</v>
      </c>
      <c r="N15" s="108">
        <v>19.92</v>
      </c>
      <c r="O15" s="72">
        <f t="shared" si="1"/>
        <v>2750.7599999999998</v>
      </c>
      <c r="P15" s="83">
        <f t="shared" si="2"/>
        <v>215.85</v>
      </c>
      <c r="Q15" s="110">
        <v>202.75</v>
      </c>
      <c r="R15" s="110">
        <v>274.26</v>
      </c>
      <c r="S15" s="110">
        <v>782.32</v>
      </c>
      <c r="T15" s="110">
        <v>456.73</v>
      </c>
      <c r="U15" s="110">
        <v>161.45</v>
      </c>
      <c r="V15" s="105">
        <f t="shared" si="3"/>
        <v>1877.51</v>
      </c>
      <c r="W15" s="100">
        <f t="shared" si="4"/>
        <v>5508.72</v>
      </c>
      <c r="X15" s="100"/>
      <c r="Y15" s="99">
        <f t="shared" si="13"/>
        <v>442.67999999999995</v>
      </c>
      <c r="Z15" s="99">
        <f>B15*0.2*0.9997</f>
        <v>147.515732</v>
      </c>
      <c r="AA15" s="99">
        <f>0.85*B15*0.9882</f>
        <v>619.729866</v>
      </c>
      <c r="AB15" s="99">
        <f t="shared" si="5"/>
        <v>111.55137588</v>
      </c>
      <c r="AC15" s="99">
        <f>(0.83*B15)*0.9902</f>
        <v>606.3727347999999</v>
      </c>
      <c r="AD15" s="99">
        <f t="shared" si="6"/>
        <v>109.14709226399998</v>
      </c>
      <c r="AE15" s="99">
        <f>1.91*B15*0.9902</f>
        <v>1395.3878595999997</v>
      </c>
      <c r="AF15" s="99">
        <f t="shared" si="7"/>
        <v>251.16981472799995</v>
      </c>
      <c r="AG15" s="99">
        <v>0</v>
      </c>
      <c r="AH15" s="99">
        <f t="shared" si="8"/>
        <v>0</v>
      </c>
      <c r="AI15" s="113"/>
      <c r="AJ15" s="86">
        <f t="shared" si="8"/>
        <v>0</v>
      </c>
      <c r="AK15" s="101"/>
      <c r="AL15" s="101"/>
      <c r="AM15" s="74">
        <f>(AK15+AL15)*0.18</f>
        <v>0</v>
      </c>
      <c r="AN15" s="97">
        <v>349</v>
      </c>
      <c r="AO15" s="103">
        <v>0.15</v>
      </c>
      <c r="AP15" s="99">
        <f t="shared" si="9"/>
        <v>69.18576</v>
      </c>
      <c r="AQ15" s="104"/>
      <c r="AR15" s="104">
        <f t="shared" si="12"/>
        <v>0</v>
      </c>
      <c r="AS15" s="104">
        <f t="shared" si="14"/>
        <v>3752.740235271999</v>
      </c>
      <c r="AT15" s="112"/>
      <c r="AU15" s="12">
        <f t="shared" si="10"/>
        <v>1755.979764728001</v>
      </c>
      <c r="AV15" s="26">
        <f t="shared" si="11"/>
        <v>-873.2499999999998</v>
      </c>
    </row>
    <row r="16" spans="1:48" ht="12.75">
      <c r="A16" s="9" t="s">
        <v>34</v>
      </c>
      <c r="B16" s="123">
        <v>737.8</v>
      </c>
      <c r="C16" s="81">
        <f t="shared" si="0"/>
        <v>6381.97</v>
      </c>
      <c r="D16" s="114">
        <f>C16-O16-P16</f>
        <v>3415.3600000000006</v>
      </c>
      <c r="E16" s="82">
        <v>317.6</v>
      </c>
      <c r="F16" s="82">
        <v>24.91</v>
      </c>
      <c r="G16" s="82">
        <v>429.94</v>
      </c>
      <c r="H16" s="82">
        <v>33.76</v>
      </c>
      <c r="I16" s="82">
        <v>1033.36</v>
      </c>
      <c r="J16" s="82">
        <v>81.09</v>
      </c>
      <c r="K16" s="82">
        <v>715.78</v>
      </c>
      <c r="L16" s="82">
        <v>56.17</v>
      </c>
      <c r="M16" s="82">
        <v>254.08</v>
      </c>
      <c r="N16" s="85">
        <v>19.92</v>
      </c>
      <c r="O16" s="119">
        <f t="shared" si="1"/>
        <v>2750.7599999999998</v>
      </c>
      <c r="P16" s="120">
        <f t="shared" si="2"/>
        <v>215.85</v>
      </c>
      <c r="Q16" s="110">
        <v>270.25</v>
      </c>
      <c r="R16" s="110">
        <v>365.7</v>
      </c>
      <c r="S16" s="110">
        <v>908.61</v>
      </c>
      <c r="T16" s="110">
        <v>608.89</v>
      </c>
      <c r="U16" s="110">
        <v>216.18</v>
      </c>
      <c r="V16" s="85">
        <f t="shared" si="3"/>
        <v>2369.6299999999997</v>
      </c>
      <c r="W16" s="84">
        <f t="shared" si="4"/>
        <v>6000.84</v>
      </c>
      <c r="X16" s="79"/>
      <c r="Y16" s="121">
        <f t="shared" si="13"/>
        <v>442.67999999999995</v>
      </c>
      <c r="Z16" s="14">
        <f>B16*0.2</f>
        <v>147.56</v>
      </c>
      <c r="AA16" s="14">
        <f>0.85*B16</f>
        <v>627.13</v>
      </c>
      <c r="AB16" s="14">
        <f t="shared" si="5"/>
        <v>112.8834</v>
      </c>
      <c r="AC16" s="14">
        <f>(0.83*B16)</f>
        <v>612.3739999999999</v>
      </c>
      <c r="AD16" s="14">
        <f t="shared" si="6"/>
        <v>110.22731999999998</v>
      </c>
      <c r="AE16" s="14">
        <f>1.91*B16</f>
        <v>1409.1979999999999</v>
      </c>
      <c r="AF16" s="14">
        <f t="shared" si="7"/>
        <v>253.65563999999998</v>
      </c>
      <c r="AG16" s="14">
        <v>0</v>
      </c>
      <c r="AH16" s="14">
        <f t="shared" si="8"/>
        <v>0</v>
      </c>
      <c r="AI16" s="113"/>
      <c r="AJ16" s="86">
        <f t="shared" si="8"/>
        <v>0</v>
      </c>
      <c r="AK16" s="74"/>
      <c r="AL16" s="74"/>
      <c r="AM16" s="74">
        <f>(AK16+AL16)*0.18</f>
        <v>0</v>
      </c>
      <c r="AN16" s="111">
        <v>425</v>
      </c>
      <c r="AO16" s="96">
        <v>0.15</v>
      </c>
      <c r="AP16" s="14">
        <f>AN16*AO16*1.12*1.18</f>
        <v>84.252</v>
      </c>
      <c r="AQ16" s="90"/>
      <c r="AR16" s="90">
        <f t="shared" si="12"/>
        <v>0</v>
      </c>
      <c r="AS16" s="104">
        <f t="shared" si="14"/>
        <v>3799.9603599999996</v>
      </c>
      <c r="AT16" s="122"/>
      <c r="AU16" s="12">
        <f t="shared" si="10"/>
        <v>2200.8796400000006</v>
      </c>
      <c r="AV16" s="26">
        <f t="shared" si="11"/>
        <v>-381.1300000000001</v>
      </c>
    </row>
    <row r="17" spans="1:48" ht="12.75">
      <c r="A17" s="9" t="s">
        <v>35</v>
      </c>
      <c r="B17" s="123">
        <v>737.8</v>
      </c>
      <c r="C17" s="81">
        <f t="shared" si="0"/>
        <v>6381.97</v>
      </c>
      <c r="D17" s="114">
        <f>C17-O17-P17</f>
        <v>3415.3600000000006</v>
      </c>
      <c r="E17" s="82">
        <v>317.6</v>
      </c>
      <c r="F17" s="82">
        <v>24.91</v>
      </c>
      <c r="G17" s="82">
        <v>429.94</v>
      </c>
      <c r="H17" s="82">
        <v>33.76</v>
      </c>
      <c r="I17" s="82">
        <v>1033.36</v>
      </c>
      <c r="J17" s="82">
        <v>81.09</v>
      </c>
      <c r="K17" s="82">
        <v>715.78</v>
      </c>
      <c r="L17" s="82">
        <v>56.17</v>
      </c>
      <c r="M17" s="82">
        <v>254.08</v>
      </c>
      <c r="N17" s="108">
        <v>19.92</v>
      </c>
      <c r="O17" s="119">
        <f t="shared" si="1"/>
        <v>2750.7599999999998</v>
      </c>
      <c r="P17" s="120">
        <f t="shared" si="2"/>
        <v>215.85</v>
      </c>
      <c r="Q17" s="124">
        <v>326.2</v>
      </c>
      <c r="R17" s="124">
        <v>441.53</v>
      </c>
      <c r="S17" s="124">
        <v>1073.8</v>
      </c>
      <c r="T17" s="124">
        <v>735.19</v>
      </c>
      <c r="U17" s="124">
        <v>261.68</v>
      </c>
      <c r="V17" s="85">
        <f t="shared" si="3"/>
        <v>2838.4</v>
      </c>
      <c r="W17" s="84">
        <f t="shared" si="4"/>
        <v>6469.610000000001</v>
      </c>
      <c r="X17" s="84"/>
      <c r="Y17" s="14">
        <f t="shared" si="13"/>
        <v>442.67999999999995</v>
      </c>
      <c r="Z17" s="14">
        <f>B17*0.2</f>
        <v>147.56</v>
      </c>
      <c r="AA17" s="14">
        <f>0.85*B17</f>
        <v>627.13</v>
      </c>
      <c r="AB17" s="14">
        <f t="shared" si="5"/>
        <v>112.8834</v>
      </c>
      <c r="AC17" s="14">
        <f>(0.83*B17)</f>
        <v>612.3739999999999</v>
      </c>
      <c r="AD17" s="14">
        <f t="shared" si="6"/>
        <v>110.22731999999998</v>
      </c>
      <c r="AE17" s="14">
        <f>1.91*B17</f>
        <v>1409.1979999999999</v>
      </c>
      <c r="AF17" s="14">
        <f t="shared" si="7"/>
        <v>253.65563999999998</v>
      </c>
      <c r="AG17" s="14">
        <v>0</v>
      </c>
      <c r="AH17" s="14">
        <f t="shared" si="8"/>
        <v>0</v>
      </c>
      <c r="AI17" s="113"/>
      <c r="AJ17" s="86">
        <f t="shared" si="8"/>
        <v>0</v>
      </c>
      <c r="AK17" s="74"/>
      <c r="AL17" s="74"/>
      <c r="AM17" s="74">
        <f>AK17*0.18</f>
        <v>0</v>
      </c>
      <c r="AN17" s="111">
        <v>470</v>
      </c>
      <c r="AO17" s="96">
        <v>0.15</v>
      </c>
      <c r="AP17" s="14">
        <f>AN17*AO17*1.12*1.18</f>
        <v>93.17280000000001</v>
      </c>
      <c r="AQ17" s="90"/>
      <c r="AR17" s="90">
        <f t="shared" si="12"/>
        <v>0</v>
      </c>
      <c r="AS17" s="104">
        <f t="shared" si="14"/>
        <v>3808.8811599999995</v>
      </c>
      <c r="AT17" s="93"/>
      <c r="AU17" s="12">
        <f t="shared" si="10"/>
        <v>2660.728840000001</v>
      </c>
      <c r="AV17" s="26">
        <f t="shared" si="11"/>
        <v>87.64000000000033</v>
      </c>
    </row>
    <row r="18" spans="1:48" ht="12.75">
      <c r="A18" s="9" t="s">
        <v>36</v>
      </c>
      <c r="B18" s="125">
        <v>737.8</v>
      </c>
      <c r="C18" s="106">
        <f t="shared" si="0"/>
        <v>6381.97</v>
      </c>
      <c r="D18" s="107">
        <f>C18-E18-F18-G18-H18-I18-J18-K18-L18-M18-N18</f>
        <v>3415.370000000001</v>
      </c>
      <c r="E18" s="126">
        <v>315.16</v>
      </c>
      <c r="F18" s="126">
        <v>27.35</v>
      </c>
      <c r="G18" s="126">
        <v>426.63</v>
      </c>
      <c r="H18" s="126">
        <v>37.07</v>
      </c>
      <c r="I18" s="126">
        <v>1025.41</v>
      </c>
      <c r="J18" s="126">
        <v>89.03</v>
      </c>
      <c r="K18" s="126">
        <v>710.28</v>
      </c>
      <c r="L18" s="126">
        <v>61.67</v>
      </c>
      <c r="M18" s="126">
        <v>252.13</v>
      </c>
      <c r="N18" s="126">
        <v>21.87</v>
      </c>
      <c r="O18" s="71">
        <f t="shared" si="1"/>
        <v>2729.61</v>
      </c>
      <c r="P18" s="83">
        <f t="shared" si="2"/>
        <v>236.98999999999998</v>
      </c>
      <c r="Q18" s="110">
        <v>184.12</v>
      </c>
      <c r="R18" s="110">
        <v>249.15</v>
      </c>
      <c r="S18" s="110">
        <v>605.27</v>
      </c>
      <c r="T18" s="110">
        <v>414.85</v>
      </c>
      <c r="U18" s="110">
        <v>147.31</v>
      </c>
      <c r="V18" s="85">
        <f t="shared" si="3"/>
        <v>1600.6999999999998</v>
      </c>
      <c r="W18" s="84">
        <f t="shared" si="4"/>
        <v>5253.06</v>
      </c>
      <c r="X18" s="84"/>
      <c r="Y18" s="14">
        <f t="shared" si="13"/>
        <v>442.67999999999995</v>
      </c>
      <c r="Z18" s="14">
        <f>B18*0.2</f>
        <v>147.56</v>
      </c>
      <c r="AA18" s="14">
        <f>0.85*B18</f>
        <v>627.13</v>
      </c>
      <c r="AB18" s="14">
        <f t="shared" si="5"/>
        <v>112.8834</v>
      </c>
      <c r="AC18" s="14">
        <f>(0.83*B18)</f>
        <v>612.3739999999999</v>
      </c>
      <c r="AD18" s="14">
        <f t="shared" si="6"/>
        <v>110.22731999999998</v>
      </c>
      <c r="AE18" s="14">
        <f>1.91*B18</f>
        <v>1409.1979999999999</v>
      </c>
      <c r="AF18" s="14">
        <f t="shared" si="7"/>
        <v>253.65563999999998</v>
      </c>
      <c r="AG18" s="14">
        <v>0</v>
      </c>
      <c r="AH18" s="14">
        <f t="shared" si="8"/>
        <v>0</v>
      </c>
      <c r="AI18" s="113"/>
      <c r="AJ18" s="86">
        <f t="shared" si="8"/>
        <v>0</v>
      </c>
      <c r="AK18" s="74"/>
      <c r="AL18" s="74"/>
      <c r="AM18" s="74">
        <f>AK18*0.18</f>
        <v>0</v>
      </c>
      <c r="AN18" s="111">
        <v>514</v>
      </c>
      <c r="AO18" s="96">
        <v>0.15</v>
      </c>
      <c r="AP18" s="14">
        <f>AN18*AO18*1.12*1.18</f>
        <v>101.89536</v>
      </c>
      <c r="AQ18" s="90"/>
      <c r="AR18" s="90">
        <f t="shared" si="12"/>
        <v>0</v>
      </c>
      <c r="AS18" s="90">
        <f>SUM(Y18:AM18)+AP18</f>
        <v>3817.6037199999996</v>
      </c>
      <c r="AT18" s="93"/>
      <c r="AU18" s="12">
        <f t="shared" si="10"/>
        <v>1435.4562800000008</v>
      </c>
      <c r="AV18" s="26">
        <f t="shared" si="11"/>
        <v>-1128.9100000000003</v>
      </c>
    </row>
    <row r="19" spans="1:48" s="18" customFormat="1" ht="12.75">
      <c r="A19" s="15" t="s">
        <v>5</v>
      </c>
      <c r="B19" s="51"/>
      <c r="C19" s="51">
        <f aca="true" t="shared" si="15" ref="C19:AM19">SUM(C9:C18)</f>
        <v>63819.700000000004</v>
      </c>
      <c r="D19" s="51">
        <f t="shared" si="15"/>
        <v>28928.452500000007</v>
      </c>
      <c r="E19" s="48">
        <f t="shared" si="15"/>
        <v>3055.7599999999998</v>
      </c>
      <c r="F19" s="48">
        <f t="shared" si="15"/>
        <v>314.80000000000007</v>
      </c>
      <c r="G19" s="48">
        <f t="shared" si="15"/>
        <v>4134.530000000001</v>
      </c>
      <c r="H19" s="48">
        <f t="shared" si="15"/>
        <v>426.23999999999995</v>
      </c>
      <c r="I19" s="48">
        <f t="shared" si="15"/>
        <v>9940.33</v>
      </c>
      <c r="J19" s="48">
        <f t="shared" si="15"/>
        <v>1024.38</v>
      </c>
      <c r="K19" s="48">
        <f t="shared" si="15"/>
        <v>6884.719999999999</v>
      </c>
      <c r="L19" s="48">
        <f t="shared" si="15"/>
        <v>709.5199999999999</v>
      </c>
      <c r="M19" s="48">
        <f t="shared" si="15"/>
        <v>2444.63</v>
      </c>
      <c r="N19" s="48">
        <f t="shared" si="15"/>
        <v>251.76000000000005</v>
      </c>
      <c r="O19" s="48">
        <f t="shared" si="15"/>
        <v>26459.969999999998</v>
      </c>
      <c r="P19" s="48">
        <f t="shared" si="15"/>
        <v>2726.6999999999994</v>
      </c>
      <c r="Q19" s="52">
        <f t="shared" si="15"/>
        <v>1714.8899999999999</v>
      </c>
      <c r="R19" s="52">
        <f t="shared" si="15"/>
        <v>2319.77</v>
      </c>
      <c r="S19" s="52">
        <f t="shared" si="15"/>
        <v>5572.710000000001</v>
      </c>
      <c r="T19" s="52">
        <f t="shared" si="15"/>
        <v>3863.1699999999996</v>
      </c>
      <c r="U19" s="52">
        <f t="shared" si="15"/>
        <v>1371.91</v>
      </c>
      <c r="V19" s="52">
        <f t="shared" si="15"/>
        <v>14842.45</v>
      </c>
      <c r="W19" s="52">
        <f t="shared" si="15"/>
        <v>46497.6025</v>
      </c>
      <c r="X19" s="77">
        <f t="shared" si="15"/>
        <v>0</v>
      </c>
      <c r="Y19" s="16">
        <f t="shared" si="15"/>
        <v>4338.263999999999</v>
      </c>
      <c r="Z19" s="16">
        <f t="shared" si="15"/>
        <v>1452.8255895999998</v>
      </c>
      <c r="AA19" s="16">
        <f t="shared" si="15"/>
        <v>6098.5758554</v>
      </c>
      <c r="AB19" s="16">
        <f t="shared" si="15"/>
        <v>1097.743653972</v>
      </c>
      <c r="AC19" s="16">
        <f t="shared" si="15"/>
        <v>5963.640941439999</v>
      </c>
      <c r="AD19" s="16">
        <f t="shared" si="15"/>
        <v>1073.4553694591998</v>
      </c>
      <c r="AE19" s="16">
        <f t="shared" si="15"/>
        <v>13723.12651548</v>
      </c>
      <c r="AF19" s="16">
        <f t="shared" si="15"/>
        <v>2470.1627727863997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5871.77</v>
      </c>
      <c r="AL19" s="16">
        <f t="shared" si="15"/>
        <v>4598</v>
      </c>
      <c r="AM19" s="16">
        <f t="shared" si="15"/>
        <v>1884.5586</v>
      </c>
      <c r="AN19" s="16"/>
      <c r="AO19" s="16"/>
      <c r="AP19" s="16">
        <f aca="true" t="shared" si="16" ref="AP19:AV19">SUM(AP9:AP18)</f>
        <v>690.8664</v>
      </c>
      <c r="AQ19" s="16">
        <f t="shared" si="16"/>
        <v>0</v>
      </c>
      <c r="AR19" s="16">
        <f t="shared" si="16"/>
        <v>0</v>
      </c>
      <c r="AS19" s="16">
        <f t="shared" si="16"/>
        <v>49262.98969813759</v>
      </c>
      <c r="AT19" s="16">
        <f t="shared" si="16"/>
        <v>0</v>
      </c>
      <c r="AU19" s="16">
        <f t="shared" si="16"/>
        <v>-2765.387198137592</v>
      </c>
      <c r="AV19" s="17">
        <f t="shared" si="16"/>
        <v>-11617.52</v>
      </c>
    </row>
    <row r="20" spans="1:48" ht="12.75">
      <c r="A20" s="9"/>
      <c r="B20" s="10"/>
      <c r="C20" s="11"/>
      <c r="D20" s="1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/>
      <c r="P20" s="42"/>
      <c r="Q20" s="44"/>
      <c r="R20" s="44"/>
      <c r="S20" s="44"/>
      <c r="T20" s="44"/>
      <c r="U20" s="44"/>
      <c r="V20" s="44"/>
      <c r="W20" s="78"/>
      <c r="X20" s="79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3"/>
      <c r="AL20" s="73"/>
      <c r="AM20" s="74"/>
      <c r="AN20" s="74"/>
      <c r="AO20" s="74"/>
      <c r="AP20" s="19"/>
      <c r="AQ20" s="13"/>
      <c r="AR20" s="14"/>
      <c r="AS20" s="14"/>
      <c r="AT20" s="14"/>
      <c r="AU20" s="14"/>
      <c r="AV20" s="8"/>
    </row>
    <row r="21" spans="1:48" s="18" customFormat="1" ht="13.5" thickBot="1">
      <c r="A21" s="20" t="s">
        <v>45</v>
      </c>
      <c r="B21" s="21"/>
      <c r="C21" s="21">
        <f>C19</f>
        <v>63819.700000000004</v>
      </c>
      <c r="D21" s="21">
        <f aca="true" t="shared" si="17" ref="D21:AV21">D19</f>
        <v>28928.452500000007</v>
      </c>
      <c r="E21" s="21">
        <f t="shared" si="17"/>
        <v>3055.7599999999998</v>
      </c>
      <c r="F21" s="21">
        <f t="shared" si="17"/>
        <v>314.80000000000007</v>
      </c>
      <c r="G21" s="21">
        <f t="shared" si="17"/>
        <v>4134.530000000001</v>
      </c>
      <c r="H21" s="21">
        <f t="shared" si="17"/>
        <v>426.23999999999995</v>
      </c>
      <c r="I21" s="21">
        <f t="shared" si="17"/>
        <v>9940.33</v>
      </c>
      <c r="J21" s="21">
        <f t="shared" si="17"/>
        <v>1024.38</v>
      </c>
      <c r="K21" s="21">
        <f t="shared" si="17"/>
        <v>6884.719999999999</v>
      </c>
      <c r="L21" s="21">
        <f t="shared" si="17"/>
        <v>709.5199999999999</v>
      </c>
      <c r="M21" s="21">
        <f t="shared" si="17"/>
        <v>2444.63</v>
      </c>
      <c r="N21" s="21">
        <f t="shared" si="17"/>
        <v>251.76000000000005</v>
      </c>
      <c r="O21" s="21">
        <f t="shared" si="17"/>
        <v>26459.969999999998</v>
      </c>
      <c r="P21" s="21">
        <f t="shared" si="17"/>
        <v>2726.6999999999994</v>
      </c>
      <c r="Q21" s="21">
        <f t="shared" si="17"/>
        <v>1714.8899999999999</v>
      </c>
      <c r="R21" s="21">
        <f t="shared" si="17"/>
        <v>2319.77</v>
      </c>
      <c r="S21" s="21">
        <f t="shared" si="17"/>
        <v>5572.710000000001</v>
      </c>
      <c r="T21" s="21">
        <f t="shared" si="17"/>
        <v>3863.1699999999996</v>
      </c>
      <c r="U21" s="21">
        <f t="shared" si="17"/>
        <v>1371.91</v>
      </c>
      <c r="V21" s="21">
        <f t="shared" si="17"/>
        <v>14842.45</v>
      </c>
      <c r="W21" s="21">
        <f t="shared" si="17"/>
        <v>46497.6025</v>
      </c>
      <c r="X21" s="21">
        <f t="shared" si="17"/>
        <v>0</v>
      </c>
      <c r="Y21" s="21">
        <f t="shared" si="17"/>
        <v>4338.263999999999</v>
      </c>
      <c r="Z21" s="21">
        <f t="shared" si="17"/>
        <v>1452.8255895999998</v>
      </c>
      <c r="AA21" s="21">
        <f t="shared" si="17"/>
        <v>6098.5758554</v>
      </c>
      <c r="AB21" s="21">
        <f t="shared" si="17"/>
        <v>1097.743653972</v>
      </c>
      <c r="AC21" s="21">
        <f t="shared" si="17"/>
        <v>5963.640941439999</v>
      </c>
      <c r="AD21" s="21">
        <f t="shared" si="17"/>
        <v>1073.4553694591998</v>
      </c>
      <c r="AE21" s="21">
        <f t="shared" si="17"/>
        <v>13723.12651548</v>
      </c>
      <c r="AF21" s="21">
        <f t="shared" si="17"/>
        <v>2470.1627727863997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5871.77</v>
      </c>
      <c r="AL21" s="21">
        <f t="shared" si="17"/>
        <v>4598</v>
      </c>
      <c r="AM21" s="21">
        <f t="shared" si="17"/>
        <v>1884.5586</v>
      </c>
      <c r="AN21" s="21">
        <f t="shared" si="17"/>
        <v>0</v>
      </c>
      <c r="AO21" s="21">
        <f t="shared" si="17"/>
        <v>0</v>
      </c>
      <c r="AP21" s="21">
        <f t="shared" si="17"/>
        <v>690.8664</v>
      </c>
      <c r="AQ21" s="21">
        <f t="shared" si="17"/>
        <v>0</v>
      </c>
      <c r="AR21" s="21">
        <f t="shared" si="17"/>
        <v>0</v>
      </c>
      <c r="AS21" s="21">
        <f t="shared" si="17"/>
        <v>49262.98969813759</v>
      </c>
      <c r="AT21" s="21">
        <f t="shared" si="17"/>
        <v>0</v>
      </c>
      <c r="AU21" s="21">
        <f t="shared" si="17"/>
        <v>-2765.387198137592</v>
      </c>
      <c r="AV21" s="21">
        <f t="shared" si="17"/>
        <v>-11617.52</v>
      </c>
    </row>
    <row r="22" spans="1:48" ht="15" customHeight="1">
      <c r="A22" s="5" t="s">
        <v>82</v>
      </c>
      <c r="B22" s="49"/>
      <c r="C22" s="50"/>
      <c r="D22" s="5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6"/>
      <c r="P22" s="46"/>
      <c r="Q22" s="53"/>
      <c r="R22" s="53"/>
      <c r="S22" s="53"/>
      <c r="T22" s="53"/>
      <c r="U22" s="53"/>
      <c r="V22" s="45"/>
      <c r="W22" s="75"/>
      <c r="X22" s="76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>
      <c r="A23" s="127" t="s">
        <v>83</v>
      </c>
      <c r="B23" s="125">
        <v>737.8</v>
      </c>
      <c r="C23" s="106">
        <f aca="true" t="shared" si="18" ref="C23:C34">B23*8.65</f>
        <v>6381.97</v>
      </c>
      <c r="D23" s="107">
        <f>C23-E23-F23-G23-H23-I23-J23-K23-L23-M23-N23</f>
        <v>3410.760000000001</v>
      </c>
      <c r="E23" s="82">
        <v>315.86</v>
      </c>
      <c r="F23" s="82">
        <v>27.19</v>
      </c>
      <c r="G23" s="82">
        <v>427.55</v>
      </c>
      <c r="H23" s="82">
        <v>36.86</v>
      </c>
      <c r="I23" s="82">
        <v>1027.65</v>
      </c>
      <c r="J23" s="82">
        <v>88.53</v>
      </c>
      <c r="K23" s="82">
        <v>711.81</v>
      </c>
      <c r="L23" s="82">
        <v>61.33</v>
      </c>
      <c r="M23" s="82">
        <v>252.68</v>
      </c>
      <c r="N23" s="108">
        <v>21.75</v>
      </c>
      <c r="O23" s="71">
        <f aca="true" t="shared" si="19" ref="O23:O34">E23+G23+I23+K23+M23</f>
        <v>2735.5499999999997</v>
      </c>
      <c r="P23" s="128">
        <f aca="true" t="shared" si="20" ref="P23:P34">N23+L23+J23+H23+F23</f>
        <v>235.66000000000003</v>
      </c>
      <c r="Q23" s="109">
        <v>333.23</v>
      </c>
      <c r="R23" s="110">
        <v>450.8</v>
      </c>
      <c r="S23" s="110">
        <v>1086.48</v>
      </c>
      <c r="T23" s="110">
        <v>750.68</v>
      </c>
      <c r="U23" s="110">
        <v>266.6</v>
      </c>
      <c r="V23" s="105">
        <f>SUM(Q23:U23)</f>
        <v>2887.79</v>
      </c>
      <c r="W23" s="129">
        <f aca="true" t="shared" si="21" ref="W23:W34">D23+P23+V23</f>
        <v>6534.210000000001</v>
      </c>
      <c r="X23" s="84"/>
      <c r="Y23" s="14">
        <f aca="true" t="shared" si="22" ref="Y23:Y34">0.6*B23</f>
        <v>442.67999999999995</v>
      </c>
      <c r="Z23" s="14">
        <f aca="true" t="shared" si="23" ref="Z23:Z34">B23*0.2</f>
        <v>147.56</v>
      </c>
      <c r="AA23" s="14">
        <f aca="true" t="shared" si="24" ref="AA23:AA34">1*B23</f>
        <v>737.8</v>
      </c>
      <c r="AB23" s="14">
        <v>0</v>
      </c>
      <c r="AC23" s="14">
        <f>0.98*B23</f>
        <v>723.044</v>
      </c>
      <c r="AD23" s="14">
        <v>0</v>
      </c>
      <c r="AE23" s="14">
        <f aca="true" t="shared" si="25" ref="AE23:AE34">2.25*B23</f>
        <v>1660.05</v>
      </c>
      <c r="AF23" s="14">
        <v>0</v>
      </c>
      <c r="AG23" s="14">
        <v>0</v>
      </c>
      <c r="AH23" s="14">
        <f>AG23*0.18</f>
        <v>0</v>
      </c>
      <c r="AI23" s="86"/>
      <c r="AJ23" s="86"/>
      <c r="AK23" s="74"/>
      <c r="AL23" s="74"/>
      <c r="AM23" s="74"/>
      <c r="AN23" s="111">
        <v>508</v>
      </c>
      <c r="AO23" s="96">
        <v>0.15</v>
      </c>
      <c r="AP23" s="14">
        <f aca="true" t="shared" si="26" ref="AP23:AP34">AN23*AO23*1.4</f>
        <v>106.67999999999999</v>
      </c>
      <c r="AQ23" s="90"/>
      <c r="AR23" s="90">
        <f aca="true" t="shared" si="27" ref="AR23:AR34">AQ23*0.18</f>
        <v>0</v>
      </c>
      <c r="AS23" s="90">
        <f>SUM(Y23:AR23)-AN23-AO23</f>
        <v>3817.814</v>
      </c>
      <c r="AT23" s="93"/>
      <c r="AU23" s="12">
        <f aca="true" t="shared" si="28" ref="AU23:AU34">W23+X23-AS23-AT23</f>
        <v>2716.396000000001</v>
      </c>
      <c r="AV23" s="26">
        <f aca="true" t="shared" si="29" ref="AV23:AV34">V23-O23</f>
        <v>152.24000000000024</v>
      </c>
    </row>
    <row r="24" spans="1:48" ht="15" customHeight="1">
      <c r="A24" s="127" t="s">
        <v>84</v>
      </c>
      <c r="B24" s="125">
        <v>737.8</v>
      </c>
      <c r="C24" s="106">
        <f t="shared" si="18"/>
        <v>6381.97</v>
      </c>
      <c r="D24" s="107">
        <f>C24-E24-F24-G24-H24-I24-J24-K24-L24-M24-N24</f>
        <v>3410.760000000001</v>
      </c>
      <c r="E24" s="82">
        <v>315.86</v>
      </c>
      <c r="F24" s="82">
        <v>27.19</v>
      </c>
      <c r="G24" s="82">
        <v>427.55</v>
      </c>
      <c r="H24" s="82">
        <v>36.86</v>
      </c>
      <c r="I24" s="82">
        <v>1027.65</v>
      </c>
      <c r="J24" s="82">
        <v>88.53</v>
      </c>
      <c r="K24" s="82">
        <v>711.81</v>
      </c>
      <c r="L24" s="82">
        <v>61.33</v>
      </c>
      <c r="M24" s="82">
        <v>252.68</v>
      </c>
      <c r="N24" s="108">
        <v>21.75</v>
      </c>
      <c r="O24" s="71">
        <f t="shared" si="19"/>
        <v>2735.5499999999997</v>
      </c>
      <c r="P24" s="83">
        <f t="shared" si="20"/>
        <v>235.66000000000003</v>
      </c>
      <c r="Q24" s="110">
        <v>218.7</v>
      </c>
      <c r="R24" s="110">
        <v>295.96</v>
      </c>
      <c r="S24" s="110">
        <v>711.87</v>
      </c>
      <c r="T24" s="110">
        <v>492.84</v>
      </c>
      <c r="U24" s="110">
        <v>175</v>
      </c>
      <c r="V24" s="105">
        <f>SUM(Q24:U24)</f>
        <v>1894.37</v>
      </c>
      <c r="W24" s="84">
        <f t="shared" si="21"/>
        <v>5540.790000000001</v>
      </c>
      <c r="X24" s="84"/>
      <c r="Y24" s="14">
        <f t="shared" si="22"/>
        <v>442.67999999999995</v>
      </c>
      <c r="Z24" s="14">
        <f t="shared" si="23"/>
        <v>147.56</v>
      </c>
      <c r="AA24" s="14">
        <f t="shared" si="24"/>
        <v>737.8</v>
      </c>
      <c r="AB24" s="14">
        <v>0</v>
      </c>
      <c r="AC24" s="14">
        <f>0.98*B24</f>
        <v>723.044</v>
      </c>
      <c r="AD24" s="14">
        <v>0</v>
      </c>
      <c r="AE24" s="14">
        <f t="shared" si="25"/>
        <v>1660.05</v>
      </c>
      <c r="AF24" s="14">
        <v>0</v>
      </c>
      <c r="AG24" s="14">
        <v>0</v>
      </c>
      <c r="AH24" s="14">
        <f>AG24*0.18</f>
        <v>0</v>
      </c>
      <c r="AI24" s="86"/>
      <c r="AJ24" s="86"/>
      <c r="AK24" s="74"/>
      <c r="AL24" s="74"/>
      <c r="AM24" s="74"/>
      <c r="AN24" s="111">
        <v>407</v>
      </c>
      <c r="AO24" s="96">
        <v>0.15</v>
      </c>
      <c r="AP24" s="14">
        <f t="shared" si="26"/>
        <v>85.46999999999998</v>
      </c>
      <c r="AQ24" s="90"/>
      <c r="AR24" s="90">
        <f t="shared" si="27"/>
        <v>0</v>
      </c>
      <c r="AS24" s="90">
        <f>SUM(Y24:AR24)-AN24-AO24</f>
        <v>3796.604</v>
      </c>
      <c r="AT24" s="93"/>
      <c r="AU24" s="12">
        <f t="shared" si="28"/>
        <v>1744.186000000001</v>
      </c>
      <c r="AV24" s="26">
        <f t="shared" si="29"/>
        <v>-841.1799999999998</v>
      </c>
    </row>
    <row r="25" spans="1:48" ht="12.75">
      <c r="A25" s="9" t="s">
        <v>38</v>
      </c>
      <c r="B25" s="125">
        <v>737.8</v>
      </c>
      <c r="C25" s="106">
        <f t="shared" si="18"/>
        <v>6381.97</v>
      </c>
      <c r="D25" s="107">
        <f>C25-E25-F25-G25-H25-I25-J25-K25-L25-M25-N25</f>
        <v>3424.56</v>
      </c>
      <c r="E25" s="82">
        <v>306.89</v>
      </c>
      <c r="F25" s="82">
        <v>34.54</v>
      </c>
      <c r="G25" s="82">
        <v>415.49</v>
      </c>
      <c r="H25" s="82">
        <v>46.79</v>
      </c>
      <c r="I25" s="82">
        <v>998.64</v>
      </c>
      <c r="J25" s="82">
        <v>112.35</v>
      </c>
      <c r="K25" s="82">
        <v>691.74</v>
      </c>
      <c r="L25" s="82">
        <v>77.83</v>
      </c>
      <c r="M25" s="82">
        <v>245.54</v>
      </c>
      <c r="N25" s="108">
        <v>27.6</v>
      </c>
      <c r="O25" s="71">
        <f t="shared" si="19"/>
        <v>2658.3</v>
      </c>
      <c r="P25" s="83">
        <f t="shared" si="20"/>
        <v>299.11</v>
      </c>
      <c r="Q25" s="110">
        <v>181.52</v>
      </c>
      <c r="R25" s="110">
        <v>245.63</v>
      </c>
      <c r="S25" s="110">
        <v>590.82</v>
      </c>
      <c r="T25" s="110">
        <v>408.98</v>
      </c>
      <c r="U25" s="110">
        <v>145.21</v>
      </c>
      <c r="V25" s="105">
        <f>SUM(Q25:U25)</f>
        <v>1572.16</v>
      </c>
      <c r="W25" s="84">
        <f t="shared" si="21"/>
        <v>5295.83</v>
      </c>
      <c r="X25" s="84"/>
      <c r="Y25" s="14">
        <f t="shared" si="22"/>
        <v>442.67999999999995</v>
      </c>
      <c r="Z25" s="14">
        <f t="shared" si="23"/>
        <v>147.56</v>
      </c>
      <c r="AA25" s="14">
        <f t="shared" si="24"/>
        <v>737.8</v>
      </c>
      <c r="AB25" s="14">
        <v>0</v>
      </c>
      <c r="AC25" s="14">
        <f>0.98*B25</f>
        <v>723.044</v>
      </c>
      <c r="AD25" s="14">
        <v>0</v>
      </c>
      <c r="AE25" s="14">
        <f t="shared" si="25"/>
        <v>1660.05</v>
      </c>
      <c r="AF25" s="14">
        <v>0</v>
      </c>
      <c r="AG25" s="14"/>
      <c r="AH25" s="14"/>
      <c r="AI25" s="86"/>
      <c r="AJ25" s="86"/>
      <c r="AK25" s="74">
        <v>2200</v>
      </c>
      <c r="AL25" s="74"/>
      <c r="AM25" s="74"/>
      <c r="AN25" s="111">
        <v>383</v>
      </c>
      <c r="AO25" s="96">
        <v>0.15</v>
      </c>
      <c r="AP25" s="14">
        <f t="shared" si="26"/>
        <v>80.42999999999999</v>
      </c>
      <c r="AQ25" s="90"/>
      <c r="AR25" s="90">
        <f t="shared" si="27"/>
        <v>0</v>
      </c>
      <c r="AS25" s="90">
        <f>SUM(Y25:AR25)-AN25-AO25</f>
        <v>5991.564</v>
      </c>
      <c r="AT25" s="93"/>
      <c r="AU25" s="12">
        <f t="shared" si="28"/>
        <v>-695.7340000000004</v>
      </c>
      <c r="AV25" s="26">
        <f t="shared" si="29"/>
        <v>-1086.14</v>
      </c>
    </row>
    <row r="26" spans="1:48" ht="12.75">
      <c r="A26" s="9" t="s">
        <v>39</v>
      </c>
      <c r="B26" s="125">
        <v>737.8</v>
      </c>
      <c r="C26" s="106">
        <f t="shared" si="18"/>
        <v>6381.97</v>
      </c>
      <c r="D26" s="107">
        <f>C26-E26-F26-G26-H26-I26-J26-K26-L26-M26-N26</f>
        <v>3415.3600000000006</v>
      </c>
      <c r="E26" s="82">
        <v>312.87</v>
      </c>
      <c r="F26" s="82">
        <v>29.64</v>
      </c>
      <c r="G26" s="82">
        <v>423.53</v>
      </c>
      <c r="H26" s="82">
        <v>40.17</v>
      </c>
      <c r="I26" s="82">
        <v>1017.98</v>
      </c>
      <c r="J26" s="82">
        <v>96.47</v>
      </c>
      <c r="K26" s="82">
        <v>705.12</v>
      </c>
      <c r="L26" s="82">
        <v>66.83</v>
      </c>
      <c r="M26" s="82">
        <v>250.3</v>
      </c>
      <c r="N26" s="108">
        <v>23.7</v>
      </c>
      <c r="O26" s="71">
        <f t="shared" si="19"/>
        <v>2709.8</v>
      </c>
      <c r="P26" s="83">
        <f t="shared" si="20"/>
        <v>256.81</v>
      </c>
      <c r="Q26" s="110">
        <v>375.03</v>
      </c>
      <c r="R26" s="110">
        <v>507.85</v>
      </c>
      <c r="S26" s="110">
        <v>1222.53</v>
      </c>
      <c r="T26" s="110">
        <v>847.12</v>
      </c>
      <c r="U26" s="110">
        <v>361.2</v>
      </c>
      <c r="V26" s="105">
        <f aca="true" t="shared" si="30" ref="V26:V34">SUM(Q26:U26)</f>
        <v>3313.7299999999996</v>
      </c>
      <c r="W26" s="84">
        <f t="shared" si="21"/>
        <v>6985.9</v>
      </c>
      <c r="X26" s="84"/>
      <c r="Y26" s="14">
        <f t="shared" si="22"/>
        <v>442.67999999999995</v>
      </c>
      <c r="Z26" s="14">
        <f t="shared" si="23"/>
        <v>147.56</v>
      </c>
      <c r="AA26" s="14">
        <f t="shared" si="24"/>
        <v>737.8</v>
      </c>
      <c r="AB26" s="14">
        <v>0</v>
      </c>
      <c r="AC26" s="14">
        <f aca="true" t="shared" si="31" ref="AC26:AC34">(0.98*B26)</f>
        <v>723.044</v>
      </c>
      <c r="AD26" s="14">
        <v>0</v>
      </c>
      <c r="AE26" s="14">
        <f t="shared" si="25"/>
        <v>1660.05</v>
      </c>
      <c r="AF26" s="14">
        <v>0</v>
      </c>
      <c r="AG26" s="14"/>
      <c r="AH26" s="14"/>
      <c r="AI26" s="86"/>
      <c r="AJ26" s="86"/>
      <c r="AK26" s="74"/>
      <c r="AL26" s="74"/>
      <c r="AM26" s="74"/>
      <c r="AN26" s="111">
        <v>307</v>
      </c>
      <c r="AO26" s="96">
        <v>0.15</v>
      </c>
      <c r="AP26" s="14">
        <f t="shared" si="26"/>
        <v>64.47</v>
      </c>
      <c r="AQ26" s="90"/>
      <c r="AR26" s="90">
        <f t="shared" si="27"/>
        <v>0</v>
      </c>
      <c r="AS26" s="90">
        <f>SUM(Y26:AR26)-AN26-AO26</f>
        <v>3775.604</v>
      </c>
      <c r="AT26" s="93"/>
      <c r="AU26" s="12">
        <f t="shared" si="28"/>
        <v>3210.296</v>
      </c>
      <c r="AV26" s="26">
        <f t="shared" si="29"/>
        <v>603.9299999999994</v>
      </c>
    </row>
    <row r="27" spans="1:48" ht="12.75">
      <c r="A27" s="9" t="s">
        <v>40</v>
      </c>
      <c r="B27" s="105">
        <v>737.8</v>
      </c>
      <c r="C27" s="106">
        <f t="shared" si="18"/>
        <v>6381.97</v>
      </c>
      <c r="D27" s="107">
        <f>C27-E27-F27-G27-H27-I27-J27-K27-L27-M27-N27</f>
        <v>3415.3600000000006</v>
      </c>
      <c r="E27" s="82">
        <v>312.87</v>
      </c>
      <c r="F27" s="82">
        <v>29.64</v>
      </c>
      <c r="G27" s="82">
        <v>423.53</v>
      </c>
      <c r="H27" s="82">
        <v>40.17</v>
      </c>
      <c r="I27" s="82">
        <v>1017.98</v>
      </c>
      <c r="J27" s="82">
        <v>96.47</v>
      </c>
      <c r="K27" s="82">
        <v>705.12</v>
      </c>
      <c r="L27" s="82">
        <v>66.83</v>
      </c>
      <c r="M27" s="82">
        <v>250.3</v>
      </c>
      <c r="N27" s="108">
        <v>23.7</v>
      </c>
      <c r="O27" s="71">
        <f t="shared" si="19"/>
        <v>2709.8</v>
      </c>
      <c r="P27" s="83">
        <f t="shared" si="20"/>
        <v>256.81</v>
      </c>
      <c r="Q27" s="110">
        <v>214.99</v>
      </c>
      <c r="R27" s="110">
        <v>291.2</v>
      </c>
      <c r="S27" s="110">
        <v>678.52</v>
      </c>
      <c r="T27" s="110">
        <v>484.67</v>
      </c>
      <c r="U27" s="110">
        <v>172</v>
      </c>
      <c r="V27" s="105">
        <f t="shared" si="30"/>
        <v>1841.38</v>
      </c>
      <c r="W27" s="84">
        <f t="shared" si="21"/>
        <v>5513.550000000001</v>
      </c>
      <c r="X27" s="84"/>
      <c r="Y27" s="14">
        <f t="shared" si="22"/>
        <v>442.67999999999995</v>
      </c>
      <c r="Z27" s="14">
        <f t="shared" si="23"/>
        <v>147.56</v>
      </c>
      <c r="AA27" s="14">
        <f t="shared" si="24"/>
        <v>737.8</v>
      </c>
      <c r="AB27" s="14">
        <v>0</v>
      </c>
      <c r="AC27" s="14">
        <f t="shared" si="31"/>
        <v>723.044</v>
      </c>
      <c r="AD27" s="14">
        <v>0</v>
      </c>
      <c r="AE27" s="14">
        <f t="shared" si="25"/>
        <v>1660.05</v>
      </c>
      <c r="AF27" s="14">
        <v>0</v>
      </c>
      <c r="AG27" s="14"/>
      <c r="AH27" s="14"/>
      <c r="AI27" s="86"/>
      <c r="AJ27" s="86"/>
      <c r="AK27" s="74"/>
      <c r="AL27" s="74"/>
      <c r="AM27" s="74"/>
      <c r="AN27" s="111">
        <v>263</v>
      </c>
      <c r="AO27" s="96">
        <v>0.15</v>
      </c>
      <c r="AP27" s="14">
        <f t="shared" si="26"/>
        <v>55.22999999999999</v>
      </c>
      <c r="AQ27" s="90"/>
      <c r="AR27" s="90">
        <f t="shared" si="27"/>
        <v>0</v>
      </c>
      <c r="AS27" s="90">
        <f>SUM(Y27:AR27)-AN27-AO27</f>
        <v>3766.364</v>
      </c>
      <c r="AT27" s="93"/>
      <c r="AU27" s="12">
        <f t="shared" si="28"/>
        <v>1747.186000000001</v>
      </c>
      <c r="AV27" s="26">
        <f t="shared" si="29"/>
        <v>-868.4200000000001</v>
      </c>
    </row>
    <row r="28" spans="1:48" ht="12.75">
      <c r="A28" s="9" t="s">
        <v>41</v>
      </c>
      <c r="B28" s="105">
        <v>737.8</v>
      </c>
      <c r="C28" s="106">
        <f t="shared" si="18"/>
        <v>6381.97</v>
      </c>
      <c r="D28" s="107">
        <f>(C28-E28-F28-G28-H28-I28-J28-K28-L28-M28-N28)*0.80125+0.01</f>
        <v>2730.437637500001</v>
      </c>
      <c r="E28" s="82">
        <v>313.77</v>
      </c>
      <c r="F28" s="82">
        <v>29.64</v>
      </c>
      <c r="G28" s="82">
        <v>424.7</v>
      </c>
      <c r="H28" s="82">
        <v>40.17</v>
      </c>
      <c r="I28" s="82">
        <v>1020.86</v>
      </c>
      <c r="J28" s="82">
        <v>96.47</v>
      </c>
      <c r="K28" s="82">
        <v>707.1</v>
      </c>
      <c r="L28" s="82">
        <v>66.83</v>
      </c>
      <c r="M28" s="82">
        <v>251.02</v>
      </c>
      <c r="N28" s="108">
        <v>23.7</v>
      </c>
      <c r="O28" s="71">
        <f t="shared" si="19"/>
        <v>2717.45</v>
      </c>
      <c r="P28" s="83">
        <f t="shared" si="20"/>
        <v>256.81</v>
      </c>
      <c r="Q28" s="110">
        <v>311.25</v>
      </c>
      <c r="R28" s="110">
        <v>421.44</v>
      </c>
      <c r="S28" s="110">
        <v>1014.69</v>
      </c>
      <c r="T28" s="110">
        <v>701.53</v>
      </c>
      <c r="U28" s="110">
        <v>189.08</v>
      </c>
      <c r="V28" s="105">
        <f t="shared" si="30"/>
        <v>2637.99</v>
      </c>
      <c r="W28" s="84">
        <f t="shared" si="21"/>
        <v>5625.2376375</v>
      </c>
      <c r="X28" s="84"/>
      <c r="Y28" s="14">
        <f t="shared" si="22"/>
        <v>442.67999999999995</v>
      </c>
      <c r="Z28" s="14">
        <f t="shared" si="23"/>
        <v>147.56</v>
      </c>
      <c r="AA28" s="14">
        <f t="shared" si="24"/>
        <v>737.8</v>
      </c>
      <c r="AB28" s="14">
        <v>0</v>
      </c>
      <c r="AC28" s="14">
        <f t="shared" si="31"/>
        <v>723.044</v>
      </c>
      <c r="AD28" s="14">
        <v>0</v>
      </c>
      <c r="AE28" s="14">
        <f t="shared" si="25"/>
        <v>1660.05</v>
      </c>
      <c r="AF28" s="14">
        <v>0</v>
      </c>
      <c r="AG28" s="14"/>
      <c r="AH28" s="14"/>
      <c r="AI28" s="86"/>
      <c r="AJ28" s="86"/>
      <c r="AK28" s="74">
        <f>17529+2136</f>
        <v>19665</v>
      </c>
      <c r="AL28" s="74"/>
      <c r="AM28" s="74"/>
      <c r="AN28" s="111">
        <v>233</v>
      </c>
      <c r="AO28" s="96">
        <v>0.15</v>
      </c>
      <c r="AP28" s="14">
        <f t="shared" si="26"/>
        <v>48.92999999999999</v>
      </c>
      <c r="AQ28" s="90"/>
      <c r="AR28" s="90">
        <f t="shared" si="27"/>
        <v>0</v>
      </c>
      <c r="AS28" s="90">
        <f aca="true" t="shared" si="32" ref="AS28:AS33">SUM(Y28:AM28)+AP28</f>
        <v>23425.064</v>
      </c>
      <c r="AT28" s="93"/>
      <c r="AU28" s="12">
        <f t="shared" si="28"/>
        <v>-17799.826362499996</v>
      </c>
      <c r="AV28" s="26">
        <f t="shared" si="29"/>
        <v>-79.46000000000004</v>
      </c>
    </row>
    <row r="29" spans="1:48" ht="12.75">
      <c r="A29" s="9" t="s">
        <v>42</v>
      </c>
      <c r="B29" s="130">
        <v>732</v>
      </c>
      <c r="C29" s="106">
        <f t="shared" si="18"/>
        <v>6331.8</v>
      </c>
      <c r="D29" s="107">
        <f>(C29-E29-F29-G29-H29-I29-J29-K29-L29-M29-N29)*0.805915</f>
        <v>2766.536952850001</v>
      </c>
      <c r="E29" s="82">
        <v>336.7</v>
      </c>
      <c r="F29" s="82">
        <v>-1.95</v>
      </c>
      <c r="G29" s="82">
        <v>455.68</v>
      </c>
      <c r="H29" s="82">
        <v>-2.64</v>
      </c>
      <c r="I29" s="82">
        <v>1095.48</v>
      </c>
      <c r="J29" s="82">
        <v>-6.39</v>
      </c>
      <c r="K29" s="82">
        <v>758.71</v>
      </c>
      <c r="L29" s="82">
        <v>-4.41</v>
      </c>
      <c r="M29" s="82">
        <v>269.39</v>
      </c>
      <c r="N29" s="108">
        <v>-1.56</v>
      </c>
      <c r="O29" s="71">
        <f t="shared" si="19"/>
        <v>2915.96</v>
      </c>
      <c r="P29" s="83">
        <f t="shared" si="20"/>
        <v>-16.95</v>
      </c>
      <c r="Q29" s="110">
        <v>332.67</v>
      </c>
      <c r="R29" s="110">
        <v>450.39</v>
      </c>
      <c r="S29" s="110">
        <v>1084.75</v>
      </c>
      <c r="T29" s="110">
        <v>749.82</v>
      </c>
      <c r="U29" s="110">
        <v>266.15</v>
      </c>
      <c r="V29" s="105">
        <f t="shared" si="30"/>
        <v>2883.78</v>
      </c>
      <c r="W29" s="84">
        <f t="shared" si="21"/>
        <v>5633.366952850001</v>
      </c>
      <c r="X29" s="84"/>
      <c r="Y29" s="14">
        <f t="shared" si="22"/>
        <v>439.2</v>
      </c>
      <c r="Z29" s="14">
        <f t="shared" si="23"/>
        <v>146.4</v>
      </c>
      <c r="AA29" s="14">
        <f t="shared" si="24"/>
        <v>732</v>
      </c>
      <c r="AB29" s="14">
        <v>0</v>
      </c>
      <c r="AC29" s="14">
        <f t="shared" si="31"/>
        <v>717.36</v>
      </c>
      <c r="AD29" s="14">
        <v>0</v>
      </c>
      <c r="AE29" s="14">
        <f t="shared" si="25"/>
        <v>1647</v>
      </c>
      <c r="AF29" s="14">
        <v>0</v>
      </c>
      <c r="AG29" s="14"/>
      <c r="AH29" s="14"/>
      <c r="AI29" s="86"/>
      <c r="AJ29" s="86"/>
      <c r="AK29" s="74"/>
      <c r="AL29" s="74"/>
      <c r="AM29" s="74"/>
      <c r="AN29" s="111">
        <v>248</v>
      </c>
      <c r="AO29" s="96">
        <v>0.15</v>
      </c>
      <c r="AP29" s="14">
        <f t="shared" si="26"/>
        <v>52.07999999999999</v>
      </c>
      <c r="AQ29" s="90"/>
      <c r="AR29" s="90">
        <f t="shared" si="27"/>
        <v>0</v>
      </c>
      <c r="AS29" s="90">
        <f t="shared" si="32"/>
        <v>3734.04</v>
      </c>
      <c r="AT29" s="93"/>
      <c r="AU29" s="12">
        <f t="shared" si="28"/>
        <v>1899.3269528500014</v>
      </c>
      <c r="AV29" s="26">
        <f t="shared" si="29"/>
        <v>-32.179999999999836</v>
      </c>
    </row>
    <row r="30" spans="1:48" ht="12.75">
      <c r="A30" s="9" t="s">
        <v>43</v>
      </c>
      <c r="B30" s="105">
        <v>732</v>
      </c>
      <c r="C30" s="106">
        <f t="shared" si="18"/>
        <v>6331.8</v>
      </c>
      <c r="D30" s="107">
        <f>(C30-E30-F30-G30-H30-I30-J30-K30-L30-M30-N30)*0.857717</f>
        <v>2886.1833963199997</v>
      </c>
      <c r="E30" s="82">
        <v>342.58</v>
      </c>
      <c r="F30" s="82">
        <v>0</v>
      </c>
      <c r="G30" s="82">
        <v>463.66</v>
      </c>
      <c r="H30" s="82">
        <v>0</v>
      </c>
      <c r="I30" s="82">
        <v>1114.56</v>
      </c>
      <c r="J30" s="82">
        <v>0</v>
      </c>
      <c r="K30" s="82">
        <v>771.97</v>
      </c>
      <c r="L30" s="82">
        <v>0</v>
      </c>
      <c r="M30" s="82">
        <v>274.07</v>
      </c>
      <c r="N30" s="108">
        <v>0</v>
      </c>
      <c r="O30" s="71">
        <f t="shared" si="19"/>
        <v>2966.84</v>
      </c>
      <c r="P30" s="83">
        <f t="shared" si="20"/>
        <v>0</v>
      </c>
      <c r="Q30" s="110">
        <v>509.47</v>
      </c>
      <c r="R30" s="110">
        <v>690.16</v>
      </c>
      <c r="S30" s="110">
        <v>1659.79</v>
      </c>
      <c r="T30" s="110">
        <v>1225.68</v>
      </c>
      <c r="U30" s="110">
        <v>472.72</v>
      </c>
      <c r="V30" s="105">
        <f t="shared" si="30"/>
        <v>4557.820000000001</v>
      </c>
      <c r="W30" s="84">
        <f t="shared" si="21"/>
        <v>7444.00339632</v>
      </c>
      <c r="X30" s="84"/>
      <c r="Y30" s="14">
        <f t="shared" si="22"/>
        <v>439.2</v>
      </c>
      <c r="Z30" s="14">
        <f t="shared" si="23"/>
        <v>146.4</v>
      </c>
      <c r="AA30" s="14">
        <f t="shared" si="24"/>
        <v>732</v>
      </c>
      <c r="AB30" s="14">
        <v>0</v>
      </c>
      <c r="AC30" s="14">
        <f t="shared" si="31"/>
        <v>717.36</v>
      </c>
      <c r="AD30" s="14">
        <v>0</v>
      </c>
      <c r="AE30" s="14">
        <f t="shared" si="25"/>
        <v>1647</v>
      </c>
      <c r="AF30" s="14">
        <v>0</v>
      </c>
      <c r="AG30" s="14"/>
      <c r="AH30" s="14"/>
      <c r="AI30" s="86"/>
      <c r="AJ30" s="86"/>
      <c r="AK30" s="74"/>
      <c r="AL30" s="74">
        <f>47.8</f>
        <v>47.8</v>
      </c>
      <c r="AM30" s="74">
        <f>AL30*0.18</f>
        <v>8.604</v>
      </c>
      <c r="AN30" s="111">
        <v>293</v>
      </c>
      <c r="AO30" s="96">
        <v>0.15</v>
      </c>
      <c r="AP30" s="14">
        <f t="shared" si="26"/>
        <v>61.52999999999999</v>
      </c>
      <c r="AQ30" s="90"/>
      <c r="AR30" s="90">
        <f t="shared" si="27"/>
        <v>0</v>
      </c>
      <c r="AS30" s="90">
        <f t="shared" si="32"/>
        <v>3799.8940000000002</v>
      </c>
      <c r="AT30" s="93"/>
      <c r="AU30" s="12">
        <f t="shared" si="28"/>
        <v>3644.10939632</v>
      </c>
      <c r="AV30" s="26">
        <f t="shared" si="29"/>
        <v>1590.9800000000005</v>
      </c>
    </row>
    <row r="31" spans="1:48" ht="12.75">
      <c r="A31" s="9" t="s">
        <v>44</v>
      </c>
      <c r="B31" s="105">
        <v>732</v>
      </c>
      <c r="C31" s="106">
        <f t="shared" si="18"/>
        <v>6331.8</v>
      </c>
      <c r="D31" s="107">
        <f>(C31-E31-F31-G31-H31-I31-J31-K31-L31-M31-N31)*0.87553</f>
        <v>2946.1234287999996</v>
      </c>
      <c r="E31" s="82">
        <v>342.58</v>
      </c>
      <c r="F31" s="82">
        <v>0</v>
      </c>
      <c r="G31" s="82">
        <v>463.66</v>
      </c>
      <c r="H31" s="82">
        <v>0</v>
      </c>
      <c r="I31" s="82">
        <v>1114.56</v>
      </c>
      <c r="J31" s="82">
        <v>0</v>
      </c>
      <c r="K31" s="82">
        <v>771.97</v>
      </c>
      <c r="L31" s="82">
        <v>0</v>
      </c>
      <c r="M31" s="82">
        <v>274.07</v>
      </c>
      <c r="N31" s="108">
        <v>0</v>
      </c>
      <c r="O31" s="71">
        <f t="shared" si="19"/>
        <v>2966.84</v>
      </c>
      <c r="P31" s="83">
        <f t="shared" si="20"/>
        <v>0</v>
      </c>
      <c r="Q31" s="110">
        <v>227.81</v>
      </c>
      <c r="R31" s="110">
        <v>308.19</v>
      </c>
      <c r="S31" s="110">
        <v>742.18</v>
      </c>
      <c r="T31" s="110">
        <v>513.22</v>
      </c>
      <c r="U31" s="110">
        <v>182.24</v>
      </c>
      <c r="V31" s="105">
        <f t="shared" si="30"/>
        <v>1973.6399999999999</v>
      </c>
      <c r="W31" s="84">
        <f t="shared" si="21"/>
        <v>4919.763428799999</v>
      </c>
      <c r="X31" s="84"/>
      <c r="Y31" s="14">
        <f t="shared" si="22"/>
        <v>439.2</v>
      </c>
      <c r="Z31" s="14">
        <f t="shared" si="23"/>
        <v>146.4</v>
      </c>
      <c r="AA31" s="14">
        <f t="shared" si="24"/>
        <v>732</v>
      </c>
      <c r="AB31" s="14">
        <v>0</v>
      </c>
      <c r="AC31" s="14">
        <f t="shared" si="31"/>
        <v>717.36</v>
      </c>
      <c r="AD31" s="14">
        <v>0</v>
      </c>
      <c r="AE31" s="14">
        <f t="shared" si="25"/>
        <v>1647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349</v>
      </c>
      <c r="AO31" s="96">
        <v>0.15</v>
      </c>
      <c r="AP31" s="14">
        <f t="shared" si="26"/>
        <v>73.28999999999999</v>
      </c>
      <c r="AQ31" s="90"/>
      <c r="AR31" s="90">
        <f t="shared" si="27"/>
        <v>0</v>
      </c>
      <c r="AS31" s="90">
        <f t="shared" si="32"/>
        <v>3755.25</v>
      </c>
      <c r="AT31" s="93"/>
      <c r="AU31" s="12">
        <f t="shared" si="28"/>
        <v>1164.513428799999</v>
      </c>
      <c r="AV31" s="26">
        <f t="shared" si="29"/>
        <v>-993.2000000000003</v>
      </c>
    </row>
    <row r="32" spans="1:48" ht="12.75">
      <c r="A32" s="9" t="s">
        <v>34</v>
      </c>
      <c r="B32" s="105">
        <v>732</v>
      </c>
      <c r="C32" s="106">
        <f t="shared" si="18"/>
        <v>6331.8</v>
      </c>
      <c r="D32" s="107">
        <f>(C32-E32-F32-G32-H32-I32-J32-K32-L32-M32-N32)*0.811308</f>
        <v>2730.0189676799996</v>
      </c>
      <c r="E32" s="82">
        <v>342.58</v>
      </c>
      <c r="F32" s="82">
        <v>0</v>
      </c>
      <c r="G32" s="82">
        <v>463.66</v>
      </c>
      <c r="H32" s="82">
        <v>0</v>
      </c>
      <c r="I32" s="82">
        <v>1114.56</v>
      </c>
      <c r="J32" s="82">
        <v>0</v>
      </c>
      <c r="K32" s="82">
        <v>771.97</v>
      </c>
      <c r="L32" s="82">
        <v>0</v>
      </c>
      <c r="M32" s="82">
        <v>274.07</v>
      </c>
      <c r="N32" s="108">
        <v>0</v>
      </c>
      <c r="O32" s="71">
        <f t="shared" si="19"/>
        <v>2966.84</v>
      </c>
      <c r="P32" s="83">
        <f t="shared" si="20"/>
        <v>0</v>
      </c>
      <c r="Q32" s="110">
        <v>277.21</v>
      </c>
      <c r="R32" s="110">
        <v>375.34</v>
      </c>
      <c r="S32" s="110">
        <v>903.15</v>
      </c>
      <c r="T32" s="110">
        <v>624.84</v>
      </c>
      <c r="U32" s="110">
        <v>221.78</v>
      </c>
      <c r="V32" s="105">
        <f t="shared" si="30"/>
        <v>2402.32</v>
      </c>
      <c r="W32" s="84">
        <f t="shared" si="21"/>
        <v>5132.33896768</v>
      </c>
      <c r="X32" s="84"/>
      <c r="Y32" s="14">
        <f t="shared" si="22"/>
        <v>439.2</v>
      </c>
      <c r="Z32" s="14">
        <f t="shared" si="23"/>
        <v>146.4</v>
      </c>
      <c r="AA32" s="14">
        <f t="shared" si="24"/>
        <v>732</v>
      </c>
      <c r="AB32" s="14">
        <v>0</v>
      </c>
      <c r="AC32" s="14">
        <f t="shared" si="31"/>
        <v>717.36</v>
      </c>
      <c r="AD32" s="14">
        <v>0</v>
      </c>
      <c r="AE32" s="14">
        <f t="shared" si="25"/>
        <v>1647</v>
      </c>
      <c r="AF32" s="14">
        <v>0</v>
      </c>
      <c r="AG32" s="14"/>
      <c r="AH32" s="14"/>
      <c r="AI32" s="86"/>
      <c r="AJ32" s="86"/>
      <c r="AK32" s="74"/>
      <c r="AL32" s="74"/>
      <c r="AM32" s="74"/>
      <c r="AN32" s="111">
        <v>425</v>
      </c>
      <c r="AO32" s="96">
        <v>0.15</v>
      </c>
      <c r="AP32" s="14">
        <f t="shared" si="26"/>
        <v>89.25</v>
      </c>
      <c r="AQ32" s="90"/>
      <c r="AR32" s="90">
        <f t="shared" si="27"/>
        <v>0</v>
      </c>
      <c r="AS32" s="90">
        <f t="shared" si="32"/>
        <v>3771.21</v>
      </c>
      <c r="AT32" s="93"/>
      <c r="AU32" s="12">
        <f t="shared" si="28"/>
        <v>1361.1289676799997</v>
      </c>
      <c r="AV32" s="26">
        <f t="shared" si="29"/>
        <v>-564.52</v>
      </c>
    </row>
    <row r="33" spans="1:48" ht="12.75">
      <c r="A33" s="9" t="s">
        <v>35</v>
      </c>
      <c r="B33" s="105">
        <v>732</v>
      </c>
      <c r="C33" s="106">
        <f t="shared" si="18"/>
        <v>6331.8</v>
      </c>
      <c r="D33" s="107">
        <f>(C33-E33-F33-G33-H33-I33-J33-K33-L33-M33-N33)*0.870679</f>
        <v>2929.8000078399996</v>
      </c>
      <c r="E33" s="82">
        <v>342.58</v>
      </c>
      <c r="F33" s="82">
        <v>0</v>
      </c>
      <c r="G33" s="82">
        <v>463.66</v>
      </c>
      <c r="H33" s="82">
        <v>0</v>
      </c>
      <c r="I33" s="82">
        <v>1114.56</v>
      </c>
      <c r="J33" s="82">
        <v>0</v>
      </c>
      <c r="K33" s="82">
        <v>771.97</v>
      </c>
      <c r="L33" s="82">
        <v>0</v>
      </c>
      <c r="M33" s="82">
        <v>274.07</v>
      </c>
      <c r="N33" s="108">
        <v>0</v>
      </c>
      <c r="O33" s="71">
        <f t="shared" si="19"/>
        <v>2966.84</v>
      </c>
      <c r="P33" s="83">
        <f t="shared" si="20"/>
        <v>0</v>
      </c>
      <c r="Q33" s="110">
        <v>607.2</v>
      </c>
      <c r="R33" s="110">
        <v>822.4</v>
      </c>
      <c r="S33" s="110">
        <v>1976.79</v>
      </c>
      <c r="T33" s="110">
        <v>1332.53</v>
      </c>
      <c r="U33" s="110">
        <v>519.66</v>
      </c>
      <c r="V33" s="105">
        <f t="shared" si="30"/>
        <v>5258.58</v>
      </c>
      <c r="W33" s="84">
        <f t="shared" si="21"/>
        <v>8188.38000784</v>
      </c>
      <c r="X33" s="84"/>
      <c r="Y33" s="14">
        <f t="shared" si="22"/>
        <v>439.2</v>
      </c>
      <c r="Z33" s="14">
        <f t="shared" si="23"/>
        <v>146.4</v>
      </c>
      <c r="AA33" s="14">
        <f t="shared" si="24"/>
        <v>732</v>
      </c>
      <c r="AB33" s="14">
        <v>0</v>
      </c>
      <c r="AC33" s="14">
        <f t="shared" si="31"/>
        <v>717.36</v>
      </c>
      <c r="AD33" s="14">
        <v>0</v>
      </c>
      <c r="AE33" s="14">
        <f t="shared" si="25"/>
        <v>1647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470</v>
      </c>
      <c r="AO33" s="96">
        <v>0.15</v>
      </c>
      <c r="AP33" s="14">
        <f t="shared" si="26"/>
        <v>98.69999999999999</v>
      </c>
      <c r="AQ33" s="90"/>
      <c r="AR33" s="90">
        <f t="shared" si="27"/>
        <v>0</v>
      </c>
      <c r="AS33" s="90">
        <f t="shared" si="32"/>
        <v>3780.66</v>
      </c>
      <c r="AT33" s="93"/>
      <c r="AU33" s="12">
        <f t="shared" si="28"/>
        <v>4407.72000784</v>
      </c>
      <c r="AV33" s="26">
        <f t="shared" si="29"/>
        <v>2291.74</v>
      </c>
    </row>
    <row r="34" spans="1:48" ht="12.75">
      <c r="A34" s="9" t="s">
        <v>36</v>
      </c>
      <c r="B34" s="105">
        <v>732</v>
      </c>
      <c r="C34" s="106">
        <f t="shared" si="18"/>
        <v>6331.8</v>
      </c>
      <c r="D34" s="107">
        <f>(C34-E34-F34-G34-H34-I34-J34-K34-L34-M34-N34)*0.91496</f>
        <v>3078.7946519999996</v>
      </c>
      <c r="E34" s="82">
        <v>342.58</v>
      </c>
      <c r="F34" s="82">
        <v>0</v>
      </c>
      <c r="G34" s="82">
        <v>463.67</v>
      </c>
      <c r="H34" s="82">
        <v>0</v>
      </c>
      <c r="I34" s="82">
        <v>1114.56</v>
      </c>
      <c r="J34" s="82">
        <v>0</v>
      </c>
      <c r="K34" s="82">
        <v>771.97</v>
      </c>
      <c r="L34" s="82">
        <v>0</v>
      </c>
      <c r="M34" s="82">
        <v>274.07</v>
      </c>
      <c r="N34" s="108">
        <v>0</v>
      </c>
      <c r="O34" s="71">
        <f t="shared" si="19"/>
        <v>2966.85</v>
      </c>
      <c r="P34" s="83">
        <f t="shared" si="20"/>
        <v>0</v>
      </c>
      <c r="Q34" s="110">
        <v>594.19</v>
      </c>
      <c r="R34" s="110">
        <v>804.69</v>
      </c>
      <c r="S34" s="110">
        <v>1934.14</v>
      </c>
      <c r="T34" s="110">
        <v>1285.3</v>
      </c>
      <c r="U34" s="110">
        <v>534.87</v>
      </c>
      <c r="V34" s="105">
        <f t="shared" si="30"/>
        <v>5153.1900000000005</v>
      </c>
      <c r="W34" s="84">
        <f t="shared" si="21"/>
        <v>8231.984652</v>
      </c>
      <c r="X34" s="84"/>
      <c r="Y34" s="14">
        <f t="shared" si="22"/>
        <v>439.2</v>
      </c>
      <c r="Z34" s="14">
        <f t="shared" si="23"/>
        <v>146.4</v>
      </c>
      <c r="AA34" s="14">
        <f t="shared" si="24"/>
        <v>732</v>
      </c>
      <c r="AB34" s="14">
        <v>0</v>
      </c>
      <c r="AC34" s="14">
        <f t="shared" si="31"/>
        <v>717.36</v>
      </c>
      <c r="AD34" s="14">
        <v>0</v>
      </c>
      <c r="AE34" s="14">
        <f t="shared" si="25"/>
        <v>1647</v>
      </c>
      <c r="AF34" s="14">
        <v>0</v>
      </c>
      <c r="AG34" s="14"/>
      <c r="AH34" s="14"/>
      <c r="AI34" s="86"/>
      <c r="AJ34" s="86"/>
      <c r="AK34" s="74">
        <f>8134.16+12085-0.16</f>
        <v>20219</v>
      </c>
      <c r="AL34" s="74"/>
      <c r="AM34" s="74"/>
      <c r="AN34" s="111">
        <v>514</v>
      </c>
      <c r="AO34" s="96">
        <v>0.15</v>
      </c>
      <c r="AP34" s="14">
        <f t="shared" si="26"/>
        <v>107.93999999999998</v>
      </c>
      <c r="AQ34" s="90"/>
      <c r="AR34" s="90">
        <f t="shared" si="27"/>
        <v>0</v>
      </c>
      <c r="AS34" s="90">
        <f>SUM(Y34:AM34)+AP34</f>
        <v>24008.899999999998</v>
      </c>
      <c r="AT34" s="93"/>
      <c r="AU34" s="12">
        <f t="shared" si="28"/>
        <v>-15776.915347999999</v>
      </c>
      <c r="AV34" s="26">
        <f t="shared" si="29"/>
        <v>2186.3400000000006</v>
      </c>
    </row>
    <row r="35" spans="1:48" s="18" customFormat="1" ht="12.75">
      <c r="A35" s="15" t="s">
        <v>5</v>
      </c>
      <c r="B35" s="51"/>
      <c r="C35" s="17">
        <f aca="true" t="shared" si="33" ref="C35:AU35">SUM(C23:C34)</f>
        <v>76282.62000000001</v>
      </c>
      <c r="D35" s="17">
        <f t="shared" si="33"/>
        <v>37144.69504299</v>
      </c>
      <c r="E35" s="17">
        <f t="shared" si="33"/>
        <v>3927.7199999999993</v>
      </c>
      <c r="F35" s="17">
        <f t="shared" si="33"/>
        <v>175.89</v>
      </c>
      <c r="G35" s="17">
        <f t="shared" si="33"/>
        <v>5316.339999999999</v>
      </c>
      <c r="H35" s="17">
        <f t="shared" si="33"/>
        <v>238.38000000000005</v>
      </c>
      <c r="I35" s="17">
        <f t="shared" si="33"/>
        <v>12779.039999999997</v>
      </c>
      <c r="J35" s="17">
        <f t="shared" si="33"/>
        <v>572.4300000000001</v>
      </c>
      <c r="K35" s="17">
        <f t="shared" si="33"/>
        <v>8851.26</v>
      </c>
      <c r="L35" s="17">
        <f t="shared" si="33"/>
        <v>396.56999999999994</v>
      </c>
      <c r="M35" s="17">
        <f t="shared" si="33"/>
        <v>3142.26</v>
      </c>
      <c r="N35" s="17">
        <f t="shared" si="33"/>
        <v>140.64</v>
      </c>
      <c r="O35" s="17">
        <f t="shared" si="33"/>
        <v>34016.62</v>
      </c>
      <c r="P35" s="17">
        <f t="shared" si="33"/>
        <v>1523.9099999999999</v>
      </c>
      <c r="Q35" s="17">
        <f t="shared" si="33"/>
        <v>4183.27</v>
      </c>
      <c r="R35" s="17">
        <f t="shared" si="33"/>
        <v>5664.049999999999</v>
      </c>
      <c r="S35" s="17">
        <f t="shared" si="33"/>
        <v>13605.71</v>
      </c>
      <c r="T35" s="17">
        <f t="shared" si="33"/>
        <v>9417.21</v>
      </c>
      <c r="U35" s="17">
        <f t="shared" si="33"/>
        <v>3506.5099999999998</v>
      </c>
      <c r="V35" s="17">
        <f t="shared" si="33"/>
        <v>36376.75</v>
      </c>
      <c r="W35" s="17">
        <f t="shared" si="33"/>
        <v>75045.35504299</v>
      </c>
      <c r="X35" s="17">
        <f t="shared" si="33"/>
        <v>0</v>
      </c>
      <c r="Y35" s="17">
        <f t="shared" si="33"/>
        <v>5291.279999999999</v>
      </c>
      <c r="Z35" s="17">
        <f t="shared" si="33"/>
        <v>1763.7600000000004</v>
      </c>
      <c r="AA35" s="17">
        <f t="shared" si="33"/>
        <v>8818.8</v>
      </c>
      <c r="AB35" s="17">
        <f t="shared" si="33"/>
        <v>0</v>
      </c>
      <c r="AC35" s="17">
        <f t="shared" si="33"/>
        <v>8642.423999999999</v>
      </c>
      <c r="AD35" s="17">
        <f t="shared" si="33"/>
        <v>0</v>
      </c>
      <c r="AE35" s="17">
        <f t="shared" si="33"/>
        <v>19842.3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42084</v>
      </c>
      <c r="AL35" s="17">
        <f t="shared" si="33"/>
        <v>47.8</v>
      </c>
      <c r="AM35" s="17">
        <f t="shared" si="33"/>
        <v>8.604</v>
      </c>
      <c r="AN35" s="17">
        <f t="shared" si="33"/>
        <v>4400</v>
      </c>
      <c r="AO35" s="17">
        <f t="shared" si="33"/>
        <v>1.7999999999999996</v>
      </c>
      <c r="AP35" s="17">
        <f t="shared" si="33"/>
        <v>923.9999999999999</v>
      </c>
      <c r="AQ35" s="17">
        <f t="shared" si="33"/>
        <v>0</v>
      </c>
      <c r="AR35" s="17">
        <f t="shared" si="33"/>
        <v>0</v>
      </c>
      <c r="AS35" s="17">
        <f t="shared" si="33"/>
        <v>87422.968</v>
      </c>
      <c r="AT35" s="17">
        <f t="shared" si="33"/>
        <v>0</v>
      </c>
      <c r="AU35" s="17">
        <f t="shared" si="33"/>
        <v>-12377.612957009991</v>
      </c>
      <c r="AV35" s="17">
        <f>SUM(AV23:AV34)</f>
        <v>2360.13</v>
      </c>
    </row>
    <row r="36" spans="1:48" ht="12.75">
      <c r="A36" s="9"/>
      <c r="B36" s="10"/>
      <c r="C36" s="11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2"/>
      <c r="P36" s="42"/>
      <c r="Q36" s="44"/>
      <c r="R36" s="44"/>
      <c r="S36" s="44"/>
      <c r="T36" s="44"/>
      <c r="U36" s="44"/>
      <c r="V36" s="44"/>
      <c r="W36" s="78"/>
      <c r="X36" s="79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3"/>
      <c r="AL36" s="73"/>
      <c r="AM36" s="74"/>
      <c r="AN36" s="74"/>
      <c r="AO36" s="74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>C35+C21</f>
        <v>140102.32</v>
      </c>
      <c r="D37" s="21">
        <f aca="true" t="shared" si="34" ref="D37:AV37">D35+D21</f>
        <v>66073.14754299002</v>
      </c>
      <c r="E37" s="21">
        <f t="shared" si="34"/>
        <v>6983.48</v>
      </c>
      <c r="F37" s="21">
        <f t="shared" si="34"/>
        <v>490.69000000000005</v>
      </c>
      <c r="G37" s="21">
        <f t="shared" si="34"/>
        <v>9450.869999999999</v>
      </c>
      <c r="H37" s="21">
        <f t="shared" si="34"/>
        <v>664.62</v>
      </c>
      <c r="I37" s="21">
        <f t="shared" si="34"/>
        <v>22719.369999999995</v>
      </c>
      <c r="J37" s="21">
        <f t="shared" si="34"/>
        <v>1596.8100000000002</v>
      </c>
      <c r="K37" s="21">
        <f t="shared" si="34"/>
        <v>15735.98</v>
      </c>
      <c r="L37" s="21">
        <f t="shared" si="34"/>
        <v>1106.0899999999997</v>
      </c>
      <c r="M37" s="21">
        <f t="shared" si="34"/>
        <v>5586.89</v>
      </c>
      <c r="N37" s="21">
        <f t="shared" si="34"/>
        <v>392.40000000000003</v>
      </c>
      <c r="O37" s="21">
        <f t="shared" si="34"/>
        <v>60476.59</v>
      </c>
      <c r="P37" s="21">
        <f t="shared" si="34"/>
        <v>4250.609999999999</v>
      </c>
      <c r="Q37" s="21">
        <f t="shared" si="34"/>
        <v>5898.16</v>
      </c>
      <c r="R37" s="21">
        <f t="shared" si="34"/>
        <v>7983.82</v>
      </c>
      <c r="S37" s="21">
        <f t="shared" si="34"/>
        <v>19178.42</v>
      </c>
      <c r="T37" s="21">
        <f t="shared" si="34"/>
        <v>13280.38</v>
      </c>
      <c r="U37" s="21">
        <f t="shared" si="34"/>
        <v>4878.42</v>
      </c>
      <c r="V37" s="21">
        <f t="shared" si="34"/>
        <v>51219.2</v>
      </c>
      <c r="W37" s="21">
        <f t="shared" si="34"/>
        <v>121542.95754299001</v>
      </c>
      <c r="X37" s="21">
        <f t="shared" si="34"/>
        <v>0</v>
      </c>
      <c r="Y37" s="21">
        <f t="shared" si="34"/>
        <v>9629.543999999998</v>
      </c>
      <c r="Z37" s="21">
        <f t="shared" si="34"/>
        <v>3216.5855896000003</v>
      </c>
      <c r="AA37" s="21">
        <f t="shared" si="34"/>
        <v>14917.3758554</v>
      </c>
      <c r="AB37" s="21">
        <f t="shared" si="34"/>
        <v>1097.743653972</v>
      </c>
      <c r="AC37" s="21">
        <f t="shared" si="34"/>
        <v>14606.064941439998</v>
      </c>
      <c r="AD37" s="21">
        <f t="shared" si="34"/>
        <v>1073.4553694591998</v>
      </c>
      <c r="AE37" s="21">
        <f t="shared" si="34"/>
        <v>33565.42651548</v>
      </c>
      <c r="AF37" s="21">
        <f t="shared" si="34"/>
        <v>2470.1627727863997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47955.770000000004</v>
      </c>
      <c r="AL37" s="21">
        <f t="shared" si="34"/>
        <v>4645.8</v>
      </c>
      <c r="AM37" s="21">
        <f t="shared" si="34"/>
        <v>1893.1626</v>
      </c>
      <c r="AN37" s="21">
        <f t="shared" si="34"/>
        <v>4400</v>
      </c>
      <c r="AO37" s="21">
        <f t="shared" si="34"/>
        <v>1.7999999999999996</v>
      </c>
      <c r="AP37" s="21">
        <f t="shared" si="34"/>
        <v>1614.8663999999999</v>
      </c>
      <c r="AQ37" s="21">
        <f t="shared" si="34"/>
        <v>0</v>
      </c>
      <c r="AR37" s="21">
        <f t="shared" si="34"/>
        <v>0</v>
      </c>
      <c r="AS37" s="21">
        <f t="shared" si="34"/>
        <v>136685.9576981376</v>
      </c>
      <c r="AT37" s="21">
        <f t="shared" si="34"/>
        <v>0</v>
      </c>
      <c r="AU37" s="21">
        <f t="shared" si="34"/>
        <v>-15143.000155147583</v>
      </c>
      <c r="AV37" s="21">
        <f t="shared" si="34"/>
        <v>-9257.39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22">
      <selection activeCell="C47" sqref="C47:D47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15" t="s">
        <v>46</v>
      </c>
      <c r="C1" s="215"/>
      <c r="D1" s="215"/>
      <c r="E1" s="215"/>
      <c r="F1" s="215"/>
      <c r="G1" s="215"/>
      <c r="H1" s="215"/>
    </row>
    <row r="2" spans="2:8" ht="21" customHeight="1">
      <c r="B2" s="215" t="s">
        <v>47</v>
      </c>
      <c r="C2" s="215"/>
      <c r="D2" s="215"/>
      <c r="E2" s="215"/>
      <c r="F2" s="215"/>
      <c r="G2" s="215"/>
      <c r="H2" s="215"/>
    </row>
    <row r="5" spans="1:15" ht="12.75">
      <c r="A5" s="217" t="s">
        <v>80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2.75">
      <c r="A6" s="218" t="s">
        <v>86</v>
      </c>
      <c r="B6" s="218"/>
      <c r="C6" s="218"/>
      <c r="D6" s="218"/>
      <c r="E6" s="218"/>
      <c r="F6" s="218"/>
      <c r="G6" s="218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16" t="s">
        <v>48</v>
      </c>
      <c r="B8" s="216"/>
      <c r="C8" s="216"/>
      <c r="D8" s="216"/>
      <c r="E8" s="216">
        <v>8.65</v>
      </c>
      <c r="F8" s="216"/>
    </row>
    <row r="9" spans="1:16" ht="12.75" customHeight="1">
      <c r="A9" s="170" t="s">
        <v>49</v>
      </c>
      <c r="B9" s="188" t="s">
        <v>1</v>
      </c>
      <c r="C9" s="191" t="s">
        <v>50</v>
      </c>
      <c r="D9" s="194" t="s">
        <v>3</v>
      </c>
      <c r="E9" s="207" t="s">
        <v>51</v>
      </c>
      <c r="F9" s="208"/>
      <c r="G9" s="211" t="s">
        <v>52</v>
      </c>
      <c r="H9" s="212"/>
      <c r="I9" s="197" t="s">
        <v>8</v>
      </c>
      <c r="J9" s="150"/>
      <c r="K9" s="150"/>
      <c r="L9" s="150"/>
      <c r="M9" s="150"/>
      <c r="N9" s="198"/>
      <c r="O9" s="184" t="s">
        <v>53</v>
      </c>
      <c r="P9" s="184" t="s">
        <v>10</v>
      </c>
    </row>
    <row r="10" spans="1:16" ht="12.75">
      <c r="A10" s="171"/>
      <c r="B10" s="189"/>
      <c r="C10" s="192"/>
      <c r="D10" s="195"/>
      <c r="E10" s="209"/>
      <c r="F10" s="210"/>
      <c r="G10" s="213"/>
      <c r="H10" s="214"/>
      <c r="I10" s="199"/>
      <c r="J10" s="139"/>
      <c r="K10" s="139"/>
      <c r="L10" s="139"/>
      <c r="M10" s="139"/>
      <c r="N10" s="200"/>
      <c r="O10" s="185"/>
      <c r="P10" s="185"/>
    </row>
    <row r="11" spans="1:16" ht="26.25" customHeight="1">
      <c r="A11" s="171"/>
      <c r="B11" s="189"/>
      <c r="C11" s="192"/>
      <c r="D11" s="195"/>
      <c r="E11" s="201" t="s">
        <v>54</v>
      </c>
      <c r="F11" s="202"/>
      <c r="G11" s="70" t="s">
        <v>55</v>
      </c>
      <c r="H11" s="179" t="s">
        <v>7</v>
      </c>
      <c r="I11" s="203" t="s">
        <v>56</v>
      </c>
      <c r="J11" s="205" t="s">
        <v>26</v>
      </c>
      <c r="K11" s="205" t="s">
        <v>57</v>
      </c>
      <c r="L11" s="205" t="s">
        <v>31</v>
      </c>
      <c r="M11" s="205" t="s">
        <v>58</v>
      </c>
      <c r="N11" s="179" t="s">
        <v>33</v>
      </c>
      <c r="O11" s="185"/>
      <c r="P11" s="185"/>
    </row>
    <row r="12" spans="1:16" ht="66.75" customHeight="1" thickBot="1">
      <c r="A12" s="187"/>
      <c r="B12" s="190"/>
      <c r="C12" s="193"/>
      <c r="D12" s="196"/>
      <c r="E12" s="54" t="s">
        <v>59</v>
      </c>
      <c r="F12" s="57" t="s">
        <v>17</v>
      </c>
      <c r="G12" s="67" t="s">
        <v>79</v>
      </c>
      <c r="H12" s="180"/>
      <c r="I12" s="204"/>
      <c r="J12" s="206"/>
      <c r="K12" s="206"/>
      <c r="L12" s="206"/>
      <c r="M12" s="206"/>
      <c r="N12" s="180"/>
      <c r="O12" s="186"/>
      <c r="P12" s="186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737.8</v>
      </c>
      <c r="C15" s="23">
        <f aca="true" t="shared" si="0" ref="C15:C24">B15*8.65</f>
        <v>6381.97</v>
      </c>
      <c r="D15" s="24">
        <f>Лист1!D9</f>
        <v>797.74625</v>
      </c>
      <c r="E15" s="12">
        <f>Лист1!O9</f>
        <v>2410.75</v>
      </c>
      <c r="F15" s="26">
        <f>Лист1!P9</f>
        <v>321.18</v>
      </c>
      <c r="G15" s="25">
        <f>Лист1!V9</f>
        <v>0</v>
      </c>
      <c r="H15" s="26">
        <f>Лист1!W9</f>
        <v>1118.92625</v>
      </c>
      <c r="I15" s="25">
        <f>Лист1!Y9</f>
        <v>398.412</v>
      </c>
      <c r="J15" s="12">
        <f>Лист1!AA9+Лист1!AB9</f>
        <v>659.27793806</v>
      </c>
      <c r="K15" s="12">
        <f>Лист1!Z9+Лист1!AC9+Лист1!AD9+Лист1!AE9+Лист1!AF9+Лист1!AG9+Лист1!AH9+Лист1!AI9+Лист1!AJ9</f>
        <v>2263.5671389239997</v>
      </c>
      <c r="L15" s="27">
        <f>Лист1!AK9+Лист1!AL9+Лист1!AM9+Лист1!AQ9+Лист1!AR9</f>
        <v>0</v>
      </c>
      <c r="M15" s="27">
        <f>Лист1!AP9</f>
        <v>75.92592</v>
      </c>
      <c r="N15" s="26">
        <f>Лист1!AS9</f>
        <v>3321.2570769839995</v>
      </c>
      <c r="O15" s="63">
        <f>Лист1!AU9</f>
        <v>-2202.3308269839995</v>
      </c>
      <c r="P15" s="63">
        <f>Лист1!AV9</f>
        <v>-2410.75</v>
      </c>
      <c r="Q15" s="1"/>
      <c r="R15" s="1"/>
    </row>
    <row r="16" spans="1:18" ht="12.75">
      <c r="A16" s="9" t="s">
        <v>39</v>
      </c>
      <c r="B16" s="68">
        <f>Лист1!B10</f>
        <v>737.8</v>
      </c>
      <c r="C16" s="23">
        <f t="shared" si="0"/>
        <v>6381.97</v>
      </c>
      <c r="D16" s="24">
        <f>Лист1!D10</f>
        <v>797.74625</v>
      </c>
      <c r="E16" s="12">
        <f>Лист1!O10</f>
        <v>2410.75</v>
      </c>
      <c r="F16" s="26">
        <f>Лист1!P10</f>
        <v>321.18</v>
      </c>
      <c r="G16" s="25">
        <f>Лист1!V10</f>
        <v>377.31999999999994</v>
      </c>
      <c r="H16" s="26">
        <f>Лист1!W10</f>
        <v>1496.24625</v>
      </c>
      <c r="I16" s="25">
        <f>Лист1!Y10</f>
        <v>398.412</v>
      </c>
      <c r="J16" s="12">
        <f>Лист1!AA10+Лист1!AB10</f>
        <v>659.27793806</v>
      </c>
      <c r="K16" s="12">
        <f>Лист1!Z10+Лист1!AC10+Лист1!AD10+Лист1!AE10+Лист1!AF10+Лист1!AG10+Лист1!AH10+Лист1!AI10+Лист1!AJ10</f>
        <v>2265.824806924</v>
      </c>
      <c r="L16" s="27">
        <f>Лист1!AK10+Лист1!AL10+Лист1!AM10+Лист1!AQ10+Лист1!AR10</f>
        <v>0</v>
      </c>
      <c r="M16" s="27">
        <f>Лист1!AP10</f>
        <v>60.85968</v>
      </c>
      <c r="N16" s="26">
        <f>Лист1!AS10</f>
        <v>3460.3003449839994</v>
      </c>
      <c r="O16" s="63">
        <f>Лист1!AU10</f>
        <v>-1964.0540949839994</v>
      </c>
      <c r="P16" s="63">
        <f>Лист1!AU10</f>
        <v>-1964.0540949839994</v>
      </c>
      <c r="Q16" s="1"/>
      <c r="R16" s="1"/>
    </row>
    <row r="17" spans="1:18" ht="12.75">
      <c r="A17" s="9" t="s">
        <v>40</v>
      </c>
      <c r="B17" s="68">
        <f>Лист1!B11</f>
        <v>737.8</v>
      </c>
      <c r="C17" s="23">
        <f t="shared" si="0"/>
        <v>6381.97</v>
      </c>
      <c r="D17" s="24">
        <f>Лист1!D11</f>
        <v>3416.5200000000013</v>
      </c>
      <c r="E17" s="12">
        <f>Лист1!O11</f>
        <v>2603.44</v>
      </c>
      <c r="F17" s="26">
        <f>Лист1!P11</f>
        <v>362.01</v>
      </c>
      <c r="G17" s="25">
        <f>Лист1!V11</f>
        <v>635.6800000000001</v>
      </c>
      <c r="H17" s="26">
        <f>Лист1!W11</f>
        <v>4414.210000000002</v>
      </c>
      <c r="I17" s="25">
        <f>Лист1!Y11</f>
        <v>442.67999999999995</v>
      </c>
      <c r="J17" s="12">
        <f>Лист1!AA11+Лист1!AB11</f>
        <v>732.53926466</v>
      </c>
      <c r="K17" s="12">
        <f>Лист1!Z11+Лист1!AC11+Лист1!AD11+Лист1!AE11+Лист1!AF11+Лист1!AG11+Лист1!AH11+Лист1!AI11+Лист1!AJ11</f>
        <v>2515.55448032</v>
      </c>
      <c r="L17" s="27">
        <f>Лист1!AK11+Лист1!AL11+Лист1!AM11+Лист1!AQ11+Лист1!AR11</f>
        <v>0</v>
      </c>
      <c r="M17" s="27">
        <f>Лист1!AP11</f>
        <v>52.137119999999996</v>
      </c>
      <c r="N17" s="26">
        <f>Лист1!AS11</f>
        <v>3742.910864979999</v>
      </c>
      <c r="O17" s="63">
        <f>Лист1!AU11</f>
        <v>671.2991350200027</v>
      </c>
      <c r="P17" s="63">
        <f>Лист1!AV11</f>
        <v>-1967.76</v>
      </c>
      <c r="Q17" s="1"/>
      <c r="R17" s="1"/>
    </row>
    <row r="18" spans="1:18" ht="12.75">
      <c r="A18" s="9" t="s">
        <v>41</v>
      </c>
      <c r="B18" s="68">
        <f>Лист1!B12</f>
        <v>737.8</v>
      </c>
      <c r="C18" s="23">
        <f t="shared" si="0"/>
        <v>6381.97</v>
      </c>
      <c r="D18" s="24">
        <f>Лист1!D12</f>
        <v>3419.2</v>
      </c>
      <c r="E18" s="12">
        <f>Лист1!O12</f>
        <v>4328.849999999999</v>
      </c>
      <c r="F18" s="26">
        <f>Лист1!P12</f>
        <v>483.69000000000005</v>
      </c>
      <c r="G18" s="25">
        <f>Лист1!V12</f>
        <v>1988.05</v>
      </c>
      <c r="H18" s="26">
        <f>Лист1!W12</f>
        <v>5890.94</v>
      </c>
      <c r="I18" s="25">
        <f>Лист1!Y12</f>
        <v>442.67999999999995</v>
      </c>
      <c r="J18" s="12">
        <f>Лист1!AA12+Лист1!AB12</f>
        <v>731.310842416</v>
      </c>
      <c r="K18" s="12">
        <f>Лист1!Z12+Лист1!AC12+Лист1!AD12+Лист1!AE12+Лист1!AF12+Лист1!AG12+Лист1!AH12+Лист1!AI12+Лист1!AJ12</f>
        <v>2511.2392670408</v>
      </c>
      <c r="L18" s="27">
        <f>Лист1!AK12+Лист1!AL12+Лист1!AM12+Лист1!AQ12+Лист1!AR12</f>
        <v>0</v>
      </c>
      <c r="M18" s="27">
        <f>Лист1!AP12</f>
        <v>46.189919999999994</v>
      </c>
      <c r="N18" s="26">
        <f>Лист1!AS12</f>
        <v>3731.4200294567995</v>
      </c>
      <c r="O18" s="63">
        <f>Лист1!AU12</f>
        <v>2159.5199705432</v>
      </c>
      <c r="P18" s="63">
        <f>Лист1!AV12</f>
        <v>-2340.7999999999993</v>
      </c>
      <c r="Q18" s="1"/>
      <c r="R18" s="1"/>
    </row>
    <row r="19" spans="1:18" ht="12.75">
      <c r="A19" s="9" t="s">
        <v>42</v>
      </c>
      <c r="B19" s="68">
        <f>Лист1!B13</f>
        <v>737.8</v>
      </c>
      <c r="C19" s="23">
        <f t="shared" si="0"/>
        <v>6381.97</v>
      </c>
      <c r="D19" s="24">
        <f>Лист1!D13</f>
        <v>3419.19</v>
      </c>
      <c r="E19" s="12">
        <f>Лист1!O13</f>
        <v>1001.1899999999999</v>
      </c>
      <c r="F19" s="26">
        <f>Лист1!P13</f>
        <v>111.83</v>
      </c>
      <c r="G19" s="25">
        <f>Лист1!V13</f>
        <v>2286.7299999999996</v>
      </c>
      <c r="H19" s="26">
        <f>Лист1!W13</f>
        <v>5817.75</v>
      </c>
      <c r="I19" s="25">
        <f>Лист1!Y13</f>
        <v>442.67999999999995</v>
      </c>
      <c r="J19" s="12">
        <f>Лист1!AA13+Лист1!AB13</f>
        <v>731.310842416</v>
      </c>
      <c r="K19" s="12">
        <f>Лист1!Z13+Лист1!AC13+Лист1!AD13+Лист1!AE13+Лист1!AF13+Лист1!AG13+Лист1!AH13+Лист1!AI13+Лист1!AJ13</f>
        <v>2508.8620706407996</v>
      </c>
      <c r="L19" s="27">
        <f>Лист1!AK13+Лист1!AL13+Лист1!AM13+Лист1!AQ13+Лист1!AR13</f>
        <v>2384.7799999999997</v>
      </c>
      <c r="M19" s="27">
        <f>Лист1!AP13</f>
        <v>49.16352</v>
      </c>
      <c r="N19" s="26">
        <f>Лист1!AS13</f>
        <v>6116.7964330568</v>
      </c>
      <c r="O19" s="63">
        <f>Лист1!AU13</f>
        <v>-299.0464330568002</v>
      </c>
      <c r="P19" s="63">
        <f>Лист1!AV13</f>
        <v>1285.5399999999995</v>
      </c>
      <c r="Q19" s="1"/>
      <c r="R19" s="1"/>
    </row>
    <row r="20" spans="1:18" ht="12.75">
      <c r="A20" s="9" t="s">
        <v>43</v>
      </c>
      <c r="B20" s="68">
        <f>Лист1!B14</f>
        <v>737.8</v>
      </c>
      <c r="C20" s="23">
        <f t="shared" si="0"/>
        <v>6381.97</v>
      </c>
      <c r="D20" s="24">
        <f>Лист1!D14</f>
        <v>3416.6000000000004</v>
      </c>
      <c r="E20" s="12">
        <f>Лист1!O14</f>
        <v>2723.1</v>
      </c>
      <c r="F20" s="26">
        <f>Лист1!P14</f>
        <v>242.27</v>
      </c>
      <c r="G20" s="25">
        <f>Лист1!V14</f>
        <v>868.4300000000001</v>
      </c>
      <c r="H20" s="26">
        <f>Лист1!W14</f>
        <v>4527.3</v>
      </c>
      <c r="I20" s="25">
        <f>Лист1!Y14</f>
        <v>442.67999999999995</v>
      </c>
      <c r="J20" s="12">
        <f>Лист1!AA14+Лист1!AB14</f>
        <v>731.28124188</v>
      </c>
      <c r="K20" s="12">
        <f>Лист1!Z14+Лист1!AC14+Лист1!AD14+Лист1!AE14+Лист1!AF14+Лист1!AG14+Лист1!AH14+Лист1!AI14+Лист1!AJ14</f>
        <v>2509.5253115239993</v>
      </c>
      <c r="L20" s="27">
        <f>Лист1!AK14+Лист1!AL14+Лист1!AM14+Лист1!AQ14+Лист1!AR14</f>
        <v>9969.5486</v>
      </c>
      <c r="M20" s="27">
        <f>Лист1!AP14</f>
        <v>58.08431999999999</v>
      </c>
      <c r="N20" s="26">
        <f>Лист1!AS14</f>
        <v>13711.119473404</v>
      </c>
      <c r="O20" s="63">
        <f>Лист1!AU14</f>
        <v>-9183.819473404</v>
      </c>
      <c r="P20" s="63">
        <f>Лист1!AV14</f>
        <v>-1854.6699999999998</v>
      </c>
      <c r="Q20" s="1"/>
      <c r="R20" s="1"/>
    </row>
    <row r="21" spans="1:18" ht="12.75">
      <c r="A21" s="9" t="s">
        <v>44</v>
      </c>
      <c r="B21" s="68">
        <f>Лист1!B15</f>
        <v>737.8</v>
      </c>
      <c r="C21" s="23">
        <f t="shared" si="0"/>
        <v>6381.97</v>
      </c>
      <c r="D21" s="24">
        <f>Лист1!D15</f>
        <v>3415.3600000000006</v>
      </c>
      <c r="E21" s="12">
        <f>Лист1!O15</f>
        <v>2750.7599999999998</v>
      </c>
      <c r="F21" s="26">
        <f>Лист1!P15</f>
        <v>215.85</v>
      </c>
      <c r="G21" s="25">
        <f>Лист1!V15</f>
        <v>1877.51</v>
      </c>
      <c r="H21" s="26">
        <f>Лист1!W15</f>
        <v>5508.72</v>
      </c>
      <c r="I21" s="25">
        <f>Лист1!Y15</f>
        <v>442.67999999999995</v>
      </c>
      <c r="J21" s="12">
        <f>Лист1!AA15+Лист1!AB15</f>
        <v>731.28124188</v>
      </c>
      <c r="K21" s="12">
        <f>Лист1!Z15+Лист1!AC15+Лист1!AD15+Лист1!AE15+Лист1!AF15+Лист1!AG15+Лист1!AH15+Лист1!AI15+Лист1!AJ15</f>
        <v>2509.5932333919995</v>
      </c>
      <c r="L21" s="27">
        <f>Лист1!AK15+Лист1!AL15+Лист1!AM15+Лист1!AQ15+Лист1!AR15</f>
        <v>0</v>
      </c>
      <c r="M21" s="27">
        <f>Лист1!AP15</f>
        <v>69.18576</v>
      </c>
      <c r="N21" s="26">
        <f>Лист1!AS15</f>
        <v>3752.740235271999</v>
      </c>
      <c r="O21" s="63">
        <f>Лист1!AU15</f>
        <v>1755.979764728001</v>
      </c>
      <c r="P21" s="63">
        <f>Лист1!AV15</f>
        <v>-873.2499999999998</v>
      </c>
      <c r="Q21" s="1"/>
      <c r="R21" s="1"/>
    </row>
    <row r="22" spans="1:18" ht="12.75">
      <c r="A22" s="9" t="s">
        <v>34</v>
      </c>
      <c r="B22" s="68">
        <f>Лист1!B16</f>
        <v>737.8</v>
      </c>
      <c r="C22" s="23">
        <f>B22*8.65</f>
        <v>6381.97</v>
      </c>
      <c r="D22" s="24">
        <f>Лист1!D16</f>
        <v>3415.3600000000006</v>
      </c>
      <c r="E22" s="12">
        <f>Лист1!O16</f>
        <v>2750.7599999999998</v>
      </c>
      <c r="F22" s="26">
        <f>Лист1!P16</f>
        <v>215.85</v>
      </c>
      <c r="G22" s="25">
        <f>Лист1!V16</f>
        <v>2369.6299999999997</v>
      </c>
      <c r="H22" s="26">
        <f>Лист1!W16</f>
        <v>6000.84</v>
      </c>
      <c r="I22" s="25">
        <f>Лист1!Y16</f>
        <v>442.67999999999995</v>
      </c>
      <c r="J22" s="12">
        <f>Лист1!AA16+Лист1!AB16</f>
        <v>740.0134</v>
      </c>
      <c r="K22" s="12">
        <f>Лист1!Z16+Лист1!AC16+Лист1!AD16+Лист1!AE16+Лист1!AF16+Лист1!AG16+Лист1!AH16+Лист1!AI16+Лист1!AJ16</f>
        <v>2533.0149599999995</v>
      </c>
      <c r="L22" s="27">
        <f>Лист1!AK16+Лист1!AL16+Лист1!AM16+Лист1!AQ16+Лист1!AR16</f>
        <v>0</v>
      </c>
      <c r="M22" s="27">
        <f>Лист1!AP16</f>
        <v>84.252</v>
      </c>
      <c r="N22" s="26">
        <f>Лист1!AS16</f>
        <v>3799.9603599999996</v>
      </c>
      <c r="O22" s="63">
        <f>Лист1!AU16</f>
        <v>2200.8796400000006</v>
      </c>
      <c r="P22" s="63">
        <f>Лист1!AV16</f>
        <v>-381.1300000000001</v>
      </c>
      <c r="Q22" s="1"/>
      <c r="R22" s="1"/>
    </row>
    <row r="23" spans="1:18" ht="12.75">
      <c r="A23" s="9" t="s">
        <v>35</v>
      </c>
      <c r="B23" s="68">
        <f>Лист1!B17</f>
        <v>737.8</v>
      </c>
      <c r="C23" s="23">
        <f t="shared" si="0"/>
        <v>6381.97</v>
      </c>
      <c r="D23" s="24">
        <f>Лист1!D17</f>
        <v>3415.3600000000006</v>
      </c>
      <c r="E23" s="12">
        <f>Лист1!O17</f>
        <v>2750.7599999999998</v>
      </c>
      <c r="F23" s="26">
        <f>Лист1!P17</f>
        <v>215.85</v>
      </c>
      <c r="G23" s="25">
        <f>Лист1!V17</f>
        <v>2838.4</v>
      </c>
      <c r="H23" s="26">
        <f>Лист1!W17</f>
        <v>6469.610000000001</v>
      </c>
      <c r="I23" s="25">
        <f>Лист1!Y17</f>
        <v>442.67999999999995</v>
      </c>
      <c r="J23" s="12">
        <f>Лист1!AA17+Лист1!AB17</f>
        <v>740.0134</v>
      </c>
      <c r="K23" s="12">
        <f>Лист1!Z17+Лист1!AC17+Лист1!AD17+Лист1!AE17+Лист1!AF17+Лист1!AG17+Лист1!AH17+Лист1!AI17+Лист1!AJ17</f>
        <v>2533.0149599999995</v>
      </c>
      <c r="L23" s="27">
        <f>Лист1!AK17+Лист1!AL17+Лист1!AM17+Лист1!AQ17+Лист1!AR17</f>
        <v>0</v>
      </c>
      <c r="M23" s="27">
        <f>Лист1!AP17</f>
        <v>93.17280000000001</v>
      </c>
      <c r="N23" s="26">
        <f>Лист1!AS17</f>
        <v>3808.8811599999995</v>
      </c>
      <c r="O23" s="63">
        <f>Лист1!AU17</f>
        <v>2660.728840000001</v>
      </c>
      <c r="P23" s="63">
        <f>Лист1!AV17</f>
        <v>87.64000000000033</v>
      </c>
      <c r="Q23" s="1"/>
      <c r="R23" s="1"/>
    </row>
    <row r="24" spans="1:18" ht="13.5" thickBot="1">
      <c r="A24" s="28" t="s">
        <v>36</v>
      </c>
      <c r="B24" s="68">
        <f>Лист1!B18</f>
        <v>737.8</v>
      </c>
      <c r="C24" s="29">
        <f t="shared" si="0"/>
        <v>6381.97</v>
      </c>
      <c r="D24" s="24">
        <f>Лист1!D18</f>
        <v>3415.370000000001</v>
      </c>
      <c r="E24" s="12">
        <f>Лист1!O18</f>
        <v>2729.61</v>
      </c>
      <c r="F24" s="26">
        <f>Лист1!P18</f>
        <v>236.98999999999998</v>
      </c>
      <c r="G24" s="25">
        <f>Лист1!V18</f>
        <v>1600.6999999999998</v>
      </c>
      <c r="H24" s="26">
        <f>Лист1!W18</f>
        <v>5253.06</v>
      </c>
      <c r="I24" s="25">
        <f>Лист1!Y18</f>
        <v>442.67999999999995</v>
      </c>
      <c r="J24" s="12">
        <f>Лист1!AA18+Лист1!AB18</f>
        <v>740.0134</v>
      </c>
      <c r="K24" s="12">
        <f>Лист1!Z18+Лист1!AC18+Лист1!AD18+Лист1!AE18+Лист1!AF18+Лист1!AG18+Лист1!AH18+Лист1!AI18+Лист1!AJ18</f>
        <v>2533.0149599999995</v>
      </c>
      <c r="L24" s="27">
        <f>Лист1!AK18+Лист1!AL18+Лист1!AM18+Лист1!AQ18+Лист1!AR18</f>
        <v>0</v>
      </c>
      <c r="M24" s="27">
        <f>Лист1!AP18</f>
        <v>101.89536</v>
      </c>
      <c r="N24" s="26">
        <f>Лист1!AS18</f>
        <v>3817.6037199999996</v>
      </c>
      <c r="O24" s="63">
        <f>Лист1!AU18</f>
        <v>1435.4562800000008</v>
      </c>
      <c r="P24" s="63">
        <f>Лист1!AV18</f>
        <v>-1128.9100000000003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63819.700000000004</v>
      </c>
      <c r="D25" s="58">
        <f t="shared" si="1"/>
        <v>28928.452500000007</v>
      </c>
      <c r="E25" s="32">
        <f t="shared" si="1"/>
        <v>26459.969999999998</v>
      </c>
      <c r="F25" s="59">
        <f t="shared" si="1"/>
        <v>2726.6999999999994</v>
      </c>
      <c r="G25" s="58">
        <f t="shared" si="1"/>
        <v>14842.45</v>
      </c>
      <c r="H25" s="59">
        <f t="shared" si="1"/>
        <v>46497.6025</v>
      </c>
      <c r="I25" s="58">
        <f t="shared" si="1"/>
        <v>4338.263999999999</v>
      </c>
      <c r="J25" s="58">
        <f aca="true" t="shared" si="2" ref="J25:P25">SUM(J15:J24)</f>
        <v>7196.319509372</v>
      </c>
      <c r="K25" s="58">
        <f t="shared" si="2"/>
        <v>24683.2111887656</v>
      </c>
      <c r="L25" s="58">
        <f t="shared" si="2"/>
        <v>12354.3286</v>
      </c>
      <c r="M25" s="58">
        <f t="shared" si="2"/>
        <v>690.8664</v>
      </c>
      <c r="N25" s="58">
        <f t="shared" si="2"/>
        <v>49262.98969813759</v>
      </c>
      <c r="O25" s="58">
        <f t="shared" si="2"/>
        <v>-2765.387198137592</v>
      </c>
      <c r="P25" s="64">
        <f t="shared" si="2"/>
        <v>-11548.144094984</v>
      </c>
      <c r="Q25" s="61"/>
      <c r="R25" s="61"/>
    </row>
    <row r="26" spans="1:18" ht="13.5" thickBot="1">
      <c r="A26" s="181" t="s">
        <v>60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65"/>
      <c r="Q26" s="1"/>
      <c r="R26" s="1"/>
    </row>
    <row r="27" spans="1:18" s="18" customFormat="1" ht="13.5" thickBot="1">
      <c r="A27" s="66" t="s">
        <v>45</v>
      </c>
      <c r="B27" s="33"/>
      <c r="C27" s="34">
        <f>C25</f>
        <v>63819.700000000004</v>
      </c>
      <c r="D27" s="34">
        <f aca="true" t="shared" si="3" ref="D27:P27">D25</f>
        <v>28928.452500000007</v>
      </c>
      <c r="E27" s="34">
        <f t="shared" si="3"/>
        <v>26459.969999999998</v>
      </c>
      <c r="F27" s="34">
        <f t="shared" si="3"/>
        <v>2726.6999999999994</v>
      </c>
      <c r="G27" s="34">
        <f t="shared" si="3"/>
        <v>14842.45</v>
      </c>
      <c r="H27" s="34">
        <f t="shared" si="3"/>
        <v>46497.6025</v>
      </c>
      <c r="I27" s="34">
        <f t="shared" si="3"/>
        <v>4338.263999999999</v>
      </c>
      <c r="J27" s="34">
        <f t="shared" si="3"/>
        <v>7196.319509372</v>
      </c>
      <c r="K27" s="34">
        <f t="shared" si="3"/>
        <v>24683.2111887656</v>
      </c>
      <c r="L27" s="34">
        <f t="shared" si="3"/>
        <v>12354.3286</v>
      </c>
      <c r="M27" s="34">
        <f t="shared" si="3"/>
        <v>690.8664</v>
      </c>
      <c r="N27" s="34">
        <f t="shared" si="3"/>
        <v>49262.98969813759</v>
      </c>
      <c r="O27" s="34">
        <f t="shared" si="3"/>
        <v>-2765.387198137592</v>
      </c>
      <c r="P27" s="34">
        <f t="shared" si="3"/>
        <v>-11548.144094984</v>
      </c>
      <c r="Q27" s="62"/>
      <c r="R27" s="61"/>
    </row>
    <row r="28" spans="1:18" ht="12.75">
      <c r="A28" s="6" t="s">
        <v>82</v>
      </c>
      <c r="B28" s="35"/>
      <c r="C28" s="36"/>
      <c r="D28" s="37"/>
      <c r="E28" s="38"/>
      <c r="F28" s="40"/>
      <c r="G28" s="39"/>
      <c r="H28" s="40"/>
      <c r="I28" s="39"/>
      <c r="J28" s="12"/>
      <c r="K28" s="12"/>
      <c r="L28" s="27"/>
      <c r="M28" s="60"/>
      <c r="N28" s="26"/>
      <c r="O28" s="63"/>
      <c r="P28" s="63"/>
      <c r="Q28" s="1"/>
      <c r="R28" s="1"/>
    </row>
    <row r="29" spans="1:18" ht="12.75">
      <c r="A29" s="131" t="s">
        <v>83</v>
      </c>
      <c r="B29" s="68">
        <f>Лист1!B23</f>
        <v>737.8</v>
      </c>
      <c r="C29" s="23">
        <f aca="true" t="shared" si="4" ref="C29:C40">B29*8.65</f>
        <v>6381.97</v>
      </c>
      <c r="D29" s="24">
        <f>Лист1!D23</f>
        <v>3410.760000000001</v>
      </c>
      <c r="E29" s="12">
        <f>Лист1!O23</f>
        <v>2735.5499999999997</v>
      </c>
      <c r="F29" s="26">
        <f>Лист1!P23</f>
        <v>235.66000000000003</v>
      </c>
      <c r="G29" s="25">
        <f>Лист1!V23</f>
        <v>2887.79</v>
      </c>
      <c r="H29" s="26">
        <f>Лист1!W23</f>
        <v>6534.210000000001</v>
      </c>
      <c r="I29" s="25">
        <f>Лист1!Y23</f>
        <v>442.67999999999995</v>
      </c>
      <c r="J29" s="12">
        <f>Лист1!AA23+Лист1!AB23</f>
        <v>737.8</v>
      </c>
      <c r="K29" s="12">
        <f>Лист1!Z23+Лист1!AC23+Лист1!AD23+Лист1!AE23+Лист1!AF23+Лист1!AG23+Лист1!AH23+Лист1!AI23+Лист1!AJ23</f>
        <v>2530.654</v>
      </c>
      <c r="L29" s="27">
        <f>Лист1!AK23+Лист1!AL23+Лист1!AM23+Лист1!AQ23+Лист1!AR23</f>
        <v>0</v>
      </c>
      <c r="M29" s="27">
        <f>Лист1!AP23</f>
        <v>106.67999999999999</v>
      </c>
      <c r="N29" s="26">
        <f>Лист1!AS23</f>
        <v>3817.814</v>
      </c>
      <c r="O29" s="63">
        <f>Лист1!AU23</f>
        <v>2716.396000000001</v>
      </c>
      <c r="P29" s="63">
        <f>Лист1!AV23</f>
        <v>152.24000000000024</v>
      </c>
      <c r="Q29" s="1"/>
      <c r="R29" s="1"/>
    </row>
    <row r="30" spans="1:18" ht="12.75">
      <c r="A30" s="131" t="s">
        <v>84</v>
      </c>
      <c r="B30" s="68">
        <f>Лист1!B24</f>
        <v>737.8</v>
      </c>
      <c r="C30" s="23">
        <f t="shared" si="4"/>
        <v>6381.97</v>
      </c>
      <c r="D30" s="24">
        <f>Лист1!D24</f>
        <v>3410.760000000001</v>
      </c>
      <c r="E30" s="12">
        <f>Лист1!O24</f>
        <v>2735.5499999999997</v>
      </c>
      <c r="F30" s="26">
        <f>Лист1!P24</f>
        <v>235.66000000000003</v>
      </c>
      <c r="G30" s="25">
        <f>Лист1!V24</f>
        <v>1894.37</v>
      </c>
      <c r="H30" s="26">
        <f>Лист1!W24</f>
        <v>5540.790000000001</v>
      </c>
      <c r="I30" s="25">
        <f>Лист1!Y24</f>
        <v>442.67999999999995</v>
      </c>
      <c r="J30" s="12">
        <f>Лист1!AA24+Лист1!AB24</f>
        <v>737.8</v>
      </c>
      <c r="K30" s="12">
        <f>Лист1!Z24+Лист1!AC24+Лист1!AD24+Лист1!AE24+Лист1!AF24+Лист1!AG24+Лист1!AH24+Лист1!AI24+Лист1!AJ24</f>
        <v>2530.654</v>
      </c>
      <c r="L30" s="27">
        <f>Лист1!AK24+Лист1!AL24+Лист1!AM24+Лист1!AQ24+Лист1!AR24</f>
        <v>0</v>
      </c>
      <c r="M30" s="27">
        <f>Лист1!AP24</f>
        <v>85.46999999999998</v>
      </c>
      <c r="N30" s="26">
        <f>Лист1!AS24</f>
        <v>3796.604</v>
      </c>
      <c r="O30" s="63">
        <f>Лист1!AU24</f>
        <v>1744.186000000001</v>
      </c>
      <c r="P30" s="63">
        <f>Лист1!AU24</f>
        <v>1744.186000000001</v>
      </c>
      <c r="Q30" s="1"/>
      <c r="R30" s="1"/>
    </row>
    <row r="31" spans="1:18" ht="12.75">
      <c r="A31" s="9" t="s">
        <v>38</v>
      </c>
      <c r="B31" s="68">
        <f>Лист1!B25</f>
        <v>737.8</v>
      </c>
      <c r="C31" s="23">
        <f t="shared" si="4"/>
        <v>6381.97</v>
      </c>
      <c r="D31" s="24">
        <f>Лист1!D25</f>
        <v>3424.56</v>
      </c>
      <c r="E31" s="12">
        <f>Лист1!O25</f>
        <v>2658.3</v>
      </c>
      <c r="F31" s="26">
        <f>Лист1!P25</f>
        <v>299.11</v>
      </c>
      <c r="G31" s="25">
        <f>Лист1!V25</f>
        <v>1572.16</v>
      </c>
      <c r="H31" s="26">
        <f>Лист1!W25</f>
        <v>5295.83</v>
      </c>
      <c r="I31" s="25">
        <f>Лист1!Y25</f>
        <v>442.67999999999995</v>
      </c>
      <c r="J31" s="12">
        <f>Лист1!AA25+Лист1!AB25</f>
        <v>737.8</v>
      </c>
      <c r="K31" s="12">
        <f>Лист1!Z25+Лист1!AC25+Лист1!AD25+Лист1!AE25+Лист1!AF25+Лист1!AG25+Лист1!AH25+Лист1!AI25+Лист1!AJ25</f>
        <v>2530.654</v>
      </c>
      <c r="L31" s="27">
        <f>Лист1!AK25+Лист1!AL25+Лист1!AM25+Лист1!AQ25+Лист1!AR25</f>
        <v>2200</v>
      </c>
      <c r="M31" s="27">
        <f>Лист1!AP25</f>
        <v>80.42999999999999</v>
      </c>
      <c r="N31" s="26">
        <f>Лист1!AS25</f>
        <v>5991.564</v>
      </c>
      <c r="O31" s="63">
        <f>Лист1!AU25</f>
        <v>-695.7340000000004</v>
      </c>
      <c r="P31" s="63">
        <f>Лист1!AV25</f>
        <v>-1086.14</v>
      </c>
      <c r="Q31" s="1"/>
      <c r="R31" s="1"/>
    </row>
    <row r="32" spans="1:18" ht="12.75">
      <c r="A32" s="9" t="s">
        <v>39</v>
      </c>
      <c r="B32" s="68">
        <f>Лист1!B26</f>
        <v>737.8</v>
      </c>
      <c r="C32" s="23">
        <f t="shared" si="4"/>
        <v>6381.97</v>
      </c>
      <c r="D32" s="24">
        <f>Лист1!D26</f>
        <v>3415.3600000000006</v>
      </c>
      <c r="E32" s="12">
        <f>Лист1!O26</f>
        <v>2709.8</v>
      </c>
      <c r="F32" s="26">
        <f>Лист1!P26</f>
        <v>256.81</v>
      </c>
      <c r="G32" s="25">
        <f>Лист1!V26</f>
        <v>3313.7299999999996</v>
      </c>
      <c r="H32" s="26">
        <f>Лист1!W26</f>
        <v>6985.9</v>
      </c>
      <c r="I32" s="25">
        <f>Лист1!Y26</f>
        <v>442.67999999999995</v>
      </c>
      <c r="J32" s="12">
        <f>Лист1!AA26+Лист1!AB26</f>
        <v>737.8</v>
      </c>
      <c r="K32" s="12">
        <f>Лист1!Z26+Лист1!AC26+Лист1!AD26+Лист1!AE26+Лист1!AF26+Лист1!AG26+Лист1!AH26+Лист1!AI26+Лист1!AJ26</f>
        <v>2530.654</v>
      </c>
      <c r="L32" s="27">
        <f>Лист1!AK26+Лист1!AL26+Лист1!AM26+Лист1!AQ26+Лист1!AR26</f>
        <v>0</v>
      </c>
      <c r="M32" s="27">
        <f>Лист1!AP26</f>
        <v>64.47</v>
      </c>
      <c r="N32" s="26">
        <f>Лист1!AS26</f>
        <v>3775.604</v>
      </c>
      <c r="O32" s="63">
        <f>Лист1!AU26</f>
        <v>3210.296</v>
      </c>
      <c r="P32" s="63">
        <f>Лист1!AV26</f>
        <v>603.9299999999994</v>
      </c>
      <c r="Q32" s="1"/>
      <c r="R32" s="1"/>
    </row>
    <row r="33" spans="1:18" ht="12.75">
      <c r="A33" s="9" t="s">
        <v>40</v>
      </c>
      <c r="B33" s="68">
        <f>Лист1!B27</f>
        <v>737.8</v>
      </c>
      <c r="C33" s="23">
        <f t="shared" si="4"/>
        <v>6381.97</v>
      </c>
      <c r="D33" s="24">
        <f>Лист1!D27</f>
        <v>3415.3600000000006</v>
      </c>
      <c r="E33" s="12">
        <f>Лист1!O27</f>
        <v>2709.8</v>
      </c>
      <c r="F33" s="26">
        <f>Лист1!P27</f>
        <v>256.81</v>
      </c>
      <c r="G33" s="25">
        <f>Лист1!V27</f>
        <v>1841.38</v>
      </c>
      <c r="H33" s="26">
        <f>Лист1!W27</f>
        <v>5513.550000000001</v>
      </c>
      <c r="I33" s="25">
        <f>Лист1!Y27</f>
        <v>442.67999999999995</v>
      </c>
      <c r="J33" s="12">
        <f>Лист1!AA27+Лист1!AB27</f>
        <v>737.8</v>
      </c>
      <c r="K33" s="12">
        <f>Лист1!Z27+Лист1!AC27+Лист1!AD27+Лист1!AE27+Лист1!AF27+Лист1!AG27+Лист1!AH27+Лист1!AI27+Лист1!AJ27</f>
        <v>2530.654</v>
      </c>
      <c r="L33" s="27">
        <f>Лист1!AK27+Лист1!AL27+Лист1!AM27+Лист1!AQ27+Лист1!AR27</f>
        <v>0</v>
      </c>
      <c r="M33" s="27">
        <f>Лист1!AP27</f>
        <v>55.22999999999999</v>
      </c>
      <c r="N33" s="26">
        <f>Лист1!AS27</f>
        <v>3766.364</v>
      </c>
      <c r="O33" s="63">
        <f>Лист1!AU27</f>
        <v>1747.186000000001</v>
      </c>
      <c r="P33" s="63">
        <f>Лист1!AV27</f>
        <v>-868.4200000000001</v>
      </c>
      <c r="Q33" s="1"/>
      <c r="R33" s="1"/>
    </row>
    <row r="34" spans="1:18" ht="12.75">
      <c r="A34" s="9" t="s">
        <v>41</v>
      </c>
      <c r="B34" s="68">
        <f>Лист1!B28</f>
        <v>737.8</v>
      </c>
      <c r="C34" s="23">
        <f t="shared" si="4"/>
        <v>6381.97</v>
      </c>
      <c r="D34" s="24">
        <f>Лист1!D28</f>
        <v>2730.437637500001</v>
      </c>
      <c r="E34" s="12">
        <f>Лист1!O28</f>
        <v>2717.45</v>
      </c>
      <c r="F34" s="26">
        <f>Лист1!P28</f>
        <v>256.81</v>
      </c>
      <c r="G34" s="25">
        <f>Лист1!V28</f>
        <v>2637.99</v>
      </c>
      <c r="H34" s="26">
        <f>Лист1!W28</f>
        <v>5625.2376375</v>
      </c>
      <c r="I34" s="25">
        <f>Лист1!Y28</f>
        <v>442.67999999999995</v>
      </c>
      <c r="J34" s="12">
        <f>Лист1!AA28+Лист1!AB28</f>
        <v>737.8</v>
      </c>
      <c r="K34" s="12">
        <f>Лист1!Z28+Лист1!AC28+Лист1!AD28+Лист1!AE28+Лист1!AF28+Лист1!AG28+Лист1!AH28+Лист1!AI28+Лист1!AJ28</f>
        <v>2530.654</v>
      </c>
      <c r="L34" s="27">
        <f>Лист1!AK28+Лист1!AL28+Лист1!AM28+Лист1!AQ28+Лист1!AR28</f>
        <v>19665</v>
      </c>
      <c r="M34" s="27">
        <f>Лист1!AP28</f>
        <v>48.92999999999999</v>
      </c>
      <c r="N34" s="26">
        <f>Лист1!AS28</f>
        <v>23425.064</v>
      </c>
      <c r="O34" s="63">
        <f>Лист1!AU28</f>
        <v>-17799.826362499996</v>
      </c>
      <c r="P34" s="63">
        <f>Лист1!AV28</f>
        <v>-79.46000000000004</v>
      </c>
      <c r="Q34" s="1"/>
      <c r="R34" s="1"/>
    </row>
    <row r="35" spans="1:18" ht="12.75">
      <c r="A35" s="9" t="s">
        <v>42</v>
      </c>
      <c r="B35" s="68">
        <f>Лист1!B29</f>
        <v>732</v>
      </c>
      <c r="C35" s="23">
        <f t="shared" si="4"/>
        <v>6331.8</v>
      </c>
      <c r="D35" s="24">
        <f>Лист1!D29</f>
        <v>2766.536952850001</v>
      </c>
      <c r="E35" s="12">
        <f>Лист1!O29</f>
        <v>2915.96</v>
      </c>
      <c r="F35" s="26">
        <f>Лист1!P29</f>
        <v>-16.95</v>
      </c>
      <c r="G35" s="25">
        <f>Лист1!V29</f>
        <v>2883.78</v>
      </c>
      <c r="H35" s="26">
        <f>Лист1!W29</f>
        <v>5633.366952850001</v>
      </c>
      <c r="I35" s="25">
        <f>Лист1!Y29</f>
        <v>439.2</v>
      </c>
      <c r="J35" s="12">
        <f>Лист1!AA29+Лист1!AB29</f>
        <v>732</v>
      </c>
      <c r="K35" s="12">
        <f>Лист1!Z29+Лист1!AC29+Лист1!AD29+Лист1!AE29+Лист1!AF29+Лист1!AG29+Лист1!AH29+Лист1!AI29+Лист1!AJ29</f>
        <v>2510.76</v>
      </c>
      <c r="L35" s="27">
        <f>Лист1!AK29+Лист1!AL29+Лист1!AM29+Лист1!AQ29+Лист1!AR29</f>
        <v>0</v>
      </c>
      <c r="M35" s="27">
        <f>Лист1!AP29</f>
        <v>52.07999999999999</v>
      </c>
      <c r="N35" s="26">
        <f>Лист1!AS29</f>
        <v>3734.04</v>
      </c>
      <c r="O35" s="63">
        <f>Лист1!AU29</f>
        <v>1899.3269528500014</v>
      </c>
      <c r="P35" s="63">
        <f>Лист1!AV29</f>
        <v>-32.179999999999836</v>
      </c>
      <c r="Q35" s="1"/>
      <c r="R35" s="1"/>
    </row>
    <row r="36" spans="1:18" ht="12.75">
      <c r="A36" s="9" t="s">
        <v>43</v>
      </c>
      <c r="B36" s="68">
        <f>Лист1!B30</f>
        <v>732</v>
      </c>
      <c r="C36" s="23">
        <f>B36*8.65</f>
        <v>6331.8</v>
      </c>
      <c r="D36" s="24">
        <f>Лист1!D30</f>
        <v>2886.1833963199997</v>
      </c>
      <c r="E36" s="12">
        <f>Лист1!O30</f>
        <v>2966.84</v>
      </c>
      <c r="F36" s="26">
        <f>Лист1!P30</f>
        <v>0</v>
      </c>
      <c r="G36" s="25">
        <f>Лист1!V30</f>
        <v>4557.820000000001</v>
      </c>
      <c r="H36" s="26">
        <f>Лист1!W30</f>
        <v>7444.00339632</v>
      </c>
      <c r="I36" s="25">
        <f>Лист1!Y30</f>
        <v>439.2</v>
      </c>
      <c r="J36" s="12">
        <f>Лист1!AA30+Лист1!AB30</f>
        <v>732</v>
      </c>
      <c r="K36" s="12">
        <f>Лист1!Z30+Лист1!AC30+Лист1!AD30+Лист1!AE30+Лист1!AF30+Лист1!AG30+Лист1!AH30+Лист1!AI30+Лист1!AJ30</f>
        <v>2510.76</v>
      </c>
      <c r="L36" s="27">
        <f>Лист1!AK30+Лист1!AL30+Лист1!AM30+Лист1!AQ30+Лист1!AR30</f>
        <v>56.403999999999996</v>
      </c>
      <c r="M36" s="27">
        <f>Лист1!AP30</f>
        <v>61.52999999999999</v>
      </c>
      <c r="N36" s="26">
        <f>Лист1!AS30</f>
        <v>3799.8940000000002</v>
      </c>
      <c r="O36" s="63">
        <f>Лист1!AU30</f>
        <v>3644.10939632</v>
      </c>
      <c r="P36" s="63">
        <f>Лист1!AV30</f>
        <v>1590.9800000000005</v>
      </c>
      <c r="Q36" s="1"/>
      <c r="R36" s="1"/>
    </row>
    <row r="37" spans="1:18" ht="12.75">
      <c r="A37" s="9" t="s">
        <v>44</v>
      </c>
      <c r="B37" s="68">
        <f>Лист1!B31</f>
        <v>732</v>
      </c>
      <c r="C37" s="23">
        <f t="shared" si="4"/>
        <v>6331.8</v>
      </c>
      <c r="D37" s="24">
        <f>Лист1!D31</f>
        <v>2946.1234287999996</v>
      </c>
      <c r="E37" s="12">
        <f>Лист1!O31</f>
        <v>2966.84</v>
      </c>
      <c r="F37" s="26">
        <f>Лист1!P31</f>
        <v>0</v>
      </c>
      <c r="G37" s="25">
        <f>Лист1!V31</f>
        <v>1973.6399999999999</v>
      </c>
      <c r="H37" s="26">
        <f>Лист1!W31</f>
        <v>4919.763428799999</v>
      </c>
      <c r="I37" s="25">
        <f>Лист1!Y31</f>
        <v>439.2</v>
      </c>
      <c r="J37" s="12">
        <f>Лист1!AA31+Лист1!AB31</f>
        <v>732</v>
      </c>
      <c r="K37" s="12">
        <f>Лист1!Z31+Лист1!AC31+Лист1!AD31+Лист1!AE31+Лист1!AF31+Лист1!AG31+Лист1!AH31+Лист1!AI31+Лист1!AJ31</f>
        <v>2510.76</v>
      </c>
      <c r="L37" s="27">
        <f>Лист1!AK31+Лист1!AL31+Лист1!AM31+Лист1!AQ31+Лист1!AR31</f>
        <v>0</v>
      </c>
      <c r="M37" s="27">
        <f>Лист1!AP31</f>
        <v>73.28999999999999</v>
      </c>
      <c r="N37" s="26">
        <f>Лист1!AS31</f>
        <v>3755.25</v>
      </c>
      <c r="O37" s="63">
        <f>Лист1!AU31</f>
        <v>1164.513428799999</v>
      </c>
      <c r="P37" s="63">
        <f>Лист1!AV31</f>
        <v>-993.2000000000003</v>
      </c>
      <c r="Q37" s="1"/>
      <c r="R37" s="1"/>
    </row>
    <row r="38" spans="1:18" ht="12.75">
      <c r="A38" s="9" t="s">
        <v>34</v>
      </c>
      <c r="B38" s="68">
        <f>Лист1!B32</f>
        <v>732</v>
      </c>
      <c r="C38" s="29">
        <f t="shared" si="4"/>
        <v>6331.8</v>
      </c>
      <c r="D38" s="24">
        <f>Лист1!D32</f>
        <v>2730.0189676799996</v>
      </c>
      <c r="E38" s="12">
        <f>Лист1!O32</f>
        <v>2966.84</v>
      </c>
      <c r="F38" s="26">
        <f>Лист1!P32</f>
        <v>0</v>
      </c>
      <c r="G38" s="25">
        <f>Лист1!V32</f>
        <v>2402.32</v>
      </c>
      <c r="H38" s="26">
        <f>Лист1!W32</f>
        <v>5132.33896768</v>
      </c>
      <c r="I38" s="25">
        <f>Лист1!Y32</f>
        <v>439.2</v>
      </c>
      <c r="J38" s="12">
        <f>Лист1!AA32+Лист1!AB32</f>
        <v>732</v>
      </c>
      <c r="K38" s="12">
        <f>Лист1!Z32+Лист1!AC32+Лист1!AD32+Лист1!AE32+Лист1!AF32+Лист1!AG32+Лист1!AH32+Лист1!AI32+Лист1!AJ32</f>
        <v>2510.76</v>
      </c>
      <c r="L38" s="27">
        <f>Лист1!AK32+Лист1!AL32+Лист1!AM32+Лист1!AQ32+Лист1!AR32</f>
        <v>0</v>
      </c>
      <c r="M38" s="27">
        <f>Лист1!AP32</f>
        <v>89.25</v>
      </c>
      <c r="N38" s="26">
        <f>Лист1!AS32</f>
        <v>3771.21</v>
      </c>
      <c r="O38" s="63">
        <f>Лист1!AU32</f>
        <v>1361.1289676799997</v>
      </c>
      <c r="P38" s="63">
        <f>Лист1!AV32</f>
        <v>-564.52</v>
      </c>
      <c r="Q38" s="1"/>
      <c r="R38" s="1"/>
    </row>
    <row r="39" spans="1:18" ht="12.75">
      <c r="A39" s="9" t="s">
        <v>35</v>
      </c>
      <c r="B39" s="68">
        <f>Лист1!B33</f>
        <v>732</v>
      </c>
      <c r="C39" s="29">
        <f t="shared" si="4"/>
        <v>6331.8</v>
      </c>
      <c r="D39" s="24">
        <f>Лист1!D33</f>
        <v>2929.8000078399996</v>
      </c>
      <c r="E39" s="12">
        <f>Лист1!O33</f>
        <v>2966.84</v>
      </c>
      <c r="F39" s="26">
        <f>Лист1!P33</f>
        <v>0</v>
      </c>
      <c r="G39" s="25">
        <f>Лист1!V33</f>
        <v>5258.58</v>
      </c>
      <c r="H39" s="26">
        <f>Лист1!W33</f>
        <v>8188.38000784</v>
      </c>
      <c r="I39" s="25">
        <f>Лист1!Y33</f>
        <v>439.2</v>
      </c>
      <c r="J39" s="12">
        <f>Лист1!AA33+Лист1!AB33</f>
        <v>732</v>
      </c>
      <c r="K39" s="12">
        <f>Лист1!Z33+Лист1!AC33+Лист1!AD33+Лист1!AE33+Лист1!AF33+Лист1!AG33+Лист1!AH33+Лист1!AI33+Лист1!AJ33</f>
        <v>2510.76</v>
      </c>
      <c r="L39" s="27">
        <f>Лист1!AK33+Лист1!AL33+Лист1!AM33+Лист1!AQ33+Лист1!AR33</f>
        <v>0</v>
      </c>
      <c r="M39" s="27">
        <f>Лист1!AP33</f>
        <v>98.69999999999999</v>
      </c>
      <c r="N39" s="26">
        <f>Лист1!AS33</f>
        <v>3780.66</v>
      </c>
      <c r="O39" s="63">
        <f>Лист1!AU33</f>
        <v>4407.72000784</v>
      </c>
      <c r="P39" s="63">
        <f>Лист1!AV33</f>
        <v>2291.74</v>
      </c>
      <c r="Q39" s="1"/>
      <c r="R39" s="1"/>
    </row>
    <row r="40" spans="1:18" ht="13.5" thickBot="1">
      <c r="A40" s="28" t="s">
        <v>36</v>
      </c>
      <c r="B40" s="68">
        <f>Лист1!B34</f>
        <v>732</v>
      </c>
      <c r="C40" s="29">
        <f t="shared" si="4"/>
        <v>6331.8</v>
      </c>
      <c r="D40" s="24">
        <f>Лист1!D34</f>
        <v>3078.7946519999996</v>
      </c>
      <c r="E40" s="12">
        <f>Лист1!O34</f>
        <v>2966.85</v>
      </c>
      <c r="F40" s="26">
        <f>Лист1!P34</f>
        <v>0</v>
      </c>
      <c r="G40" s="25">
        <f>Лист1!V34</f>
        <v>5153.1900000000005</v>
      </c>
      <c r="H40" s="26">
        <f>Лист1!W34</f>
        <v>8231.984652</v>
      </c>
      <c r="I40" s="25">
        <f>Лист1!Y34</f>
        <v>439.2</v>
      </c>
      <c r="J40" s="12">
        <f>Лист1!AA34+Лист1!AB34</f>
        <v>732</v>
      </c>
      <c r="K40" s="12">
        <f>Лист1!Z34+Лист1!AC34+Лист1!AD34+Лист1!AE34+Лист1!AF34+Лист1!AG34+Лист1!AH34+Лист1!AI34+Лист1!AJ34</f>
        <v>2510.76</v>
      </c>
      <c r="L40" s="27">
        <f>Лист1!AK34+Лист1!AL34+Лист1!AM34+Лист1!AQ34+Лист1!AR34</f>
        <v>20219</v>
      </c>
      <c r="M40" s="27">
        <f>Лист1!AP34</f>
        <v>107.93999999999998</v>
      </c>
      <c r="N40" s="26">
        <f>Лист1!AS34</f>
        <v>24008.899999999998</v>
      </c>
      <c r="O40" s="63">
        <f>Лист1!AU34</f>
        <v>-15776.915347999999</v>
      </c>
      <c r="P40" s="63">
        <f>Лист1!AU34</f>
        <v>-15776.915347999999</v>
      </c>
      <c r="Q40" s="1"/>
      <c r="R40" s="1"/>
    </row>
    <row r="41" spans="1:18" s="18" customFormat="1" ht="13.5" thickBot="1">
      <c r="A41" s="30" t="s">
        <v>5</v>
      </c>
      <c r="B41" s="31"/>
      <c r="C41" s="64">
        <f aca="true" t="shared" si="5" ref="C41:O41">SUM(C29:C40)</f>
        <v>76282.62000000001</v>
      </c>
      <c r="D41" s="64">
        <f t="shared" si="5"/>
        <v>37144.69504299</v>
      </c>
      <c r="E41" s="64">
        <f t="shared" si="5"/>
        <v>34016.62</v>
      </c>
      <c r="F41" s="64">
        <f t="shared" si="5"/>
        <v>1523.9099999999999</v>
      </c>
      <c r="G41" s="64">
        <f t="shared" si="5"/>
        <v>36376.75</v>
      </c>
      <c r="H41" s="64">
        <f t="shared" si="5"/>
        <v>75045.35504299</v>
      </c>
      <c r="I41" s="64">
        <f t="shared" si="5"/>
        <v>5291.279999999999</v>
      </c>
      <c r="J41" s="64">
        <f t="shared" si="5"/>
        <v>8818.8</v>
      </c>
      <c r="K41" s="64">
        <f t="shared" si="5"/>
        <v>30248.48400000001</v>
      </c>
      <c r="L41" s="64">
        <f t="shared" si="5"/>
        <v>42140.403999999995</v>
      </c>
      <c r="M41" s="64">
        <f t="shared" si="5"/>
        <v>923.9999999999999</v>
      </c>
      <c r="N41" s="64">
        <f t="shared" si="5"/>
        <v>87422.968</v>
      </c>
      <c r="O41" s="64">
        <f t="shared" si="5"/>
        <v>-12377.612957009991</v>
      </c>
      <c r="P41" s="64">
        <f>SUM(P29:P40)</f>
        <v>-13017.759347999998</v>
      </c>
      <c r="Q41" s="61"/>
      <c r="R41" s="61"/>
    </row>
    <row r="42" spans="1:18" ht="13.5" thickBot="1">
      <c r="A42" s="181" t="s">
        <v>60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65"/>
      <c r="Q42" s="1"/>
      <c r="R42" s="1"/>
    </row>
    <row r="43" spans="1:18" s="18" customFormat="1" ht="13.5" thickBot="1">
      <c r="A43" s="66" t="s">
        <v>45</v>
      </c>
      <c r="B43" s="33"/>
      <c r="C43" s="34">
        <f aca="true" t="shared" si="6" ref="C43:O43">C41+C27</f>
        <v>140102.32</v>
      </c>
      <c r="D43" s="34">
        <f t="shared" si="6"/>
        <v>66073.14754299002</v>
      </c>
      <c r="E43" s="34">
        <f t="shared" si="6"/>
        <v>60476.59</v>
      </c>
      <c r="F43" s="34">
        <f t="shared" si="6"/>
        <v>4250.609999999999</v>
      </c>
      <c r="G43" s="34">
        <f t="shared" si="6"/>
        <v>51219.2</v>
      </c>
      <c r="H43" s="34">
        <f t="shared" si="6"/>
        <v>121542.95754299001</v>
      </c>
      <c r="I43" s="34">
        <f t="shared" si="6"/>
        <v>9629.543999999998</v>
      </c>
      <c r="J43" s="34">
        <f t="shared" si="6"/>
        <v>16015.119509371998</v>
      </c>
      <c r="K43" s="34">
        <f t="shared" si="6"/>
        <v>54931.69518876561</v>
      </c>
      <c r="L43" s="34">
        <f t="shared" si="6"/>
        <v>54494.732599999996</v>
      </c>
      <c r="M43" s="34">
        <f t="shared" si="6"/>
        <v>1614.8663999999999</v>
      </c>
      <c r="N43" s="34">
        <f t="shared" si="6"/>
        <v>136685.9576981376</v>
      </c>
      <c r="O43" s="34">
        <f t="shared" si="6"/>
        <v>-15143.000155147583</v>
      </c>
      <c r="P43" s="34">
        <f>P41+P27</f>
        <v>-24565.903442983996</v>
      </c>
      <c r="Q43" s="62"/>
      <c r="R43" s="61"/>
    </row>
    <row r="45" spans="1:18" ht="12.75">
      <c r="A45" s="18" t="s">
        <v>78</v>
      </c>
      <c r="D45" s="69" t="s">
        <v>85</v>
      </c>
      <c r="Q45" s="1"/>
      <c r="R45" s="1"/>
    </row>
    <row r="46" spans="1:18" ht="12.75">
      <c r="A46" s="19" t="s">
        <v>61</v>
      </c>
      <c r="B46" s="19" t="s">
        <v>62</v>
      </c>
      <c r="C46" s="183" t="s">
        <v>63</v>
      </c>
      <c r="D46" s="183"/>
      <c r="Q46" s="1"/>
      <c r="R46" s="1"/>
    </row>
    <row r="47" spans="1:18" ht="12.75">
      <c r="A47" s="95">
        <v>29075.64</v>
      </c>
      <c r="B47" s="95">
        <v>19859.23</v>
      </c>
      <c r="C47" s="177">
        <f>A47-B47</f>
        <v>9216.41</v>
      </c>
      <c r="D47" s="178"/>
      <c r="Q47" s="1"/>
      <c r="R47" s="1"/>
    </row>
    <row r="48" spans="1:18" ht="12.75">
      <c r="A48" s="41"/>
      <c r="Q48" s="1"/>
      <c r="R48" s="1"/>
    </row>
    <row r="49" spans="1:18" ht="12.75">
      <c r="A49" s="2" t="s">
        <v>66</v>
      </c>
      <c r="G49" s="2" t="s">
        <v>67</v>
      </c>
      <c r="Q49" s="1"/>
      <c r="R49" s="1"/>
    </row>
    <row r="50" ht="12.75">
      <c r="A50" s="1"/>
    </row>
    <row r="51" ht="12.75">
      <c r="A51" s="1"/>
    </row>
    <row r="52" ht="12.75">
      <c r="A52" s="2" t="s">
        <v>77</v>
      </c>
    </row>
    <row r="53" ht="12.75">
      <c r="A53" s="2" t="s">
        <v>68</v>
      </c>
    </row>
  </sheetData>
  <sheetProtection/>
  <mergeCells count="27">
    <mergeCell ref="A42:O42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47:D47"/>
    <mergeCell ref="N11:N12"/>
    <mergeCell ref="A26:O26"/>
    <mergeCell ref="C46:D46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2011-04-13T08:37:17Z</dcterms:modified>
  <cp:category/>
  <cp:version/>
  <cp:contentType/>
  <cp:contentStatus/>
</cp:coreProperties>
</file>