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<sst xmlns="http://schemas.openxmlformats.org/spreadsheetml/2006/main" count="172" uniqueCount="91">
  <si>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</si>
  <si>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</si>
  <si>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</si>
  <si>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</si>
  <si>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</si>
  <si>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</si>
  <si>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</si>
  <si>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</si>
  <si>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</si>
  <si>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</si>
  <si>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</si>
  <si>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</si>
  <si>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</si>
  <si>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</si>
  <si>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</si>
  <si>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</si>
  <si>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</si>
  <si>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</si>
  <si>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</si>
  <si>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</si>
  <si>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</si>
  <si>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</si>
  <si>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</si>
  <si>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</si>
  <si>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</si>
  <si>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</si>
  <si>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</si>
  <si>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</si>
  <si>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</si>
  <si>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</si>
  <si>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</si>
  <si>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</si>
  <si>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</si>
  <si>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</si>
  <si>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</si>
  <si>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</si>
  <si>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</si>
  <si>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</si>
  <si>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</si>
  <si>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</si>
  <si>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</si>
  <si>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</si>
  <si>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</si>
  <si>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</si>
  <si>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</si>
  <si>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</si>
  <si>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</si>
  <si>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</si>
  <si>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</si>
  <si>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</si>
  <si>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</si>
  <si>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</si>
  <si>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</si>
  <si>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</si>
  <si>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</si>
  <si>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</si>
  <si>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</si>
  <si>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</si>
  <si>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</si>
  <si>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</si>
  <si>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</si>
  <si>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</si>
  <si>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</si>
  <si>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</si>
  <si>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</si>
  <si>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</si>
  <si>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</si>
  <si>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</si>
  <si>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</si>
  <si>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</si>
  <si>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</si>
  <si>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</si>
  <si>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</si>
  <si>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</si>
  <si>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</si>
  <si>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</si>
  <si>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</si>
  <si>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Доп. работы по содержанию ТУК</t>
  </si>
  <si>
    <t>Эл.энергия МОП</t>
  </si>
  <si>
    <t>норма часов горения</t>
  </si>
  <si>
    <t>кол-во кВт</t>
  </si>
  <si>
    <t>стоимость итого</t>
  </si>
  <si>
    <t>Тек. Ремонт ООО "ТУК"</t>
  </si>
  <si>
    <t>Тек. Ремонт ООО "УЖХ"</t>
  </si>
  <si>
    <t>Исп. Ю.С. Дмитриева</t>
  </si>
  <si>
    <t>Выписка по лицевому счету по адресу г. Таштагол, ул. Коммунальная, д. 8</t>
  </si>
  <si>
    <t>Лицевой счет по адресу г. Таштагол, ул. ул. Коммунальная, д. 8</t>
  </si>
  <si>
    <t>2010 год</t>
  </si>
  <si>
    <t>*по состоянию на 01.01.2011 г.</t>
  </si>
  <si>
    <t>на 01.01.2011 г.</t>
  </si>
  <si>
    <t>Социальный найм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</si>
</sst>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2" fillId="0" borderId="32" xfId="33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1" xfId="33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33" xfId="33" applyNumberFormat="1" applyFont="1" applyFill="1" applyBorder="1" applyAlignment="1">
      <alignment horizontal="right" vertical="center" wrapText="1"/>
      <protection/>
    </xf>
    <xf numFmtId="4" fontId="7" fillId="0" borderId="26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0" fontId="0" fillId="33" borderId="20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7" fillId="0" borderId="35" xfId="33" applyNumberFormat="1" applyFont="1" applyFill="1" applyBorder="1" applyAlignment="1">
      <alignment horizontal="right" vertical="center" wrapText="1"/>
      <protection/>
    </xf>
    <xf numFmtId="4" fontId="7" fillId="0" borderId="34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4" fontId="2" fillId="0" borderId="27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20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34" borderId="30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10" fillId="34" borderId="11" xfId="33" applyNumberFormat="1" applyFont="1" applyFill="1" applyBorder="1" applyAlignment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right" vertical="center" wrapText="1"/>
    </xf>
    <xf numFmtId="4" fontId="1" fillId="0" borderId="38" xfId="0" applyNumberFormat="1" applyFont="1" applyFill="1" applyBorder="1" applyAlignment="1">
      <alignment wrapText="1"/>
    </xf>
    <xf numFmtId="0" fontId="1" fillId="0" borderId="4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" fontId="1" fillId="0" borderId="43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/>
    </xf>
    <xf numFmtId="4" fontId="0" fillId="33" borderId="21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 horizontal="right" wrapText="1"/>
    </xf>
    <xf numFmtId="4" fontId="1" fillId="0" borderId="46" xfId="0" applyNumberFormat="1" applyFont="1" applyFill="1" applyBorder="1" applyAlignment="1">
      <alignment horizontal="right" wrapText="1"/>
    </xf>
    <xf numFmtId="0" fontId="1" fillId="0" borderId="47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36" borderId="21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52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/>
    </xf>
    <xf numFmtId="43" fontId="0" fillId="0" borderId="29" xfId="59" applyFont="1" applyFill="1" applyBorder="1" applyAlignment="1">
      <alignment horizontal="center"/>
    </xf>
    <xf numFmtId="43" fontId="0" fillId="0" borderId="20" xfId="59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1" ySplit="1" topLeftCell="A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C31" sqref="BC31:BC3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9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0.375" style="2" customWidth="1"/>
    <col min="55" max="55" width="10.75390625" style="2" customWidth="1"/>
    <col min="56" max="56" width="14.00390625" style="2" customWidth="1"/>
    <col min="57" max="16384" width="9.125" style="2" customWidth="1"/>
  </cols>
  <sheetData>
    <row r="1" spans="1:18" ht="21.75" customHeight="1">
      <c r="A1" s="156" t="s">
        <v>86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6" ht="13.5" customHeight="1">
      <c r="A3" s="157" t="s">
        <v>0</v>
      </c>
      <c r="B3" s="160" t="s">
        <v>1</v>
      </c>
      <c r="C3" s="160" t="s">
        <v>2</v>
      </c>
      <c r="D3" s="160" t="s">
        <v>3</v>
      </c>
      <c r="E3" s="163" t="s">
        <v>4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5" t="s">
        <v>5</v>
      </c>
      <c r="T3" s="165"/>
      <c r="U3" s="166" t="s">
        <v>6</v>
      </c>
      <c r="V3" s="166"/>
      <c r="W3" s="166"/>
      <c r="X3" s="166"/>
      <c r="Y3" s="166"/>
      <c r="Z3" s="166"/>
      <c r="AA3" s="166"/>
      <c r="AB3" s="166"/>
      <c r="AC3" s="168" t="s">
        <v>7</v>
      </c>
      <c r="AD3" s="168" t="s">
        <v>8</v>
      </c>
      <c r="AE3" s="168" t="s">
        <v>9</v>
      </c>
      <c r="AF3" s="114"/>
      <c r="AG3" s="187" t="s">
        <v>10</v>
      </c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73" t="s">
        <v>11</v>
      </c>
      <c r="BD3" s="176" t="s">
        <v>12</v>
      </c>
    </row>
    <row r="4" spans="1:56" ht="36" customHeight="1" thickBot="1">
      <c r="A4" s="158"/>
      <c r="B4" s="161"/>
      <c r="C4" s="161"/>
      <c r="D4" s="161"/>
      <c r="E4" s="164" t="s">
        <v>13</v>
      </c>
      <c r="F4" s="164"/>
      <c r="G4" s="164" t="s">
        <v>14</v>
      </c>
      <c r="H4" s="164"/>
      <c r="I4" s="164" t="s">
        <v>15</v>
      </c>
      <c r="J4" s="164"/>
      <c r="K4" s="164" t="s">
        <v>16</v>
      </c>
      <c r="L4" s="164"/>
      <c r="M4" s="164" t="s">
        <v>17</v>
      </c>
      <c r="N4" s="164"/>
      <c r="O4" s="164" t="s">
        <v>18</v>
      </c>
      <c r="P4" s="164"/>
      <c r="Q4" s="164" t="s">
        <v>19</v>
      </c>
      <c r="R4" s="164"/>
      <c r="S4" s="164"/>
      <c r="T4" s="164"/>
      <c r="U4" s="167"/>
      <c r="V4" s="167"/>
      <c r="W4" s="167"/>
      <c r="X4" s="167"/>
      <c r="Y4" s="167"/>
      <c r="Z4" s="167"/>
      <c r="AA4" s="167"/>
      <c r="AB4" s="167"/>
      <c r="AC4" s="169"/>
      <c r="AD4" s="169"/>
      <c r="AE4" s="169"/>
      <c r="AF4" s="112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4"/>
      <c r="BD4" s="177"/>
    </row>
    <row r="5" spans="1:56" ht="29.25" customHeight="1" thickBot="1">
      <c r="A5" s="158"/>
      <c r="B5" s="161"/>
      <c r="C5" s="161"/>
      <c r="D5" s="161"/>
      <c r="E5" s="171" t="s">
        <v>20</v>
      </c>
      <c r="F5" s="171" t="s">
        <v>21</v>
      </c>
      <c r="G5" s="171" t="s">
        <v>20</v>
      </c>
      <c r="H5" s="171" t="s">
        <v>21</v>
      </c>
      <c r="I5" s="171" t="s">
        <v>20</v>
      </c>
      <c r="J5" s="171" t="s">
        <v>21</v>
      </c>
      <c r="K5" s="171" t="s">
        <v>20</v>
      </c>
      <c r="L5" s="171" t="s">
        <v>21</v>
      </c>
      <c r="M5" s="171" t="s">
        <v>20</v>
      </c>
      <c r="N5" s="171" t="s">
        <v>21</v>
      </c>
      <c r="O5" s="171" t="s">
        <v>20</v>
      </c>
      <c r="P5" s="171" t="s">
        <v>21</v>
      </c>
      <c r="Q5" s="171" t="s">
        <v>20</v>
      </c>
      <c r="R5" s="171" t="s">
        <v>21</v>
      </c>
      <c r="S5" s="171" t="s">
        <v>20</v>
      </c>
      <c r="T5" s="171" t="s">
        <v>21</v>
      </c>
      <c r="U5" s="169" t="s">
        <v>22</v>
      </c>
      <c r="V5" s="169" t="s">
        <v>23</v>
      </c>
      <c r="W5" s="169" t="s">
        <v>24</v>
      </c>
      <c r="X5" s="169" t="s">
        <v>25</v>
      </c>
      <c r="Y5" s="169" t="s">
        <v>26</v>
      </c>
      <c r="Z5" s="169" t="s">
        <v>27</v>
      </c>
      <c r="AA5" s="169" t="s">
        <v>28</v>
      </c>
      <c r="AB5" s="169" t="s">
        <v>29</v>
      </c>
      <c r="AC5" s="169"/>
      <c r="AD5" s="169"/>
      <c r="AE5" s="169"/>
      <c r="AF5" s="112"/>
      <c r="AG5" s="179" t="s">
        <v>30</v>
      </c>
      <c r="AH5" s="179" t="s">
        <v>31</v>
      </c>
      <c r="AI5" s="179" t="s">
        <v>32</v>
      </c>
      <c r="AJ5" s="179" t="s">
        <v>33</v>
      </c>
      <c r="AK5" s="179" t="s">
        <v>34</v>
      </c>
      <c r="AL5" s="179" t="s">
        <v>33</v>
      </c>
      <c r="AM5" s="179" t="s">
        <v>35</v>
      </c>
      <c r="AN5" s="179" t="s">
        <v>33</v>
      </c>
      <c r="AO5" s="179" t="s">
        <v>36</v>
      </c>
      <c r="AP5" s="179" t="s">
        <v>33</v>
      </c>
      <c r="AQ5" s="183" t="s">
        <v>77</v>
      </c>
      <c r="AR5" s="185" t="s">
        <v>33</v>
      </c>
      <c r="AS5" s="181" t="s">
        <v>83</v>
      </c>
      <c r="AT5" s="191" t="s">
        <v>82</v>
      </c>
      <c r="AU5" s="191" t="s">
        <v>33</v>
      </c>
      <c r="AV5" s="188" t="s">
        <v>78</v>
      </c>
      <c r="AW5" s="189"/>
      <c r="AX5" s="190"/>
      <c r="AY5" s="179" t="s">
        <v>19</v>
      </c>
      <c r="AZ5" s="179" t="s">
        <v>38</v>
      </c>
      <c r="BA5" s="179" t="s">
        <v>33</v>
      </c>
      <c r="BB5" s="179" t="s">
        <v>39</v>
      </c>
      <c r="BC5" s="174"/>
      <c r="BD5" s="177"/>
    </row>
    <row r="6" spans="1:56" ht="54" customHeight="1" thickBot="1">
      <c r="A6" s="159"/>
      <c r="B6" s="162"/>
      <c r="C6" s="162"/>
      <c r="D6" s="16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13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4"/>
      <c r="AR6" s="186"/>
      <c r="AS6" s="182"/>
      <c r="AT6" s="192"/>
      <c r="AU6" s="192"/>
      <c r="AV6" s="126" t="s">
        <v>79</v>
      </c>
      <c r="AW6" s="126" t="s">
        <v>80</v>
      </c>
      <c r="AX6" s="126" t="s">
        <v>81</v>
      </c>
      <c r="AY6" s="180"/>
      <c r="AZ6" s="180"/>
      <c r="BA6" s="180"/>
      <c r="BB6" s="180"/>
      <c r="BC6" s="175"/>
      <c r="BD6" s="178"/>
    </row>
    <row r="7" spans="1:56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9">
        <v>56</v>
      </c>
    </row>
    <row r="8" spans="1:56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7"/>
      <c r="BD8" s="12"/>
    </row>
    <row r="9" spans="1:56" ht="12.75">
      <c r="A9" s="13" t="s">
        <v>41</v>
      </c>
      <c r="B9" s="98">
        <v>634.8</v>
      </c>
      <c r="C9" s="115">
        <f>B9*8.65</f>
        <v>5491.0199999999995</v>
      </c>
      <c r="D9" s="116">
        <f>C9*0.24088</f>
        <v>1322.6768975999998</v>
      </c>
      <c r="E9" s="99">
        <v>674.46</v>
      </c>
      <c r="F9" s="99">
        <v>24</v>
      </c>
      <c r="G9" s="99">
        <v>910.55</v>
      </c>
      <c r="H9" s="99">
        <v>32.4</v>
      </c>
      <c r="I9" s="99">
        <v>1466.47</v>
      </c>
      <c r="J9" s="99">
        <v>52.2</v>
      </c>
      <c r="K9" s="99">
        <v>1011.69</v>
      </c>
      <c r="L9" s="99">
        <v>36</v>
      </c>
      <c r="M9" s="97">
        <v>539.57</v>
      </c>
      <c r="N9" s="97">
        <v>19.2</v>
      </c>
      <c r="O9" s="99">
        <v>0</v>
      </c>
      <c r="P9" s="99">
        <v>0</v>
      </c>
      <c r="Q9" s="99">
        <v>0</v>
      </c>
      <c r="R9" s="99">
        <v>0</v>
      </c>
      <c r="S9" s="99">
        <f>E9+G9+I9+K9+M9+O9+Q9</f>
        <v>4602.74</v>
      </c>
      <c r="T9" s="117">
        <f>P9+N9+L9+J9+H9+F9+R9</f>
        <v>163.8</v>
      </c>
      <c r="U9" s="99">
        <v>1.17</v>
      </c>
      <c r="V9" s="99">
        <v>1.58</v>
      </c>
      <c r="W9" s="99">
        <v>2.55</v>
      </c>
      <c r="X9" s="99">
        <v>1.76</v>
      </c>
      <c r="Y9" s="99">
        <v>0.94</v>
      </c>
      <c r="Z9" s="105">
        <v>0</v>
      </c>
      <c r="AA9" s="105">
        <v>0</v>
      </c>
      <c r="AB9" s="105">
        <f>SUM(U9:AA9)</f>
        <v>8</v>
      </c>
      <c r="AC9" s="138">
        <f>D9+T9+AB9</f>
        <v>1494.4768975999998</v>
      </c>
      <c r="AD9" s="139">
        <f>P9+Z9</f>
        <v>0</v>
      </c>
      <c r="AE9" s="121">
        <f>R9+AA9</f>
        <v>0</v>
      </c>
      <c r="AF9" s="121"/>
      <c r="AG9" s="31">
        <f>0.6*B9</f>
        <v>380.87999999999994</v>
      </c>
      <c r="AH9" s="31">
        <f>B9*0.2*1.05826</f>
        <v>134.35668959999998</v>
      </c>
      <c r="AI9" s="31">
        <f>0.8518*B9</f>
        <v>540.72264</v>
      </c>
      <c r="AJ9" s="31">
        <f>AI9*0.18</f>
        <v>97.33007519999998</v>
      </c>
      <c r="AK9" s="31">
        <f>1.04*B9*0.9531</f>
        <v>629.2289952</v>
      </c>
      <c r="AL9" s="31">
        <f>AK9*0.18</f>
        <v>113.261219136</v>
      </c>
      <c r="AM9" s="31">
        <f>(1.91)*B9*0.9531</f>
        <v>1155.6032507999998</v>
      </c>
      <c r="AN9" s="31">
        <f>AM9*0.18</f>
        <v>208.00858514399997</v>
      </c>
      <c r="AO9" s="31"/>
      <c r="AP9" s="31">
        <f>AO9*0.18</f>
        <v>0</v>
      </c>
      <c r="AQ9" s="31"/>
      <c r="AR9" s="31"/>
      <c r="AS9" s="103"/>
      <c r="AT9" s="103"/>
      <c r="AU9" s="30">
        <f>AS9*0.18</f>
        <v>0</v>
      </c>
      <c r="AV9" s="19"/>
      <c r="AW9" s="19"/>
      <c r="AX9" s="20">
        <v>0</v>
      </c>
      <c r="AY9" s="20">
        <v>0</v>
      </c>
      <c r="AZ9" s="20">
        <v>0</v>
      </c>
      <c r="BA9" s="19">
        <f>AZ9*0.18</f>
        <v>0</v>
      </c>
      <c r="BB9" s="19">
        <f>SUM(AG9:BA9)</f>
        <v>3259.3914550799996</v>
      </c>
      <c r="BC9" s="19">
        <f>AC9-BB9</f>
        <v>-1764.9145574799998</v>
      </c>
      <c r="BD9" s="21">
        <f>AB9-S9</f>
        <v>-4594.74</v>
      </c>
    </row>
    <row r="10" spans="1:56" ht="12.75">
      <c r="A10" s="13" t="s">
        <v>42</v>
      </c>
      <c r="B10" s="98">
        <v>634.8</v>
      </c>
      <c r="C10" s="115">
        <f>B10*8.65</f>
        <v>5491.0199999999995</v>
      </c>
      <c r="D10" s="116">
        <f>C10*0.24088</f>
        <v>1322.6768975999998</v>
      </c>
      <c r="E10" s="99">
        <v>674.46</v>
      </c>
      <c r="F10" s="99">
        <v>24</v>
      </c>
      <c r="G10" s="99">
        <v>910.55</v>
      </c>
      <c r="H10" s="99">
        <v>32.4</v>
      </c>
      <c r="I10" s="99">
        <v>1466.46</v>
      </c>
      <c r="J10" s="99">
        <v>52.2</v>
      </c>
      <c r="K10" s="99">
        <v>1011.69</v>
      </c>
      <c r="L10" s="99">
        <v>36</v>
      </c>
      <c r="M10" s="97">
        <v>539.57</v>
      </c>
      <c r="N10" s="97">
        <v>19.2</v>
      </c>
      <c r="O10" s="99">
        <v>0</v>
      </c>
      <c r="P10" s="99">
        <v>0</v>
      </c>
      <c r="Q10" s="99">
        <v>0</v>
      </c>
      <c r="R10" s="99">
        <v>0</v>
      </c>
      <c r="S10" s="99">
        <f>E10+G10+I10+K10+M10+O10+Q10</f>
        <v>4602.7300000000005</v>
      </c>
      <c r="T10" s="117">
        <f>P10+N10+L10+J10+H10+F10+R10</f>
        <v>163.8</v>
      </c>
      <c r="U10" s="99">
        <v>53.61</v>
      </c>
      <c r="V10" s="99">
        <v>72.39</v>
      </c>
      <c r="W10" s="99">
        <v>139.97</v>
      </c>
      <c r="X10" s="99">
        <v>80.41</v>
      </c>
      <c r="Y10" s="99">
        <v>42.88</v>
      </c>
      <c r="Z10" s="99">
        <v>0</v>
      </c>
      <c r="AA10" s="105">
        <v>0</v>
      </c>
      <c r="AB10" s="122">
        <f>SUM(U10:AA10)</f>
        <v>389.26</v>
      </c>
      <c r="AC10" s="120">
        <f>D10+T10+AB10</f>
        <v>1875.7368975999998</v>
      </c>
      <c r="AD10" s="121">
        <f>P10+Z10</f>
        <v>0</v>
      </c>
      <c r="AE10" s="121">
        <f>R10+AA10</f>
        <v>0</v>
      </c>
      <c r="AF10" s="121"/>
      <c r="AG10" s="31">
        <f>0.6*B10</f>
        <v>380.87999999999994</v>
      </c>
      <c r="AH10" s="31">
        <f>B10*0.201</f>
        <v>127.59479999999999</v>
      </c>
      <c r="AI10" s="31">
        <f>0.8518*B10</f>
        <v>540.72264</v>
      </c>
      <c r="AJ10" s="31">
        <f>AI10*0.18</f>
        <v>97.33007519999998</v>
      </c>
      <c r="AK10" s="31">
        <f>1.04*B10*0.9531</f>
        <v>629.2289952</v>
      </c>
      <c r="AL10" s="31">
        <f>AK10*0.18</f>
        <v>113.261219136</v>
      </c>
      <c r="AM10" s="31">
        <f>(1.91)*B10*0.9531</f>
        <v>1155.6032507999998</v>
      </c>
      <c r="AN10" s="31">
        <f>AM10*0.18</f>
        <v>208.00858514399997</v>
      </c>
      <c r="AO10" s="31"/>
      <c r="AP10" s="31">
        <f>AO10*0.18</f>
        <v>0</v>
      </c>
      <c r="AQ10" s="31"/>
      <c r="AR10" s="31"/>
      <c r="AS10" s="103">
        <v>1049</v>
      </c>
      <c r="AT10" s="103"/>
      <c r="AU10" s="30">
        <f>AS10*0.18</f>
        <v>188.82</v>
      </c>
      <c r="AV10" s="19"/>
      <c r="AW10" s="19"/>
      <c r="AX10" s="20">
        <v>0</v>
      </c>
      <c r="AY10" s="20">
        <v>0</v>
      </c>
      <c r="AZ10" s="20">
        <v>0</v>
      </c>
      <c r="BA10" s="19">
        <f>AZ10*0.18</f>
        <v>0</v>
      </c>
      <c r="BB10" s="19">
        <f>SUM(AG10:BA10)</f>
        <v>4490.449565479999</v>
      </c>
      <c r="BC10" s="19">
        <f aca="true" t="shared" si="0" ref="BC10:BC25">AC10-BB10</f>
        <v>-2614.7126678799996</v>
      </c>
      <c r="BD10" s="21">
        <f>AB10-S10</f>
        <v>-4213.47</v>
      </c>
    </row>
    <row r="11" spans="1:56" ht="12.75">
      <c r="A11" s="13" t="s">
        <v>43</v>
      </c>
      <c r="B11" s="98">
        <v>634.8</v>
      </c>
      <c r="C11" s="115">
        <f>B11*8.65</f>
        <v>5491.0199999999995</v>
      </c>
      <c r="D11" s="116">
        <f>C11*0.24035</f>
        <v>1319.766657</v>
      </c>
      <c r="E11" s="99">
        <v>102.93</v>
      </c>
      <c r="F11" s="99">
        <v>24</v>
      </c>
      <c r="G11" s="99">
        <v>139</v>
      </c>
      <c r="H11" s="99">
        <v>32.4</v>
      </c>
      <c r="I11" s="99">
        <v>223.38</v>
      </c>
      <c r="J11" s="99">
        <v>52.2</v>
      </c>
      <c r="K11" s="99">
        <v>154.4</v>
      </c>
      <c r="L11" s="99">
        <v>36</v>
      </c>
      <c r="M11" s="97">
        <v>82.35</v>
      </c>
      <c r="N11" s="97">
        <v>19.2</v>
      </c>
      <c r="O11" s="105">
        <v>0</v>
      </c>
      <c r="P11" s="105">
        <v>0</v>
      </c>
      <c r="Q11" s="99">
        <v>0</v>
      </c>
      <c r="R11" s="105">
        <v>0</v>
      </c>
      <c r="S11" s="99">
        <f>E11+G11+I11+K11+M11+O11+Q11</f>
        <v>702.0600000000001</v>
      </c>
      <c r="T11" s="117">
        <f>P11+N11+L11+J11+H11+F11+R11</f>
        <v>163.8</v>
      </c>
      <c r="U11" s="99">
        <v>149.76</v>
      </c>
      <c r="V11" s="99">
        <v>202.17</v>
      </c>
      <c r="W11" s="99">
        <v>319.92</v>
      </c>
      <c r="X11" s="99">
        <v>224.64</v>
      </c>
      <c r="Y11" s="99">
        <v>119.8</v>
      </c>
      <c r="Z11" s="99">
        <v>0</v>
      </c>
      <c r="AA11" s="105">
        <v>0</v>
      </c>
      <c r="AB11" s="122">
        <f>SUM(U11:AA11)</f>
        <v>1016.2899999999998</v>
      </c>
      <c r="AC11" s="120">
        <f>D11+T11+AB11</f>
        <v>2499.856657</v>
      </c>
      <c r="AD11" s="121">
        <f>P11+Z11</f>
        <v>0</v>
      </c>
      <c r="AE11" s="121">
        <f>R11+AA11</f>
        <v>0</v>
      </c>
      <c r="AF11" s="121"/>
      <c r="AG11" s="31">
        <f>0.6*B11</f>
        <v>380.87999999999994</v>
      </c>
      <c r="AH11" s="31">
        <f>B11*0.2*1.02524</f>
        <v>130.16447039999997</v>
      </c>
      <c r="AI11" s="31">
        <f>0.84932*B11</f>
        <v>539.148336</v>
      </c>
      <c r="AJ11" s="31">
        <f>AI11*0.18</f>
        <v>97.04670048</v>
      </c>
      <c r="AK11" s="31">
        <f>1.04*B11*0.95033</f>
        <v>627.40026336</v>
      </c>
      <c r="AL11" s="31">
        <f>AK11*0.18</f>
        <v>112.9320474048</v>
      </c>
      <c r="AM11" s="31">
        <f>(1.91)*B11*0.95033</f>
        <v>1152.2447144399998</v>
      </c>
      <c r="AN11" s="31">
        <f>AM11*0.18</f>
        <v>207.40404859919997</v>
      </c>
      <c r="AO11" s="31"/>
      <c r="AP11" s="31">
        <f>AO11*0.18</f>
        <v>0</v>
      </c>
      <c r="AQ11" s="31"/>
      <c r="AR11" s="31"/>
      <c r="AS11" s="103"/>
      <c r="AT11" s="103"/>
      <c r="AU11" s="30">
        <f>AS11*0.18</f>
        <v>0</v>
      </c>
      <c r="AV11" s="19"/>
      <c r="AW11" s="19"/>
      <c r="AX11" s="20">
        <v>0</v>
      </c>
      <c r="AY11" s="20">
        <v>0</v>
      </c>
      <c r="AZ11" s="20">
        <v>0</v>
      </c>
      <c r="BA11" s="19">
        <f>AZ11*0.18</f>
        <v>0</v>
      </c>
      <c r="BB11" s="19">
        <f>SUM(AG11:BA11)</f>
        <v>3247.2205806839997</v>
      </c>
      <c r="BC11" s="19">
        <f t="shared" si="0"/>
        <v>-747.3639236839999</v>
      </c>
      <c r="BD11" s="21">
        <f>AB11-S11</f>
        <v>314.2299999999998</v>
      </c>
    </row>
    <row r="12" spans="1:56" s="28" customFormat="1" ht="15" customHeight="1">
      <c r="A12" s="22" t="s">
        <v>5</v>
      </c>
      <c r="B12" s="23"/>
      <c r="C12" s="23">
        <f aca="true" t="shared" si="1" ref="C12:BD12">SUM(C9:C11)</f>
        <v>16473.059999999998</v>
      </c>
      <c r="D12" s="23">
        <f t="shared" si="1"/>
        <v>3965.1204522</v>
      </c>
      <c r="E12" s="23">
        <f aca="true" t="shared" si="2" ref="E12:R12">SUM(E9:E11)</f>
        <v>1451.8500000000001</v>
      </c>
      <c r="F12" s="23">
        <f t="shared" si="2"/>
        <v>72</v>
      </c>
      <c r="G12" s="23">
        <f t="shared" si="2"/>
        <v>1960.1</v>
      </c>
      <c r="H12" s="23">
        <f t="shared" si="2"/>
        <v>97.19999999999999</v>
      </c>
      <c r="I12" s="23">
        <f t="shared" si="2"/>
        <v>3156.3100000000004</v>
      </c>
      <c r="J12" s="23">
        <f t="shared" si="2"/>
        <v>156.60000000000002</v>
      </c>
      <c r="K12" s="23">
        <f t="shared" si="2"/>
        <v>2177.78</v>
      </c>
      <c r="L12" s="23">
        <f t="shared" si="2"/>
        <v>108</v>
      </c>
      <c r="M12" s="23">
        <f t="shared" si="2"/>
        <v>1161.49</v>
      </c>
      <c r="N12" s="23">
        <f t="shared" si="2"/>
        <v>57.599999999999994</v>
      </c>
      <c r="O12" s="23">
        <f t="shared" si="2"/>
        <v>0</v>
      </c>
      <c r="P12" s="23">
        <f t="shared" si="2"/>
        <v>0</v>
      </c>
      <c r="Q12" s="23">
        <f t="shared" si="2"/>
        <v>0</v>
      </c>
      <c r="R12" s="23">
        <f t="shared" si="2"/>
        <v>0</v>
      </c>
      <c r="S12" s="24">
        <f t="shared" si="1"/>
        <v>9907.53</v>
      </c>
      <c r="T12" s="24">
        <f t="shared" si="1"/>
        <v>491.40000000000003</v>
      </c>
      <c r="U12" s="25">
        <f t="shared" si="1"/>
        <v>204.54</v>
      </c>
      <c r="V12" s="25">
        <f t="shared" si="1"/>
        <v>276.14</v>
      </c>
      <c r="W12" s="25">
        <f t="shared" si="1"/>
        <v>462.44000000000005</v>
      </c>
      <c r="X12" s="25">
        <f t="shared" si="1"/>
        <v>306.81</v>
      </c>
      <c r="Y12" s="25">
        <f t="shared" si="1"/>
        <v>163.62</v>
      </c>
      <c r="Z12" s="25">
        <f t="shared" si="1"/>
        <v>0</v>
      </c>
      <c r="AA12" s="25">
        <f t="shared" si="1"/>
        <v>0</v>
      </c>
      <c r="AB12" s="25">
        <f t="shared" si="1"/>
        <v>1413.5499999999997</v>
      </c>
      <c r="AC12" s="25">
        <f t="shared" si="1"/>
        <v>5870.0704522</v>
      </c>
      <c r="AD12" s="110">
        <f t="shared" si="1"/>
        <v>0</v>
      </c>
      <c r="AE12" s="110">
        <f t="shared" si="1"/>
        <v>0</v>
      </c>
      <c r="AF12" s="110"/>
      <c r="AG12" s="26">
        <f t="shared" si="1"/>
        <v>1142.6399999999999</v>
      </c>
      <c r="AH12" s="26">
        <f t="shared" si="1"/>
        <v>392.1159599999999</v>
      </c>
      <c r="AI12" s="26">
        <f t="shared" si="1"/>
        <v>1620.5936159999999</v>
      </c>
      <c r="AJ12" s="26">
        <f t="shared" si="1"/>
        <v>291.70685087999993</v>
      </c>
      <c r="AK12" s="26">
        <f t="shared" si="1"/>
        <v>1885.85825376</v>
      </c>
      <c r="AL12" s="26">
        <f t="shared" si="1"/>
        <v>339.4544856768</v>
      </c>
      <c r="AM12" s="26">
        <f>SUM(AM9:AM11)</f>
        <v>3463.4512160399995</v>
      </c>
      <c r="AN12" s="26">
        <f>SUM(AN9:AN11)</f>
        <v>623.4212188871999</v>
      </c>
      <c r="AO12" s="26">
        <f t="shared" si="1"/>
        <v>0</v>
      </c>
      <c r="AP12" s="26">
        <f t="shared" si="1"/>
        <v>0</v>
      </c>
      <c r="AQ12" s="26"/>
      <c r="AR12" s="26"/>
      <c r="AS12" s="93">
        <f t="shared" si="1"/>
        <v>1049</v>
      </c>
      <c r="AT12" s="93"/>
      <c r="AU12" s="93">
        <f t="shared" si="1"/>
        <v>188.82</v>
      </c>
      <c r="AV12" s="26"/>
      <c r="AW12" s="26"/>
      <c r="AX12" s="26">
        <f t="shared" si="1"/>
        <v>0</v>
      </c>
      <c r="AY12" s="26">
        <f t="shared" si="1"/>
        <v>0</v>
      </c>
      <c r="AZ12" s="26">
        <f t="shared" si="1"/>
        <v>0</v>
      </c>
      <c r="BA12" s="26">
        <f t="shared" si="1"/>
        <v>0</v>
      </c>
      <c r="BB12" s="26">
        <f t="shared" si="1"/>
        <v>10997.061601243999</v>
      </c>
      <c r="BC12" s="26">
        <f t="shared" si="1"/>
        <v>-5126.991149043999</v>
      </c>
      <c r="BD12" s="27">
        <f t="shared" si="1"/>
        <v>-8493.98</v>
      </c>
    </row>
    <row r="13" spans="1:56" ht="15" customHeight="1">
      <c r="A13" s="5" t="s">
        <v>44</v>
      </c>
      <c r="B13" s="91"/>
      <c r="C13" s="15"/>
      <c r="D13" s="15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2"/>
      <c r="P13" s="17"/>
      <c r="Q13" s="16"/>
      <c r="R13" s="16"/>
      <c r="S13" s="16"/>
      <c r="T13" s="16"/>
      <c r="U13" s="29"/>
      <c r="V13" s="29"/>
      <c r="W13" s="29"/>
      <c r="X13" s="29"/>
      <c r="Y13" s="29"/>
      <c r="Z13" s="29"/>
      <c r="AA13" s="18"/>
      <c r="AB13" s="18"/>
      <c r="AC13" s="108"/>
      <c r="AD13" s="109"/>
      <c r="AE13" s="109"/>
      <c r="AF13" s="109"/>
      <c r="AG13" s="19"/>
      <c r="AH13" s="19"/>
      <c r="AI13" s="19"/>
      <c r="AJ13" s="19"/>
      <c r="AK13" s="19"/>
      <c r="AL13" s="19"/>
      <c r="AM13" s="19"/>
      <c r="AN13" s="19"/>
      <c r="AO13" s="20"/>
      <c r="AP13" s="20"/>
      <c r="AQ13" s="20"/>
      <c r="AR13" s="20"/>
      <c r="AS13" s="102"/>
      <c r="AT13" s="102"/>
      <c r="AU13" s="30"/>
      <c r="AV13" s="19"/>
      <c r="AW13" s="19"/>
      <c r="AX13" s="20"/>
      <c r="AY13" s="20"/>
      <c r="AZ13" s="20"/>
      <c r="BA13" s="19"/>
      <c r="BB13" s="19"/>
      <c r="BC13" s="19"/>
      <c r="BD13" s="21"/>
    </row>
    <row r="14" spans="1:56" ht="12.75">
      <c r="A14" s="13" t="s">
        <v>45</v>
      </c>
      <c r="B14" s="118">
        <v>634.8</v>
      </c>
      <c r="C14" s="115">
        <f aca="true" t="shared" si="3" ref="C14:C25">B14*8.65</f>
        <v>5491.0199999999995</v>
      </c>
      <c r="D14" s="116">
        <f>C14*0.125</f>
        <v>686.3774999999999</v>
      </c>
      <c r="E14" s="99">
        <v>503.98</v>
      </c>
      <c r="F14" s="99">
        <v>24</v>
      </c>
      <c r="G14" s="99">
        <v>680.41</v>
      </c>
      <c r="H14" s="99">
        <v>32.4</v>
      </c>
      <c r="I14" s="99">
        <v>1095.65</v>
      </c>
      <c r="J14" s="99">
        <v>52.2</v>
      </c>
      <c r="K14" s="99">
        <v>755.97</v>
      </c>
      <c r="L14" s="99">
        <v>36</v>
      </c>
      <c r="M14" s="97">
        <v>403.18</v>
      </c>
      <c r="N14" s="97">
        <v>19.2</v>
      </c>
      <c r="O14" s="99">
        <v>0</v>
      </c>
      <c r="P14" s="105">
        <v>0</v>
      </c>
      <c r="Q14" s="99">
        <v>0</v>
      </c>
      <c r="R14" s="105">
        <v>0</v>
      </c>
      <c r="S14" s="99">
        <f>E14+G14+I14+K14+M14+O14+Q14</f>
        <v>3439.19</v>
      </c>
      <c r="T14" s="117">
        <f>P14+N14+L14+J14+H14+F14+R14</f>
        <v>163.8</v>
      </c>
      <c r="U14" s="99">
        <v>151.09</v>
      </c>
      <c r="V14" s="99">
        <v>203.98</v>
      </c>
      <c r="W14" s="99">
        <v>317.08</v>
      </c>
      <c r="X14" s="99">
        <v>226.67</v>
      </c>
      <c r="Y14" s="99">
        <v>120.84</v>
      </c>
      <c r="Z14" s="99">
        <v>0</v>
      </c>
      <c r="AA14" s="105">
        <v>0</v>
      </c>
      <c r="AB14" s="119">
        <f>SUM(U14:AA14)</f>
        <v>1019.66</v>
      </c>
      <c r="AC14" s="120">
        <f>D14+T14+AB14</f>
        <v>1869.8375</v>
      </c>
      <c r="AD14" s="121">
        <f>P14+Z14</f>
        <v>0</v>
      </c>
      <c r="AE14" s="121">
        <f>R14+AA14</f>
        <v>0</v>
      </c>
      <c r="AF14" s="121"/>
      <c r="AG14" s="31">
        <f>0.6*B14*0.9</f>
        <v>342.792</v>
      </c>
      <c r="AH14" s="31">
        <f>B14*0.2*0.891</f>
        <v>113.12136</v>
      </c>
      <c r="AI14" s="31">
        <f>0.85*B14*0.867-0.02</f>
        <v>467.79585999999995</v>
      </c>
      <c r="AJ14" s="31">
        <f>AI14*0.18</f>
        <v>84.20325479999998</v>
      </c>
      <c r="AK14" s="31">
        <f>0.83*B14*0.8685</f>
        <v>457.59875399999993</v>
      </c>
      <c r="AL14" s="31">
        <f>AK14*0.18</f>
        <v>82.36777571999998</v>
      </c>
      <c r="AM14" s="31">
        <f>1.91*B14*0.8686</f>
        <v>1053.1497047999999</v>
      </c>
      <c r="AN14" s="31">
        <f>AM14*0.18</f>
        <v>189.56694686399996</v>
      </c>
      <c r="AO14" s="31"/>
      <c r="AP14" s="31">
        <f>AO14*0.18</f>
        <v>0</v>
      </c>
      <c r="AQ14" s="127"/>
      <c r="AR14" s="127">
        <f>AQ14*0.18</f>
        <v>0</v>
      </c>
      <c r="AS14" s="103">
        <v>11159</v>
      </c>
      <c r="AT14" s="103"/>
      <c r="AU14" s="103">
        <f>(AS14+AT14)*0.18+0.01</f>
        <v>2008.6299999999999</v>
      </c>
      <c r="AV14" s="128">
        <v>508</v>
      </c>
      <c r="AW14" s="129">
        <v>0.45</v>
      </c>
      <c r="AX14" s="31">
        <f>AV14*AW14*1.12*1.18</f>
        <v>302.11776000000003</v>
      </c>
      <c r="AY14" s="130"/>
      <c r="AZ14" s="131"/>
      <c r="BA14" s="132"/>
      <c r="BB14" s="132">
        <f>SUM(AG14:AU14)</f>
        <v>15958.225656183999</v>
      </c>
      <c r="BC14" s="19">
        <f t="shared" si="0"/>
        <v>-14088.388156183999</v>
      </c>
      <c r="BD14" s="21">
        <f aca="true" t="shared" si="4" ref="BD14:BD25">AB14-S14</f>
        <v>-2419.53</v>
      </c>
    </row>
    <row r="15" spans="1:56" ht="12.75">
      <c r="A15" s="13" t="s">
        <v>46</v>
      </c>
      <c r="B15" s="118">
        <v>634.8</v>
      </c>
      <c r="C15" s="115">
        <f t="shared" si="3"/>
        <v>5491.0199999999995</v>
      </c>
      <c r="D15" s="116">
        <f>C15*0.125</f>
        <v>686.3774999999999</v>
      </c>
      <c r="E15" s="99">
        <v>500.25</v>
      </c>
      <c r="F15" s="99">
        <v>24</v>
      </c>
      <c r="G15" s="99">
        <v>675.38</v>
      </c>
      <c r="H15" s="99">
        <v>32.4</v>
      </c>
      <c r="I15" s="99">
        <v>1087.97</v>
      </c>
      <c r="J15" s="99">
        <v>52.2</v>
      </c>
      <c r="K15" s="99">
        <v>750.38</v>
      </c>
      <c r="L15" s="99">
        <v>36</v>
      </c>
      <c r="M15" s="97">
        <v>400.18</v>
      </c>
      <c r="N15" s="97">
        <v>19.2</v>
      </c>
      <c r="O15" s="99">
        <v>0</v>
      </c>
      <c r="P15" s="105">
        <v>0</v>
      </c>
      <c r="Q15" s="99">
        <v>0</v>
      </c>
      <c r="R15" s="105">
        <v>0</v>
      </c>
      <c r="S15" s="99">
        <f>E15+G15+I15+K15+M15+O15+Q15</f>
        <v>3414.1600000000003</v>
      </c>
      <c r="T15" s="117">
        <f>P15+N15+L15+J15+H15+F15+R15</f>
        <v>163.8</v>
      </c>
      <c r="U15" s="99">
        <v>208.35</v>
      </c>
      <c r="V15" s="99">
        <v>281.31</v>
      </c>
      <c r="W15" s="99">
        <v>447.36</v>
      </c>
      <c r="X15" s="99">
        <v>312.53</v>
      </c>
      <c r="Y15" s="99">
        <v>166.72</v>
      </c>
      <c r="Z15" s="99">
        <v>0</v>
      </c>
      <c r="AA15" s="105">
        <v>0</v>
      </c>
      <c r="AB15" s="122">
        <f>SUM(U15:AA15)</f>
        <v>1416.27</v>
      </c>
      <c r="AC15" s="120">
        <f>D15+T15+AB15</f>
        <v>2266.4475</v>
      </c>
      <c r="AD15" s="121">
        <f>P15+Z15</f>
        <v>0</v>
      </c>
      <c r="AE15" s="121">
        <f>R15+AA15</f>
        <v>0</v>
      </c>
      <c r="AF15" s="121"/>
      <c r="AG15" s="31">
        <f>0.6*B15*0.9</f>
        <v>342.792</v>
      </c>
      <c r="AH15" s="31">
        <f>B15*0.2*0.9153</f>
        <v>116.206488</v>
      </c>
      <c r="AI15" s="31">
        <f>0.85*B15*0.867</f>
        <v>467.81585999999993</v>
      </c>
      <c r="AJ15" s="31">
        <f>AI15*0.18</f>
        <v>84.20685479999999</v>
      </c>
      <c r="AK15" s="31">
        <f>0.83*B15*0.8684</f>
        <v>457.5460655999999</v>
      </c>
      <c r="AL15" s="31">
        <f>AK15*0.18</f>
        <v>82.35829180799998</v>
      </c>
      <c r="AM15" s="31">
        <f>(1.91)*B15*0.8684</f>
        <v>1052.9072112</v>
      </c>
      <c r="AN15" s="31">
        <f>AM15*0.18</f>
        <v>189.52329801599998</v>
      </c>
      <c r="AO15" s="31"/>
      <c r="AP15" s="31">
        <f>AO15*0.18</f>
        <v>0</v>
      </c>
      <c r="AQ15" s="127"/>
      <c r="AR15" s="127">
        <f>AQ15*0.18</f>
        <v>0</v>
      </c>
      <c r="AS15" s="103">
        <v>10969</v>
      </c>
      <c r="AT15" s="103"/>
      <c r="AU15" s="103">
        <f>(AS15+AT15)*0.18</f>
        <v>1974.4199999999998</v>
      </c>
      <c r="AV15" s="128">
        <v>407</v>
      </c>
      <c r="AW15" s="129">
        <v>0.45</v>
      </c>
      <c r="AX15" s="31">
        <f>AV15*AW15*1.12*1.18</f>
        <v>242.05104</v>
      </c>
      <c r="AY15" s="130"/>
      <c r="AZ15" s="132"/>
      <c r="BA15" s="132"/>
      <c r="BB15" s="132">
        <f>SUM(AG15:AU15)</f>
        <v>15736.776069424</v>
      </c>
      <c r="BC15" s="19">
        <f t="shared" si="0"/>
        <v>-13470.328569424</v>
      </c>
      <c r="BD15" s="21">
        <f t="shared" si="4"/>
        <v>-1997.8900000000003</v>
      </c>
    </row>
    <row r="16" spans="1:56" ht="12.75">
      <c r="A16" s="13" t="s">
        <v>47</v>
      </c>
      <c r="B16" s="123">
        <v>651.2</v>
      </c>
      <c r="C16" s="115">
        <f t="shared" si="3"/>
        <v>5632.880000000001</v>
      </c>
      <c r="D16" s="116">
        <f>C16*0.125</f>
        <v>704.1100000000001</v>
      </c>
      <c r="E16" s="99">
        <v>466.15</v>
      </c>
      <c r="F16" s="99">
        <v>24</v>
      </c>
      <c r="G16" s="99">
        <v>629.32</v>
      </c>
      <c r="H16" s="99">
        <v>32.4</v>
      </c>
      <c r="I16" s="99">
        <v>1013.43</v>
      </c>
      <c r="J16" s="99">
        <v>52.2</v>
      </c>
      <c r="K16" s="99">
        <v>699.23</v>
      </c>
      <c r="L16" s="99">
        <v>36</v>
      </c>
      <c r="M16" s="97">
        <v>372.92</v>
      </c>
      <c r="N16" s="97">
        <v>19.2</v>
      </c>
      <c r="O16" s="99">
        <v>0</v>
      </c>
      <c r="P16" s="105">
        <v>0</v>
      </c>
      <c r="Q16" s="99">
        <v>0</v>
      </c>
      <c r="R16" s="105">
        <v>0</v>
      </c>
      <c r="S16" s="99">
        <f aca="true" t="shared" si="5" ref="S16:S25">E16+G16+I16+K16+M16+O16+Q16</f>
        <v>3181.05</v>
      </c>
      <c r="T16" s="117">
        <f aca="true" t="shared" si="6" ref="T16:T25">P16+N16+L16+J16+H16+F16+R16</f>
        <v>163.8</v>
      </c>
      <c r="U16" s="100">
        <v>184.08</v>
      </c>
      <c r="V16" s="100">
        <v>248.52</v>
      </c>
      <c r="W16" s="100">
        <v>400.24</v>
      </c>
      <c r="X16" s="100">
        <v>276.12</v>
      </c>
      <c r="Y16" s="100">
        <v>147.24</v>
      </c>
      <c r="Z16" s="100">
        <v>0</v>
      </c>
      <c r="AA16" s="124">
        <v>0</v>
      </c>
      <c r="AB16" s="119">
        <f aca="true" t="shared" si="7" ref="AB16:AB22">SUM(U16:AA16)</f>
        <v>1256.2</v>
      </c>
      <c r="AC16" s="120">
        <f aca="true" t="shared" si="8" ref="AC16:AC22">D16+T16+AB16</f>
        <v>2124.11</v>
      </c>
      <c r="AD16" s="121">
        <f aca="true" t="shared" si="9" ref="AD16:AD25">P16+Z16</f>
        <v>0</v>
      </c>
      <c r="AE16" s="121">
        <f aca="true" t="shared" si="10" ref="AE16:AE25">R16+AA16</f>
        <v>0</v>
      </c>
      <c r="AF16" s="121"/>
      <c r="AG16" s="31">
        <f>0.6*B16*0.9</f>
        <v>351.648</v>
      </c>
      <c r="AH16" s="125">
        <f>B16*0.2*0.9082</f>
        <v>118.28396800000002</v>
      </c>
      <c r="AI16" s="31">
        <f>0.85*B16*0.8675</f>
        <v>480.1786</v>
      </c>
      <c r="AJ16" s="31">
        <f aca="true" t="shared" si="11" ref="AJ16:AJ25">AI16*0.18</f>
        <v>86.432148</v>
      </c>
      <c r="AK16" s="125">
        <f>0.83*B16*0.838</f>
        <v>452.93564799999996</v>
      </c>
      <c r="AL16" s="31">
        <f aca="true" t="shared" si="12" ref="AL16:AL25">AK16*0.18</f>
        <v>81.52841663999999</v>
      </c>
      <c r="AM16" s="31">
        <f>1.91*B16*0.8381</f>
        <v>1042.4220752</v>
      </c>
      <c r="AN16" s="31">
        <f aca="true" t="shared" si="13" ref="AN16:AN25">AM16*0.18</f>
        <v>187.63597353600002</v>
      </c>
      <c r="AO16" s="31"/>
      <c r="AP16" s="31">
        <f aca="true" t="shared" si="14" ref="AP16:AP25">AO16*0.18</f>
        <v>0</v>
      </c>
      <c r="AQ16" s="127"/>
      <c r="AR16" s="127">
        <f aca="true" t="shared" si="15" ref="AR16:AR25">AQ16*0.18</f>
        <v>0</v>
      </c>
      <c r="AS16" s="103">
        <v>3540</v>
      </c>
      <c r="AT16" s="103"/>
      <c r="AU16" s="103">
        <f aca="true" t="shared" si="16" ref="AU16:AU25">(AS16+AT16)*0.18</f>
        <v>637.1999999999999</v>
      </c>
      <c r="AV16" s="128">
        <v>383</v>
      </c>
      <c r="AW16" s="129">
        <v>0.45</v>
      </c>
      <c r="AX16" s="31">
        <f aca="true" t="shared" si="17" ref="AX16:AX25">AV16*AW16*1.12*1.18</f>
        <v>227.77776</v>
      </c>
      <c r="AY16" s="130"/>
      <c r="AZ16" s="132"/>
      <c r="BA16" s="132"/>
      <c r="BB16" s="132">
        <f>SUM(AG16:AU16)</f>
        <v>6978.264829376</v>
      </c>
      <c r="BC16" s="19">
        <f t="shared" si="0"/>
        <v>-4854.154829376001</v>
      </c>
      <c r="BD16" s="21">
        <f t="shared" si="4"/>
        <v>-1924.8500000000001</v>
      </c>
    </row>
    <row r="17" spans="1:56" ht="12.75">
      <c r="A17" s="13" t="s">
        <v>48</v>
      </c>
      <c r="B17" s="133">
        <v>651.2</v>
      </c>
      <c r="C17" s="115">
        <f t="shared" si="3"/>
        <v>5632.880000000001</v>
      </c>
      <c r="D17" s="116">
        <f>C17*0.125</f>
        <v>704.1100000000001</v>
      </c>
      <c r="E17" s="100">
        <v>1426.76</v>
      </c>
      <c r="F17" s="100">
        <v>24</v>
      </c>
      <c r="G17" s="100">
        <v>1575.1</v>
      </c>
      <c r="H17" s="100">
        <v>32.4</v>
      </c>
      <c r="I17" s="100">
        <v>1924.39</v>
      </c>
      <c r="J17" s="100">
        <v>52.2</v>
      </c>
      <c r="K17" s="100">
        <v>1638.66</v>
      </c>
      <c r="L17" s="100">
        <v>36</v>
      </c>
      <c r="M17" s="101">
        <v>1342.03</v>
      </c>
      <c r="N17" s="101">
        <v>19.2</v>
      </c>
      <c r="O17" s="100">
        <v>0</v>
      </c>
      <c r="P17" s="124">
        <v>0</v>
      </c>
      <c r="Q17" s="100">
        <v>0</v>
      </c>
      <c r="R17" s="124">
        <v>0</v>
      </c>
      <c r="S17" s="99">
        <f t="shared" si="5"/>
        <v>7906.94</v>
      </c>
      <c r="T17" s="117">
        <f t="shared" si="6"/>
        <v>163.8</v>
      </c>
      <c r="U17" s="99">
        <v>166.68</v>
      </c>
      <c r="V17" s="99">
        <v>225.03</v>
      </c>
      <c r="W17" s="99">
        <v>362.42</v>
      </c>
      <c r="X17" s="99">
        <v>250.06</v>
      </c>
      <c r="Y17" s="99">
        <v>133.37</v>
      </c>
      <c r="Z17" s="99">
        <v>0</v>
      </c>
      <c r="AA17" s="99">
        <v>0</v>
      </c>
      <c r="AB17" s="119">
        <f t="shared" si="7"/>
        <v>1137.56</v>
      </c>
      <c r="AC17" s="120">
        <f t="shared" si="8"/>
        <v>2005.47</v>
      </c>
      <c r="AD17" s="121">
        <f t="shared" si="9"/>
        <v>0</v>
      </c>
      <c r="AE17" s="121">
        <f t="shared" si="10"/>
        <v>0</v>
      </c>
      <c r="AF17" s="121"/>
      <c r="AG17" s="31">
        <f>0.6*B17*0.9</f>
        <v>351.648</v>
      </c>
      <c r="AH17" s="125">
        <f>B17*0.2*0.9234</f>
        <v>120.26361600000001</v>
      </c>
      <c r="AI17" s="31">
        <f>0.85*B17*0.8934</f>
        <v>494.51476799999995</v>
      </c>
      <c r="AJ17" s="31">
        <f t="shared" si="11"/>
        <v>89.01265824</v>
      </c>
      <c r="AK17" s="31">
        <f>0.83*B17*0.8498</f>
        <v>459.3135008</v>
      </c>
      <c r="AL17" s="31">
        <f t="shared" si="12"/>
        <v>82.676430144</v>
      </c>
      <c r="AM17" s="31">
        <f>(1.91)*B17*0.8498</f>
        <v>1056.9744416</v>
      </c>
      <c r="AN17" s="31">
        <f t="shared" si="13"/>
        <v>190.25539948800002</v>
      </c>
      <c r="AO17" s="31"/>
      <c r="AP17" s="31">
        <f t="shared" si="14"/>
        <v>0</v>
      </c>
      <c r="AQ17" s="127"/>
      <c r="AR17" s="127">
        <f t="shared" si="15"/>
        <v>0</v>
      </c>
      <c r="AS17" s="103">
        <v>690</v>
      </c>
      <c r="AT17" s="103"/>
      <c r="AU17" s="103">
        <f t="shared" si="16"/>
        <v>124.19999999999999</v>
      </c>
      <c r="AV17" s="128">
        <v>307</v>
      </c>
      <c r="AW17" s="129">
        <v>0.45</v>
      </c>
      <c r="AX17" s="31">
        <f t="shared" si="17"/>
        <v>182.57904</v>
      </c>
      <c r="AY17" s="137"/>
      <c r="AZ17" s="130"/>
      <c r="BA17" s="132"/>
      <c r="BB17" s="19">
        <f>SUM(AG17:BA17)-AV17-AW17+AX14+AX15+AX16</f>
        <v>4613.384414272</v>
      </c>
      <c r="BC17" s="19">
        <f t="shared" si="0"/>
        <v>-2607.9144142719997</v>
      </c>
      <c r="BD17" s="21">
        <f t="shared" si="4"/>
        <v>-6769.379999999999</v>
      </c>
    </row>
    <row r="18" spans="1:56" ht="12.75">
      <c r="A18" s="13" t="s">
        <v>49</v>
      </c>
      <c r="B18" s="123">
        <v>651.2</v>
      </c>
      <c r="C18" s="115">
        <f t="shared" si="3"/>
        <v>5632.880000000001</v>
      </c>
      <c r="D18" s="140">
        <v>0</v>
      </c>
      <c r="E18" s="100">
        <v>780.22</v>
      </c>
      <c r="F18" s="100">
        <v>11.97</v>
      </c>
      <c r="G18" s="100">
        <v>1057.31</v>
      </c>
      <c r="H18" s="100">
        <v>16.23</v>
      </c>
      <c r="I18" s="100">
        <v>2054.41</v>
      </c>
      <c r="J18" s="100">
        <v>31.52</v>
      </c>
      <c r="K18" s="100">
        <v>1421.61</v>
      </c>
      <c r="L18" s="100">
        <v>21.82</v>
      </c>
      <c r="M18" s="101">
        <v>624.19</v>
      </c>
      <c r="N18" s="101">
        <v>9.57</v>
      </c>
      <c r="O18" s="100">
        <v>0</v>
      </c>
      <c r="P18" s="124">
        <v>0</v>
      </c>
      <c r="Q18" s="100">
        <v>0</v>
      </c>
      <c r="R18" s="124">
        <v>0</v>
      </c>
      <c r="S18" s="99">
        <f t="shared" si="5"/>
        <v>5937.74</v>
      </c>
      <c r="T18" s="117">
        <f t="shared" si="6"/>
        <v>91.11</v>
      </c>
      <c r="U18" s="100">
        <v>176.51</v>
      </c>
      <c r="V18" s="100">
        <v>238.3</v>
      </c>
      <c r="W18" s="100">
        <v>383.77</v>
      </c>
      <c r="X18" s="100">
        <v>264.74</v>
      </c>
      <c r="Y18" s="100">
        <v>141.19</v>
      </c>
      <c r="Z18" s="100">
        <v>0</v>
      </c>
      <c r="AA18" s="124">
        <v>0</v>
      </c>
      <c r="AB18" s="119">
        <f t="shared" si="7"/>
        <v>1204.51</v>
      </c>
      <c r="AC18" s="120">
        <f t="shared" si="8"/>
        <v>1295.62</v>
      </c>
      <c r="AD18" s="121">
        <f t="shared" si="9"/>
        <v>0</v>
      </c>
      <c r="AE18" s="121">
        <f t="shared" si="10"/>
        <v>0</v>
      </c>
      <c r="AF18" s="121"/>
      <c r="AG18" s="31">
        <f aca="true" t="shared" si="18" ref="AG18:AG25">0.6*B18</f>
        <v>390.72</v>
      </c>
      <c r="AH18" s="31">
        <f>B18*0.2*1.01</f>
        <v>131.54240000000001</v>
      </c>
      <c r="AI18" s="31">
        <f>0.85*B18</f>
        <v>553.52</v>
      </c>
      <c r="AJ18" s="31">
        <f t="shared" si="11"/>
        <v>99.63359999999999</v>
      </c>
      <c r="AK18" s="31">
        <f>0.83*B18</f>
        <v>540.496</v>
      </c>
      <c r="AL18" s="31">
        <f t="shared" si="12"/>
        <v>97.28927999999999</v>
      </c>
      <c r="AM18" s="31">
        <f>(1.91)*B18</f>
        <v>1243.7920000000001</v>
      </c>
      <c r="AN18" s="31">
        <f t="shared" si="13"/>
        <v>223.88256</v>
      </c>
      <c r="AO18" s="31"/>
      <c r="AP18" s="31">
        <f t="shared" si="14"/>
        <v>0</v>
      </c>
      <c r="AQ18" s="127"/>
      <c r="AR18" s="127">
        <f t="shared" si="15"/>
        <v>0</v>
      </c>
      <c r="AS18" s="103">
        <v>0</v>
      </c>
      <c r="AT18" s="103"/>
      <c r="AU18" s="103">
        <f t="shared" si="16"/>
        <v>0</v>
      </c>
      <c r="AV18" s="128">
        <v>263</v>
      </c>
      <c r="AW18" s="129">
        <v>0.45</v>
      </c>
      <c r="AX18" s="31">
        <f t="shared" si="17"/>
        <v>156.41136000000003</v>
      </c>
      <c r="AY18" s="130"/>
      <c r="AZ18" s="131"/>
      <c r="BA18" s="132"/>
      <c r="BB18" s="19">
        <f>SUM(AG18:BA18)-AV18-AW18</f>
        <v>3437.2871999999998</v>
      </c>
      <c r="BC18" s="19">
        <f t="shared" si="0"/>
        <v>-2141.6672</v>
      </c>
      <c r="BD18" s="21">
        <f t="shared" si="4"/>
        <v>-4733.23</v>
      </c>
    </row>
    <row r="19" spans="1:56" ht="12.75">
      <c r="A19" s="13" t="s">
        <v>50</v>
      </c>
      <c r="B19" s="123">
        <v>651.2</v>
      </c>
      <c r="C19" s="115">
        <f t="shared" si="3"/>
        <v>5632.880000000001</v>
      </c>
      <c r="D19" s="140">
        <v>0</v>
      </c>
      <c r="E19" s="100">
        <v>792.85</v>
      </c>
      <c r="F19" s="100">
        <v>9.22</v>
      </c>
      <c r="G19" s="100">
        <v>1074.42</v>
      </c>
      <c r="H19" s="100">
        <v>12.5</v>
      </c>
      <c r="I19" s="100">
        <v>2087.65</v>
      </c>
      <c r="J19" s="100">
        <v>24.27</v>
      </c>
      <c r="K19" s="100">
        <v>1444.61</v>
      </c>
      <c r="L19" s="100">
        <v>16.8</v>
      </c>
      <c r="M19" s="101">
        <v>634.29</v>
      </c>
      <c r="N19" s="101">
        <v>7.37</v>
      </c>
      <c r="O19" s="100">
        <v>0</v>
      </c>
      <c r="P19" s="124">
        <v>0</v>
      </c>
      <c r="Q19" s="100">
        <v>0</v>
      </c>
      <c r="R19" s="124">
        <v>0</v>
      </c>
      <c r="S19" s="99">
        <f t="shared" si="5"/>
        <v>6033.82</v>
      </c>
      <c r="T19" s="117">
        <f t="shared" si="6"/>
        <v>70.16</v>
      </c>
      <c r="U19" s="100">
        <v>214.4</v>
      </c>
      <c r="V19" s="100">
        <v>290.19</v>
      </c>
      <c r="W19" s="100">
        <v>529.48</v>
      </c>
      <c r="X19" s="100">
        <v>366.08</v>
      </c>
      <c r="Y19" s="100">
        <v>171.53</v>
      </c>
      <c r="Z19" s="100">
        <v>0</v>
      </c>
      <c r="AA19" s="124">
        <v>0</v>
      </c>
      <c r="AB19" s="119">
        <f t="shared" si="7"/>
        <v>1571.68</v>
      </c>
      <c r="AC19" s="120">
        <f t="shared" si="8"/>
        <v>1641.8400000000001</v>
      </c>
      <c r="AD19" s="121">
        <f t="shared" si="9"/>
        <v>0</v>
      </c>
      <c r="AE19" s="121">
        <f t="shared" si="10"/>
        <v>0</v>
      </c>
      <c r="AF19" s="121"/>
      <c r="AG19" s="31">
        <f t="shared" si="18"/>
        <v>390.72</v>
      </c>
      <c r="AH19" s="31">
        <f>B19*0.2*1.01045</f>
        <v>131.601008</v>
      </c>
      <c r="AI19" s="31">
        <f>0.85*B19</f>
        <v>553.52</v>
      </c>
      <c r="AJ19" s="31">
        <f t="shared" si="11"/>
        <v>99.63359999999999</v>
      </c>
      <c r="AK19" s="31">
        <f>0.83*B19</f>
        <v>540.496</v>
      </c>
      <c r="AL19" s="31">
        <f t="shared" si="12"/>
        <v>97.28927999999999</v>
      </c>
      <c r="AM19" s="31">
        <f>(1.91)*B19</f>
        <v>1243.7920000000001</v>
      </c>
      <c r="AN19" s="31">
        <f t="shared" si="13"/>
        <v>223.88256</v>
      </c>
      <c r="AO19" s="31"/>
      <c r="AP19" s="31">
        <f t="shared" si="14"/>
        <v>0</v>
      </c>
      <c r="AQ19" s="127"/>
      <c r="AR19" s="127">
        <f t="shared" si="15"/>
        <v>0</v>
      </c>
      <c r="AS19" s="103">
        <v>9065.87</v>
      </c>
      <c r="AT19" s="103"/>
      <c r="AU19" s="103">
        <f t="shared" si="16"/>
        <v>1631.8566</v>
      </c>
      <c r="AV19" s="128">
        <v>233</v>
      </c>
      <c r="AW19" s="129">
        <v>0.45</v>
      </c>
      <c r="AX19" s="31">
        <f t="shared" si="17"/>
        <v>138.56976</v>
      </c>
      <c r="AY19" s="130"/>
      <c r="AZ19" s="131"/>
      <c r="BA19" s="132"/>
      <c r="BB19" s="19">
        <f aca="true" t="shared" si="19" ref="BB19:BB25">SUM(AG19:BA19)-AV19-AW19</f>
        <v>14117.230808000002</v>
      </c>
      <c r="BC19" s="19">
        <f t="shared" si="0"/>
        <v>-12475.390808000002</v>
      </c>
      <c r="BD19" s="21">
        <f t="shared" si="4"/>
        <v>-4462.139999999999</v>
      </c>
    </row>
    <row r="20" spans="1:56" ht="12.75">
      <c r="A20" s="13" t="s">
        <v>51</v>
      </c>
      <c r="B20" s="118">
        <v>651.2</v>
      </c>
      <c r="C20" s="115">
        <f t="shared" si="3"/>
        <v>5632.880000000001</v>
      </c>
      <c r="D20" s="140">
        <v>0</v>
      </c>
      <c r="E20" s="100">
        <v>792.85</v>
      </c>
      <c r="F20" s="100">
        <v>9.22</v>
      </c>
      <c r="G20" s="100">
        <v>1074.42</v>
      </c>
      <c r="H20" s="100">
        <v>12.5</v>
      </c>
      <c r="I20" s="100">
        <v>2087.65</v>
      </c>
      <c r="J20" s="100">
        <v>24.27</v>
      </c>
      <c r="K20" s="100">
        <v>1444.61</v>
      </c>
      <c r="L20" s="100">
        <v>16.8</v>
      </c>
      <c r="M20" s="101">
        <v>634.29</v>
      </c>
      <c r="N20" s="101">
        <v>7.37</v>
      </c>
      <c r="O20" s="100">
        <v>0</v>
      </c>
      <c r="P20" s="124">
        <v>0</v>
      </c>
      <c r="Q20" s="100">
        <v>0</v>
      </c>
      <c r="R20" s="124">
        <v>0</v>
      </c>
      <c r="S20" s="99">
        <f t="shared" si="5"/>
        <v>6033.82</v>
      </c>
      <c r="T20" s="117">
        <f t="shared" si="6"/>
        <v>70.16</v>
      </c>
      <c r="U20" s="100">
        <v>261.6</v>
      </c>
      <c r="V20" s="100">
        <v>331.16</v>
      </c>
      <c r="W20" s="100">
        <v>543.19</v>
      </c>
      <c r="X20" s="100">
        <v>395.35</v>
      </c>
      <c r="Y20" s="100">
        <v>222.25</v>
      </c>
      <c r="Z20" s="100">
        <v>0</v>
      </c>
      <c r="AA20" s="124">
        <v>0</v>
      </c>
      <c r="AB20" s="119">
        <f t="shared" si="7"/>
        <v>1753.5500000000002</v>
      </c>
      <c r="AC20" s="120">
        <f t="shared" si="8"/>
        <v>1823.7100000000003</v>
      </c>
      <c r="AD20" s="121">
        <f t="shared" si="9"/>
        <v>0</v>
      </c>
      <c r="AE20" s="121">
        <f t="shared" si="10"/>
        <v>0</v>
      </c>
      <c r="AF20" s="121"/>
      <c r="AG20" s="31">
        <f t="shared" si="18"/>
        <v>390.72</v>
      </c>
      <c r="AH20" s="31">
        <f>B20*0.2*0.99426</f>
        <v>129.4924224</v>
      </c>
      <c r="AI20" s="31">
        <f>0.85*B20*0.9857</f>
        <v>545.604664</v>
      </c>
      <c r="AJ20" s="31">
        <f t="shared" si="11"/>
        <v>98.20883951999998</v>
      </c>
      <c r="AK20" s="31">
        <f>0.83*B20*0.9905</f>
        <v>535.3612880000001</v>
      </c>
      <c r="AL20" s="31">
        <f t="shared" si="12"/>
        <v>96.36503184</v>
      </c>
      <c r="AM20" s="31">
        <f>(1.91)*B20*0.9905</f>
        <v>1231.9759760000002</v>
      </c>
      <c r="AN20" s="31">
        <f t="shared" si="13"/>
        <v>221.75567568000002</v>
      </c>
      <c r="AO20" s="31"/>
      <c r="AP20" s="31">
        <f t="shared" si="14"/>
        <v>0</v>
      </c>
      <c r="AQ20" s="127"/>
      <c r="AR20" s="127">
        <f t="shared" si="15"/>
        <v>0</v>
      </c>
      <c r="AS20" s="103"/>
      <c r="AT20" s="103"/>
      <c r="AU20" s="103">
        <f t="shared" si="16"/>
        <v>0</v>
      </c>
      <c r="AV20" s="128">
        <v>248</v>
      </c>
      <c r="AW20" s="129">
        <v>0.45</v>
      </c>
      <c r="AX20" s="31">
        <f t="shared" si="17"/>
        <v>147.49056000000002</v>
      </c>
      <c r="AY20" s="130"/>
      <c r="AZ20" s="131"/>
      <c r="BA20" s="132"/>
      <c r="BB20" s="19">
        <f t="shared" si="19"/>
        <v>3396.9744574400006</v>
      </c>
      <c r="BC20" s="19">
        <f>AC20-BB20</f>
        <v>-1573.2644574400003</v>
      </c>
      <c r="BD20" s="21">
        <f t="shared" si="4"/>
        <v>-4280.2699999999995</v>
      </c>
    </row>
    <row r="21" spans="1:56" ht="12.75">
      <c r="A21" s="13" t="s">
        <v>52</v>
      </c>
      <c r="B21" s="98">
        <v>651.2</v>
      </c>
      <c r="C21" s="115">
        <f t="shared" si="3"/>
        <v>5632.880000000001</v>
      </c>
      <c r="D21" s="140">
        <v>0</v>
      </c>
      <c r="E21" s="100">
        <v>792.02</v>
      </c>
      <c r="F21" s="100">
        <v>9.22</v>
      </c>
      <c r="G21" s="100">
        <v>1073.29</v>
      </c>
      <c r="H21" s="100">
        <v>12.5</v>
      </c>
      <c r="I21" s="100">
        <v>2085.84</v>
      </c>
      <c r="J21" s="100">
        <v>24.27</v>
      </c>
      <c r="K21" s="100">
        <v>1443.36</v>
      </c>
      <c r="L21" s="100">
        <v>16.8</v>
      </c>
      <c r="M21" s="101">
        <v>633.62</v>
      </c>
      <c r="N21" s="101">
        <v>7.37</v>
      </c>
      <c r="O21" s="100">
        <v>0</v>
      </c>
      <c r="P21" s="124">
        <v>0</v>
      </c>
      <c r="Q21" s="100">
        <v>0</v>
      </c>
      <c r="R21" s="100">
        <v>0</v>
      </c>
      <c r="S21" s="99">
        <f t="shared" si="5"/>
        <v>6028.13</v>
      </c>
      <c r="T21" s="117">
        <f t="shared" si="6"/>
        <v>70.16</v>
      </c>
      <c r="U21" s="100">
        <v>297.55</v>
      </c>
      <c r="V21" s="100">
        <v>372.26</v>
      </c>
      <c r="W21" s="100">
        <v>617.82</v>
      </c>
      <c r="X21" s="100">
        <v>452.19</v>
      </c>
      <c r="Y21" s="100">
        <v>255.35</v>
      </c>
      <c r="Z21" s="100">
        <v>0</v>
      </c>
      <c r="AA21" s="124">
        <v>0</v>
      </c>
      <c r="AB21" s="119">
        <f t="shared" si="7"/>
        <v>1995.17</v>
      </c>
      <c r="AC21" s="120">
        <f t="shared" si="8"/>
        <v>2065.33</v>
      </c>
      <c r="AD21" s="121">
        <f t="shared" si="9"/>
        <v>0</v>
      </c>
      <c r="AE21" s="121">
        <f t="shared" si="10"/>
        <v>0</v>
      </c>
      <c r="AF21" s="121"/>
      <c r="AG21" s="31">
        <f t="shared" si="18"/>
        <v>390.72</v>
      </c>
      <c r="AH21" s="31">
        <f>B21*0.2*0.99875</f>
        <v>130.0772</v>
      </c>
      <c r="AI21" s="31">
        <f>0.85*B21*0.98526</f>
        <v>545.3611152</v>
      </c>
      <c r="AJ21" s="31">
        <f t="shared" si="11"/>
        <v>98.165000736</v>
      </c>
      <c r="AK21" s="31">
        <f>0.83*B21*0.99</f>
        <v>535.09104</v>
      </c>
      <c r="AL21" s="31">
        <f t="shared" si="12"/>
        <v>96.3163872</v>
      </c>
      <c r="AM21" s="31">
        <f>(1.91)*B21*0.99</f>
        <v>1231.35408</v>
      </c>
      <c r="AN21" s="31">
        <f t="shared" si="13"/>
        <v>221.6437344</v>
      </c>
      <c r="AO21" s="31"/>
      <c r="AP21" s="31">
        <f t="shared" si="14"/>
        <v>0</v>
      </c>
      <c r="AQ21" s="127"/>
      <c r="AR21" s="127">
        <f t="shared" si="15"/>
        <v>0</v>
      </c>
      <c r="AS21" s="103"/>
      <c r="AT21" s="103"/>
      <c r="AU21" s="103">
        <f t="shared" si="16"/>
        <v>0</v>
      </c>
      <c r="AV21" s="128">
        <v>293</v>
      </c>
      <c r="AW21" s="129">
        <v>0.45</v>
      </c>
      <c r="AX21" s="31">
        <f t="shared" si="17"/>
        <v>174.25295999999997</v>
      </c>
      <c r="AY21" s="130"/>
      <c r="AZ21" s="131"/>
      <c r="BA21" s="132"/>
      <c r="BB21" s="19">
        <f t="shared" si="19"/>
        <v>3422.9815175359995</v>
      </c>
      <c r="BC21" s="19">
        <f t="shared" si="0"/>
        <v>-1357.6515175359996</v>
      </c>
      <c r="BD21" s="21">
        <f t="shared" si="4"/>
        <v>-4032.96</v>
      </c>
    </row>
    <row r="22" spans="1:56" ht="12.75">
      <c r="A22" s="13" t="s">
        <v>53</v>
      </c>
      <c r="B22" s="98">
        <v>651.2</v>
      </c>
      <c r="C22" s="115">
        <f t="shared" si="3"/>
        <v>5632.880000000001</v>
      </c>
      <c r="D22" s="140">
        <v>0</v>
      </c>
      <c r="E22" s="99">
        <v>791.54</v>
      </c>
      <c r="F22" s="99">
        <v>10.53</v>
      </c>
      <c r="G22" s="99">
        <v>1072.63</v>
      </c>
      <c r="H22" s="99">
        <v>14.28</v>
      </c>
      <c r="I22" s="99">
        <v>2084.19</v>
      </c>
      <c r="J22" s="99">
        <v>27.73</v>
      </c>
      <c r="K22" s="99">
        <v>1442.22</v>
      </c>
      <c r="L22" s="99">
        <v>19.19</v>
      </c>
      <c r="M22" s="97">
        <v>633.24</v>
      </c>
      <c r="N22" s="97">
        <v>8.42</v>
      </c>
      <c r="O22" s="99">
        <v>0</v>
      </c>
      <c r="P22" s="105">
        <v>0</v>
      </c>
      <c r="Q22" s="99">
        <v>0</v>
      </c>
      <c r="R22" s="105">
        <v>0</v>
      </c>
      <c r="S22" s="99">
        <f t="shared" si="5"/>
        <v>6023.82</v>
      </c>
      <c r="T22" s="117">
        <f t="shared" si="6"/>
        <v>80.15</v>
      </c>
      <c r="U22" s="99">
        <v>349.49</v>
      </c>
      <c r="V22" s="99">
        <v>448.66</v>
      </c>
      <c r="W22" s="99">
        <v>769.89</v>
      </c>
      <c r="X22" s="99">
        <v>552.97</v>
      </c>
      <c r="Y22" s="99">
        <v>293.44</v>
      </c>
      <c r="Z22" s="99">
        <v>0</v>
      </c>
      <c r="AA22" s="105">
        <v>0</v>
      </c>
      <c r="AB22" s="119">
        <f t="shared" si="7"/>
        <v>2414.4500000000003</v>
      </c>
      <c r="AC22" s="120">
        <f t="shared" si="8"/>
        <v>2494.6000000000004</v>
      </c>
      <c r="AD22" s="121">
        <f t="shared" si="9"/>
        <v>0</v>
      </c>
      <c r="AE22" s="121">
        <f t="shared" si="10"/>
        <v>0</v>
      </c>
      <c r="AF22" s="121"/>
      <c r="AG22" s="31">
        <f t="shared" si="18"/>
        <v>390.72</v>
      </c>
      <c r="AH22" s="31">
        <f>B22*0.2*0.9997</f>
        <v>130.200928</v>
      </c>
      <c r="AI22" s="31">
        <f>0.85*B22*0.98509</f>
        <v>545.2670168</v>
      </c>
      <c r="AJ22" s="31">
        <f t="shared" si="11"/>
        <v>98.148063024</v>
      </c>
      <c r="AK22" s="31">
        <f>0.83*B22*0.98981</f>
        <v>534.98834576</v>
      </c>
      <c r="AL22" s="31">
        <f t="shared" si="12"/>
        <v>96.2979022368</v>
      </c>
      <c r="AM22" s="31">
        <f>(1.91)*B22*0.9898</f>
        <v>1231.1053216000003</v>
      </c>
      <c r="AN22" s="31">
        <f t="shared" si="13"/>
        <v>221.59895788800003</v>
      </c>
      <c r="AO22" s="31"/>
      <c r="AP22" s="31">
        <f t="shared" si="14"/>
        <v>0</v>
      </c>
      <c r="AQ22" s="127"/>
      <c r="AR22" s="127">
        <f t="shared" si="15"/>
        <v>0</v>
      </c>
      <c r="AS22" s="103"/>
      <c r="AT22" s="103"/>
      <c r="AU22" s="103">
        <f t="shared" si="16"/>
        <v>0</v>
      </c>
      <c r="AV22" s="128">
        <v>349</v>
      </c>
      <c r="AW22" s="129">
        <v>0.45</v>
      </c>
      <c r="AX22" s="31">
        <f t="shared" si="17"/>
        <v>207.55728000000005</v>
      </c>
      <c r="AY22" s="130"/>
      <c r="AZ22" s="131"/>
      <c r="BA22" s="132"/>
      <c r="BB22" s="19">
        <f t="shared" si="19"/>
        <v>3455.8838153088</v>
      </c>
      <c r="BC22" s="19">
        <f t="shared" si="0"/>
        <v>-961.2838153087996</v>
      </c>
      <c r="BD22" s="21">
        <f t="shared" si="4"/>
        <v>-3609.3699999999994</v>
      </c>
    </row>
    <row r="23" spans="1:56" ht="12.75">
      <c r="A23" s="32" t="s">
        <v>41</v>
      </c>
      <c r="B23" s="98">
        <v>651.2</v>
      </c>
      <c r="C23" s="135">
        <f t="shared" si="3"/>
        <v>5632.880000000001</v>
      </c>
      <c r="D23" s="134">
        <f>C23-E23-F23-G23-H23-I23-J23-K23-L23-M23-N23</f>
        <v>1301.0700000000015</v>
      </c>
      <c r="E23" s="104">
        <v>561.74</v>
      </c>
      <c r="F23" s="99">
        <v>7.48</v>
      </c>
      <c r="G23" s="99">
        <v>761.21</v>
      </c>
      <c r="H23" s="99">
        <v>10.13</v>
      </c>
      <c r="I23" s="99">
        <v>1479.09</v>
      </c>
      <c r="J23" s="99">
        <v>19.67</v>
      </c>
      <c r="K23" s="99">
        <v>1023.5</v>
      </c>
      <c r="L23" s="99">
        <v>13.62</v>
      </c>
      <c r="M23" s="99">
        <v>449.39</v>
      </c>
      <c r="N23" s="99">
        <v>5.98</v>
      </c>
      <c r="O23" s="99">
        <v>0</v>
      </c>
      <c r="P23" s="105">
        <v>0</v>
      </c>
      <c r="Q23" s="99">
        <v>0</v>
      </c>
      <c r="R23" s="99">
        <v>0</v>
      </c>
      <c r="S23" s="99">
        <f t="shared" si="5"/>
        <v>4274.93</v>
      </c>
      <c r="T23" s="117">
        <f t="shared" si="6"/>
        <v>56.88000000000001</v>
      </c>
      <c r="U23" s="106">
        <f>282.54+44.23</f>
        <v>326.77000000000004</v>
      </c>
      <c r="V23" s="99">
        <f>382.73+59.85</f>
        <v>442.58000000000004</v>
      </c>
      <c r="W23" s="99">
        <f>722.59+107.26</f>
        <v>829.85</v>
      </c>
      <c r="X23" s="99">
        <f>499.77+74.11</f>
        <v>573.88</v>
      </c>
      <c r="Y23" s="99">
        <f>226.03+35.38</f>
        <v>261.41</v>
      </c>
      <c r="Z23" s="105">
        <v>0</v>
      </c>
      <c r="AA23" s="105">
        <v>0</v>
      </c>
      <c r="AB23" s="105">
        <f>SUM(U23:AA23)</f>
        <v>2434.4900000000002</v>
      </c>
      <c r="AC23" s="120">
        <f>AB23+T23+D23</f>
        <v>3792.440000000002</v>
      </c>
      <c r="AD23" s="121">
        <f t="shared" si="9"/>
        <v>0</v>
      </c>
      <c r="AE23" s="121">
        <f t="shared" si="10"/>
        <v>0</v>
      </c>
      <c r="AF23" s="121"/>
      <c r="AG23" s="31">
        <f t="shared" si="18"/>
        <v>390.72</v>
      </c>
      <c r="AH23" s="31">
        <f>B23*0.2</f>
        <v>130.24</v>
      </c>
      <c r="AI23" s="31">
        <f>0.847*B23</f>
        <v>551.5664</v>
      </c>
      <c r="AJ23" s="31">
        <f t="shared" si="11"/>
        <v>99.281952</v>
      </c>
      <c r="AK23" s="31">
        <f>0.83*B23</f>
        <v>540.496</v>
      </c>
      <c r="AL23" s="31">
        <f t="shared" si="12"/>
        <v>97.28927999999999</v>
      </c>
      <c r="AM23" s="31">
        <f>(2.25/1.18)*B23</f>
        <v>1241.6949152542375</v>
      </c>
      <c r="AN23" s="31">
        <f t="shared" si="13"/>
        <v>223.50508474576273</v>
      </c>
      <c r="AO23" s="31"/>
      <c r="AP23" s="31">
        <f t="shared" si="14"/>
        <v>0</v>
      </c>
      <c r="AQ23" s="127"/>
      <c r="AR23" s="127">
        <f t="shared" si="15"/>
        <v>0</v>
      </c>
      <c r="AS23" s="103">
        <v>0</v>
      </c>
      <c r="AT23" s="103"/>
      <c r="AU23" s="103">
        <f t="shared" si="16"/>
        <v>0</v>
      </c>
      <c r="AV23" s="128">
        <v>425</v>
      </c>
      <c r="AW23" s="129">
        <v>0.45</v>
      </c>
      <c r="AX23" s="31">
        <f t="shared" si="17"/>
        <v>252.756</v>
      </c>
      <c r="AY23" s="130"/>
      <c r="AZ23" s="132"/>
      <c r="BA23" s="132"/>
      <c r="BB23" s="19">
        <f t="shared" si="19"/>
        <v>3527.549632</v>
      </c>
      <c r="BC23" s="19">
        <f>AC23-BB23</f>
        <v>264.8903680000017</v>
      </c>
      <c r="BD23" s="21">
        <f t="shared" si="4"/>
        <v>-1840.44</v>
      </c>
    </row>
    <row r="24" spans="1:56" ht="12.75">
      <c r="A24" s="13" t="s">
        <v>42</v>
      </c>
      <c r="B24" s="118">
        <v>651.2</v>
      </c>
      <c r="C24" s="135">
        <f t="shared" si="3"/>
        <v>5632.880000000001</v>
      </c>
      <c r="D24" s="140">
        <v>0</v>
      </c>
      <c r="E24" s="99">
        <v>787.75</v>
      </c>
      <c r="F24" s="99">
        <v>10.53</v>
      </c>
      <c r="G24" s="99">
        <v>1067.71</v>
      </c>
      <c r="H24" s="99">
        <v>14.28</v>
      </c>
      <c r="I24" s="99">
        <v>2074.33</v>
      </c>
      <c r="J24" s="99">
        <v>27.73</v>
      </c>
      <c r="K24" s="99">
        <v>1435.4</v>
      </c>
      <c r="L24" s="99">
        <v>19.19</v>
      </c>
      <c r="M24" s="97">
        <v>630.21</v>
      </c>
      <c r="N24" s="97">
        <v>8.42</v>
      </c>
      <c r="O24" s="99">
        <v>0</v>
      </c>
      <c r="P24" s="105">
        <v>0</v>
      </c>
      <c r="Q24" s="105">
        <v>0</v>
      </c>
      <c r="R24" s="105">
        <v>0</v>
      </c>
      <c r="S24" s="99">
        <f t="shared" si="5"/>
        <v>5995.400000000001</v>
      </c>
      <c r="T24" s="117">
        <f t="shared" si="6"/>
        <v>80.15</v>
      </c>
      <c r="U24" s="99">
        <v>428.39</v>
      </c>
      <c r="V24" s="99">
        <v>535.96</v>
      </c>
      <c r="W24" s="99">
        <v>895.26</v>
      </c>
      <c r="X24" s="99">
        <v>655.83</v>
      </c>
      <c r="Y24" s="99">
        <v>367.67</v>
      </c>
      <c r="Z24" s="99">
        <v>0</v>
      </c>
      <c r="AA24" s="105">
        <v>0</v>
      </c>
      <c r="AB24" s="105">
        <f>SUM(U24:AA24)</f>
        <v>2883.11</v>
      </c>
      <c r="AC24" s="120">
        <f>D24+T24+AB24</f>
        <v>2963.26</v>
      </c>
      <c r="AD24" s="121">
        <f t="shared" si="9"/>
        <v>0</v>
      </c>
      <c r="AE24" s="121">
        <f t="shared" si="10"/>
        <v>0</v>
      </c>
      <c r="AF24" s="121"/>
      <c r="AG24" s="31">
        <f t="shared" si="18"/>
        <v>390.72</v>
      </c>
      <c r="AH24" s="31">
        <f>B24*0.2</f>
        <v>130.24</v>
      </c>
      <c r="AI24" s="31">
        <f>0.85*B24</f>
        <v>553.52</v>
      </c>
      <c r="AJ24" s="31">
        <f t="shared" si="11"/>
        <v>99.63359999999999</v>
      </c>
      <c r="AK24" s="31">
        <f>0.83*B24</f>
        <v>540.496</v>
      </c>
      <c r="AL24" s="31">
        <f t="shared" si="12"/>
        <v>97.28927999999999</v>
      </c>
      <c r="AM24" s="31">
        <f>(1.91)*B24</f>
        <v>1243.7920000000001</v>
      </c>
      <c r="AN24" s="31">
        <f t="shared" si="13"/>
        <v>223.88256</v>
      </c>
      <c r="AO24" s="31"/>
      <c r="AP24" s="31">
        <f t="shared" si="14"/>
        <v>0</v>
      </c>
      <c r="AQ24" s="127"/>
      <c r="AR24" s="127">
        <f t="shared" si="15"/>
        <v>0</v>
      </c>
      <c r="AS24" s="103">
        <v>387</v>
      </c>
      <c r="AT24" s="103"/>
      <c r="AU24" s="103">
        <f t="shared" si="16"/>
        <v>69.66</v>
      </c>
      <c r="AV24" s="128">
        <v>470</v>
      </c>
      <c r="AW24" s="129">
        <v>0.45</v>
      </c>
      <c r="AX24" s="31">
        <f t="shared" si="17"/>
        <v>279.5184</v>
      </c>
      <c r="AY24" s="130"/>
      <c r="AZ24" s="131"/>
      <c r="BA24" s="132"/>
      <c r="BB24" s="19">
        <f t="shared" si="19"/>
        <v>4015.75184</v>
      </c>
      <c r="BC24" s="19">
        <f t="shared" si="0"/>
        <v>-1052.4918399999997</v>
      </c>
      <c r="BD24" s="21">
        <f t="shared" si="4"/>
        <v>-3112.2900000000004</v>
      </c>
    </row>
    <row r="25" spans="1:56" ht="12.75">
      <c r="A25" s="13" t="s">
        <v>43</v>
      </c>
      <c r="B25" s="98">
        <v>651.2</v>
      </c>
      <c r="C25" s="135">
        <f t="shared" si="3"/>
        <v>5632.880000000001</v>
      </c>
      <c r="D25" s="140">
        <v>0</v>
      </c>
      <c r="E25" s="99">
        <v>787.75</v>
      </c>
      <c r="F25" s="99">
        <v>10.53</v>
      </c>
      <c r="G25" s="99">
        <v>1067.71</v>
      </c>
      <c r="H25" s="99">
        <v>14.28</v>
      </c>
      <c r="I25" s="99">
        <v>2074.32</v>
      </c>
      <c r="J25" s="99">
        <v>27.73</v>
      </c>
      <c r="K25" s="99">
        <v>1435.4</v>
      </c>
      <c r="L25" s="99">
        <v>19.19</v>
      </c>
      <c r="M25" s="97">
        <v>630.21</v>
      </c>
      <c r="N25" s="97">
        <v>8.42</v>
      </c>
      <c r="O25" s="99">
        <v>0</v>
      </c>
      <c r="P25" s="105">
        <v>0</v>
      </c>
      <c r="Q25" s="105"/>
      <c r="R25" s="105"/>
      <c r="S25" s="99">
        <f t="shared" si="5"/>
        <v>5995.39</v>
      </c>
      <c r="T25" s="117">
        <f t="shared" si="6"/>
        <v>80.15</v>
      </c>
      <c r="U25" s="99">
        <v>520.79</v>
      </c>
      <c r="V25" s="99">
        <v>705.3</v>
      </c>
      <c r="W25" s="99">
        <v>1315.38</v>
      </c>
      <c r="X25" s="99">
        <v>909.78</v>
      </c>
      <c r="Y25" s="99">
        <v>416.61</v>
      </c>
      <c r="Z25" s="99">
        <v>0</v>
      </c>
      <c r="AA25" s="105">
        <v>0</v>
      </c>
      <c r="AB25" s="105">
        <f>SUM(U25:AA25)</f>
        <v>3867.86</v>
      </c>
      <c r="AC25" s="120">
        <f>D25+T25+AB25</f>
        <v>3948.01</v>
      </c>
      <c r="AD25" s="121">
        <f t="shared" si="9"/>
        <v>0</v>
      </c>
      <c r="AE25" s="121">
        <f t="shared" si="10"/>
        <v>0</v>
      </c>
      <c r="AF25" s="121"/>
      <c r="AG25" s="31">
        <f t="shared" si="18"/>
        <v>390.72</v>
      </c>
      <c r="AH25" s="31">
        <f>B25*0.2</f>
        <v>130.24</v>
      </c>
      <c r="AI25" s="31">
        <f>0.85*B25</f>
        <v>553.52</v>
      </c>
      <c r="AJ25" s="31">
        <f t="shared" si="11"/>
        <v>99.63359999999999</v>
      </c>
      <c r="AK25" s="31">
        <f>0.83*B25</f>
        <v>540.496</v>
      </c>
      <c r="AL25" s="31">
        <f t="shared" si="12"/>
        <v>97.28927999999999</v>
      </c>
      <c r="AM25" s="31">
        <f>(1.91)*B25</f>
        <v>1243.7920000000001</v>
      </c>
      <c r="AN25" s="31">
        <f t="shared" si="13"/>
        <v>223.88256</v>
      </c>
      <c r="AO25" s="31"/>
      <c r="AP25" s="31">
        <f t="shared" si="14"/>
        <v>0</v>
      </c>
      <c r="AQ25" s="127"/>
      <c r="AR25" s="127">
        <f t="shared" si="15"/>
        <v>0</v>
      </c>
      <c r="AS25" s="103">
        <v>0</v>
      </c>
      <c r="AT25" s="103"/>
      <c r="AU25" s="103">
        <f t="shared" si="16"/>
        <v>0</v>
      </c>
      <c r="AV25" s="128">
        <v>514</v>
      </c>
      <c r="AW25" s="129">
        <v>0.45</v>
      </c>
      <c r="AX25" s="31">
        <f t="shared" si="17"/>
        <v>305.68608</v>
      </c>
      <c r="AY25" s="130"/>
      <c r="AZ25" s="131"/>
      <c r="BA25" s="132"/>
      <c r="BB25" s="19">
        <f t="shared" si="19"/>
        <v>3585.2595200000005</v>
      </c>
      <c r="BC25" s="19">
        <f t="shared" si="0"/>
        <v>362.7504799999997</v>
      </c>
      <c r="BD25" s="21">
        <f t="shared" si="4"/>
        <v>-2127.53</v>
      </c>
    </row>
    <row r="26" spans="1:56" s="28" customFormat="1" ht="12.75">
      <c r="A26" s="22" t="s">
        <v>5</v>
      </c>
      <c r="B26" s="23"/>
      <c r="C26" s="23">
        <f aca="true" t="shared" si="20" ref="C26:BB26">SUM(C14:C25)</f>
        <v>67310.84000000003</v>
      </c>
      <c r="D26" s="23">
        <f t="shared" si="20"/>
        <v>4082.0450000000014</v>
      </c>
      <c r="E26" s="24">
        <f t="shared" si="20"/>
        <v>8983.86</v>
      </c>
      <c r="F26" s="24">
        <f t="shared" si="20"/>
        <v>174.7</v>
      </c>
      <c r="G26" s="24">
        <f t="shared" si="20"/>
        <v>11808.91</v>
      </c>
      <c r="H26" s="24">
        <f t="shared" si="20"/>
        <v>236.29999999999998</v>
      </c>
      <c r="I26" s="24">
        <f t="shared" si="20"/>
        <v>21148.92</v>
      </c>
      <c r="J26" s="24">
        <f t="shared" si="20"/>
        <v>415.99000000000007</v>
      </c>
      <c r="K26" s="24">
        <f t="shared" si="20"/>
        <v>14934.949999999997</v>
      </c>
      <c r="L26" s="24">
        <f t="shared" si="20"/>
        <v>287.41</v>
      </c>
      <c r="M26" s="24">
        <f t="shared" si="20"/>
        <v>7387.75</v>
      </c>
      <c r="N26" s="24">
        <f t="shared" si="20"/>
        <v>139.72</v>
      </c>
      <c r="O26" s="24">
        <f t="shared" si="20"/>
        <v>0</v>
      </c>
      <c r="P26" s="24">
        <f t="shared" si="20"/>
        <v>0</v>
      </c>
      <c r="Q26" s="24">
        <f t="shared" si="20"/>
        <v>0</v>
      </c>
      <c r="R26" s="24">
        <f t="shared" si="20"/>
        <v>0</v>
      </c>
      <c r="S26" s="24">
        <f t="shared" si="20"/>
        <v>64264.39</v>
      </c>
      <c r="T26" s="24">
        <f t="shared" si="20"/>
        <v>1254.1200000000003</v>
      </c>
      <c r="U26" s="25">
        <f t="shared" si="20"/>
        <v>3285.7</v>
      </c>
      <c r="V26" s="25">
        <f t="shared" si="20"/>
        <v>4323.25</v>
      </c>
      <c r="W26" s="25">
        <f t="shared" si="20"/>
        <v>7411.740000000002</v>
      </c>
      <c r="X26" s="25">
        <f t="shared" si="20"/>
        <v>5236.2</v>
      </c>
      <c r="Y26" s="25">
        <f t="shared" si="20"/>
        <v>2697.6200000000003</v>
      </c>
      <c r="Z26" s="25">
        <f t="shared" si="20"/>
        <v>0</v>
      </c>
      <c r="AA26" s="25">
        <f t="shared" si="20"/>
        <v>0</v>
      </c>
      <c r="AB26" s="25">
        <f t="shared" si="20"/>
        <v>22954.510000000002</v>
      </c>
      <c r="AC26" s="25">
        <f t="shared" si="20"/>
        <v>28290.67500000001</v>
      </c>
      <c r="AD26" s="110">
        <f t="shared" si="20"/>
        <v>0</v>
      </c>
      <c r="AE26" s="110">
        <f t="shared" si="20"/>
        <v>0</v>
      </c>
      <c r="AF26" s="110"/>
      <c r="AG26" s="26">
        <f t="shared" si="20"/>
        <v>4514.640000000001</v>
      </c>
      <c r="AH26" s="26">
        <f t="shared" si="20"/>
        <v>1511.5093904</v>
      </c>
      <c r="AI26" s="26">
        <f t="shared" si="20"/>
        <v>6312.184284000001</v>
      </c>
      <c r="AJ26" s="26">
        <f t="shared" si="20"/>
        <v>1136.1931711199998</v>
      </c>
      <c r="AK26" s="26">
        <f t="shared" si="20"/>
        <v>6135.31464216</v>
      </c>
      <c r="AL26" s="26">
        <f t="shared" si="20"/>
        <v>1104.3566355888</v>
      </c>
      <c r="AM26" s="26">
        <f t="shared" si="20"/>
        <v>14116.751725654238</v>
      </c>
      <c r="AN26" s="26">
        <f t="shared" si="20"/>
        <v>2541.0153106177627</v>
      </c>
      <c r="AO26" s="26">
        <f t="shared" si="20"/>
        <v>0</v>
      </c>
      <c r="AP26" s="26">
        <f t="shared" si="20"/>
        <v>0</v>
      </c>
      <c r="AQ26" s="26"/>
      <c r="AR26" s="26"/>
      <c r="AS26" s="93">
        <f t="shared" si="20"/>
        <v>35810.87</v>
      </c>
      <c r="AT26" s="93"/>
      <c r="AU26" s="93">
        <f t="shared" si="20"/>
        <v>6445.9666</v>
      </c>
      <c r="AV26" s="26"/>
      <c r="AW26" s="26"/>
      <c r="AX26" s="26">
        <f t="shared" si="20"/>
        <v>2616.768</v>
      </c>
      <c r="AY26" s="26">
        <f t="shared" si="20"/>
        <v>0</v>
      </c>
      <c r="AZ26" s="26">
        <f t="shared" si="20"/>
        <v>0</v>
      </c>
      <c r="BA26" s="26">
        <f t="shared" si="20"/>
        <v>0</v>
      </c>
      <c r="BB26" s="26">
        <f t="shared" si="20"/>
        <v>82245.5697595408</v>
      </c>
      <c r="BC26" s="26">
        <f>SUM(BC14:BC25)</f>
        <v>-53954.8947595408</v>
      </c>
      <c r="BD26" s="27">
        <f>SUM(BD14:BD25)</f>
        <v>-41309.88</v>
      </c>
    </row>
    <row r="27" spans="1:56" ht="15" customHeight="1">
      <c r="A27" s="5" t="s">
        <v>87</v>
      </c>
      <c r="B27" s="91"/>
      <c r="C27" s="15"/>
      <c r="D27" s="15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2"/>
      <c r="P27" s="17"/>
      <c r="Q27" s="16"/>
      <c r="R27" s="16"/>
      <c r="S27" s="16"/>
      <c r="T27" s="16"/>
      <c r="U27" s="29"/>
      <c r="V27" s="29"/>
      <c r="W27" s="29"/>
      <c r="X27" s="29"/>
      <c r="Y27" s="29"/>
      <c r="Z27" s="29"/>
      <c r="AA27" s="18"/>
      <c r="AB27" s="18"/>
      <c r="AC27" s="108"/>
      <c r="AD27" s="109"/>
      <c r="AE27" s="109"/>
      <c r="AF27" s="109"/>
      <c r="AG27" s="19"/>
      <c r="AH27" s="19"/>
      <c r="AI27" s="19"/>
      <c r="AJ27" s="19"/>
      <c r="AK27" s="19"/>
      <c r="AL27" s="19"/>
      <c r="AM27" s="19"/>
      <c r="AN27" s="19"/>
      <c r="AO27" s="20"/>
      <c r="AP27" s="20"/>
      <c r="AQ27" s="20"/>
      <c r="AR27" s="20"/>
      <c r="AS27" s="102"/>
      <c r="AT27" s="102"/>
      <c r="AU27" s="30"/>
      <c r="AV27" s="19"/>
      <c r="AW27" s="19"/>
      <c r="AX27" s="20"/>
      <c r="AY27" s="20"/>
      <c r="AZ27" s="20"/>
      <c r="BA27" s="19"/>
      <c r="BB27" s="19"/>
      <c r="BC27" s="19"/>
      <c r="BD27" s="21"/>
    </row>
    <row r="28" spans="1:56" ht="12.75">
      <c r="A28" s="13" t="s">
        <v>45</v>
      </c>
      <c r="B28" s="98">
        <v>651.2</v>
      </c>
      <c r="C28" s="135">
        <f aca="true" t="shared" si="21" ref="C28:C35">B28*8.65</f>
        <v>5632.880000000001</v>
      </c>
      <c r="D28" s="140">
        <v>0</v>
      </c>
      <c r="E28" s="99">
        <v>787.75</v>
      </c>
      <c r="F28" s="99">
        <v>10.53</v>
      </c>
      <c r="G28" s="99">
        <v>1067.71</v>
      </c>
      <c r="H28" s="99">
        <v>14.28</v>
      </c>
      <c r="I28" s="99">
        <v>2074.33</v>
      </c>
      <c r="J28" s="99">
        <v>27.73</v>
      </c>
      <c r="K28" s="99">
        <v>1435.4</v>
      </c>
      <c r="L28" s="99">
        <v>19.19</v>
      </c>
      <c r="M28" s="97">
        <v>630.21</v>
      </c>
      <c r="N28" s="97">
        <v>8.42</v>
      </c>
      <c r="O28" s="99">
        <v>0</v>
      </c>
      <c r="P28" s="105">
        <v>0</v>
      </c>
      <c r="Q28" s="105"/>
      <c r="R28" s="105"/>
      <c r="S28" s="99">
        <f aca="true" t="shared" si="22" ref="S28:S35">E28+G28+I28+K28+M28+O28+Q28</f>
        <v>5995.400000000001</v>
      </c>
      <c r="T28" s="117">
        <f aca="true" t="shared" si="23" ref="T28:T35">P28+N28+L28+J28+H28+F28+R28</f>
        <v>80.15</v>
      </c>
      <c r="U28" s="99">
        <v>258.67</v>
      </c>
      <c r="V28" s="99">
        <v>340.04</v>
      </c>
      <c r="W28" s="99">
        <v>620.24</v>
      </c>
      <c r="X28" s="99">
        <v>435.92</v>
      </c>
      <c r="Y28" s="99">
        <v>212.77</v>
      </c>
      <c r="Z28" s="99">
        <v>0</v>
      </c>
      <c r="AA28" s="105">
        <v>0</v>
      </c>
      <c r="AB28" s="105">
        <f aca="true" t="shared" si="24" ref="AB28:AB33">SUM(U28:AA28)</f>
        <v>1867.64</v>
      </c>
      <c r="AC28" s="120">
        <f aca="true" t="shared" si="25" ref="AC28:AC35">D28+T28+AB28</f>
        <v>1947.7900000000002</v>
      </c>
      <c r="AD28" s="121">
        <f aca="true" t="shared" si="26" ref="AD28:AD35">P28+Z28</f>
        <v>0</v>
      </c>
      <c r="AE28" s="121">
        <f aca="true" t="shared" si="27" ref="AE28:AE35">R28+AA28</f>
        <v>0</v>
      </c>
      <c r="AF28" s="121"/>
      <c r="AG28" s="31">
        <f aca="true" t="shared" si="28" ref="AG28:AG35">0.6*B28</f>
        <v>390.72</v>
      </c>
      <c r="AH28" s="31">
        <f aca="true" t="shared" si="29" ref="AH28:AH35">B28*0.2</f>
        <v>130.24</v>
      </c>
      <c r="AI28" s="31">
        <f aca="true" t="shared" si="30" ref="AI28:AI35">1*B28</f>
        <v>651.2</v>
      </c>
      <c r="AJ28" s="31">
        <v>0</v>
      </c>
      <c r="AK28" s="31">
        <f aca="true" t="shared" si="31" ref="AK28:AK35">0.98*B28</f>
        <v>638.176</v>
      </c>
      <c r="AL28" s="31">
        <v>0</v>
      </c>
      <c r="AM28" s="31">
        <f aca="true" t="shared" si="32" ref="AM28:AM35">2.25*B28</f>
        <v>1465.2</v>
      </c>
      <c r="AN28" s="31">
        <v>0</v>
      </c>
      <c r="AO28" s="31"/>
      <c r="AP28" s="31">
        <v>0</v>
      </c>
      <c r="AQ28" s="127"/>
      <c r="AR28" s="127"/>
      <c r="AS28" s="103">
        <v>2157</v>
      </c>
      <c r="AT28" s="103"/>
      <c r="AU28" s="103">
        <f aca="true" t="shared" si="33" ref="AU28:AU35">AT28*0.18</f>
        <v>0</v>
      </c>
      <c r="AV28" s="128">
        <v>508</v>
      </c>
      <c r="AW28" s="129">
        <v>0.45</v>
      </c>
      <c r="AX28" s="31">
        <f aca="true" t="shared" si="34" ref="AX28:AX35">AV28*AW28*1.4</f>
        <v>320.03999999999996</v>
      </c>
      <c r="AY28" s="130"/>
      <c r="AZ28" s="131"/>
      <c r="BA28" s="132"/>
      <c r="BB28" s="19">
        <f aca="true" t="shared" si="35" ref="BB28:BB39">SUM(AG28:BA28)-AV28-AW28</f>
        <v>5752.576</v>
      </c>
      <c r="BC28" s="19">
        <f aca="true" t="shared" si="36" ref="BC28:BC39">AC28-BB28</f>
        <v>-3804.786</v>
      </c>
      <c r="BD28" s="21">
        <f aca="true" t="shared" si="37" ref="BD28:BD39">AB28-S28</f>
        <v>-4127.76</v>
      </c>
    </row>
    <row r="29" spans="1:56" ht="12.75">
      <c r="A29" s="13" t="s">
        <v>46</v>
      </c>
      <c r="B29" s="118">
        <v>651.2</v>
      </c>
      <c r="C29" s="135">
        <f t="shared" si="21"/>
        <v>5632.880000000001</v>
      </c>
      <c r="D29" s="134">
        <f aca="true" t="shared" si="38" ref="D29:D39">C29-E29-F29-G29-H29-I29-J29-K29-L29-M29-N29</f>
        <v>333.7200000000011</v>
      </c>
      <c r="E29" s="99">
        <v>601.69</v>
      </c>
      <c r="F29" s="99">
        <v>10.53</v>
      </c>
      <c r="G29" s="99">
        <v>902.65</v>
      </c>
      <c r="H29" s="99">
        <v>14.28</v>
      </c>
      <c r="I29" s="99">
        <v>1984.84</v>
      </c>
      <c r="J29" s="99">
        <v>27.73</v>
      </c>
      <c r="K29" s="99">
        <v>1297.47</v>
      </c>
      <c r="L29" s="99">
        <v>19.19</v>
      </c>
      <c r="M29" s="97">
        <v>432.36</v>
      </c>
      <c r="N29" s="97">
        <v>8.42</v>
      </c>
      <c r="O29" s="99">
        <v>0</v>
      </c>
      <c r="P29" s="105">
        <v>0</v>
      </c>
      <c r="Q29" s="105"/>
      <c r="R29" s="105"/>
      <c r="S29" s="99">
        <f t="shared" si="22"/>
        <v>5219.01</v>
      </c>
      <c r="T29" s="117">
        <f t="shared" si="23"/>
        <v>80.15</v>
      </c>
      <c r="U29" s="99">
        <v>751.79</v>
      </c>
      <c r="V29" s="99">
        <v>897.19</v>
      </c>
      <c r="W29" s="99">
        <v>1409.52</v>
      </c>
      <c r="X29" s="99">
        <v>1070.44</v>
      </c>
      <c r="Y29" s="99">
        <v>669.84</v>
      </c>
      <c r="Z29" s="99">
        <v>0</v>
      </c>
      <c r="AA29" s="105">
        <v>0</v>
      </c>
      <c r="AB29" s="105">
        <f t="shared" si="24"/>
        <v>4798.780000000001</v>
      </c>
      <c r="AC29" s="120">
        <f t="shared" si="25"/>
        <v>5212.6500000000015</v>
      </c>
      <c r="AD29" s="121">
        <f t="shared" si="26"/>
        <v>0</v>
      </c>
      <c r="AE29" s="121">
        <f t="shared" si="27"/>
        <v>0</v>
      </c>
      <c r="AF29" s="121"/>
      <c r="AG29" s="31">
        <f t="shared" si="28"/>
        <v>390.72</v>
      </c>
      <c r="AH29" s="31">
        <f t="shared" si="29"/>
        <v>130.24</v>
      </c>
      <c r="AI29" s="31">
        <f t="shared" si="30"/>
        <v>651.2</v>
      </c>
      <c r="AJ29" s="31">
        <v>0</v>
      </c>
      <c r="AK29" s="31">
        <f t="shared" si="31"/>
        <v>638.176</v>
      </c>
      <c r="AL29" s="31">
        <v>0</v>
      </c>
      <c r="AM29" s="31">
        <f t="shared" si="32"/>
        <v>1465.2</v>
      </c>
      <c r="AN29" s="31">
        <v>0</v>
      </c>
      <c r="AO29" s="31"/>
      <c r="AP29" s="31"/>
      <c r="AQ29" s="127"/>
      <c r="AR29" s="127"/>
      <c r="AS29" s="103">
        <v>8727</v>
      </c>
      <c r="AT29" s="103"/>
      <c r="AU29" s="103">
        <f t="shared" si="33"/>
        <v>0</v>
      </c>
      <c r="AV29" s="128">
        <v>407</v>
      </c>
      <c r="AW29" s="129">
        <v>0.45</v>
      </c>
      <c r="AX29" s="31">
        <f t="shared" si="34"/>
        <v>256.40999999999997</v>
      </c>
      <c r="AY29" s="130"/>
      <c r="AZ29" s="132"/>
      <c r="BA29" s="132"/>
      <c r="BB29" s="19">
        <f t="shared" si="35"/>
        <v>12258.946</v>
      </c>
      <c r="BC29" s="19">
        <f t="shared" si="36"/>
        <v>-7046.2959999999985</v>
      </c>
      <c r="BD29" s="21">
        <f t="shared" si="37"/>
        <v>-420.22999999999956</v>
      </c>
    </row>
    <row r="30" spans="1:56" ht="12.75">
      <c r="A30" s="13" t="s">
        <v>47</v>
      </c>
      <c r="B30" s="98">
        <v>758.8</v>
      </c>
      <c r="C30" s="135">
        <f t="shared" si="21"/>
        <v>6563.62</v>
      </c>
      <c r="D30" s="134">
        <f t="shared" si="38"/>
        <v>1347.0499999999993</v>
      </c>
      <c r="E30" s="99">
        <v>674.89</v>
      </c>
      <c r="F30" s="99">
        <v>10.53</v>
      </c>
      <c r="G30" s="99">
        <v>914.72</v>
      </c>
      <c r="H30" s="99">
        <v>14.28</v>
      </c>
      <c r="I30" s="99">
        <v>1777.14</v>
      </c>
      <c r="J30" s="99">
        <v>27.73</v>
      </c>
      <c r="K30" s="99">
        <v>1229.75</v>
      </c>
      <c r="L30" s="99">
        <v>19.19</v>
      </c>
      <c r="M30" s="97">
        <v>539.92</v>
      </c>
      <c r="N30" s="97">
        <v>8.42</v>
      </c>
      <c r="O30" s="99">
        <v>0</v>
      </c>
      <c r="P30" s="105">
        <v>0</v>
      </c>
      <c r="Q30" s="105">
        <v>0</v>
      </c>
      <c r="R30" s="105">
        <v>0</v>
      </c>
      <c r="S30" s="99">
        <f t="shared" si="22"/>
        <v>5136.42</v>
      </c>
      <c r="T30" s="117">
        <f t="shared" si="23"/>
        <v>80.15</v>
      </c>
      <c r="U30" s="99">
        <v>424.12</v>
      </c>
      <c r="V30" s="99">
        <v>560.44</v>
      </c>
      <c r="W30" s="99">
        <v>1037.79</v>
      </c>
      <c r="X30" s="99">
        <v>730.41</v>
      </c>
      <c r="Y30" s="99">
        <v>347.32</v>
      </c>
      <c r="Z30" s="99">
        <v>0</v>
      </c>
      <c r="AA30" s="105">
        <v>0</v>
      </c>
      <c r="AB30" s="105">
        <f t="shared" si="24"/>
        <v>3100.08</v>
      </c>
      <c r="AC30" s="120">
        <f t="shared" si="25"/>
        <v>4527.279999999999</v>
      </c>
      <c r="AD30" s="121">
        <f t="shared" si="26"/>
        <v>0</v>
      </c>
      <c r="AE30" s="121">
        <f t="shared" si="27"/>
        <v>0</v>
      </c>
      <c r="AF30" s="121"/>
      <c r="AG30" s="31">
        <f t="shared" si="28"/>
        <v>455.28</v>
      </c>
      <c r="AH30" s="31">
        <f t="shared" si="29"/>
        <v>151.76</v>
      </c>
      <c r="AI30" s="31">
        <f t="shared" si="30"/>
        <v>758.8</v>
      </c>
      <c r="AJ30" s="31">
        <v>0</v>
      </c>
      <c r="AK30" s="31">
        <f t="shared" si="31"/>
        <v>743.6239999999999</v>
      </c>
      <c r="AL30" s="31">
        <v>0</v>
      </c>
      <c r="AM30" s="31">
        <f t="shared" si="32"/>
        <v>1707.3</v>
      </c>
      <c r="AN30" s="31">
        <v>0</v>
      </c>
      <c r="AO30" s="31"/>
      <c r="AP30" s="31"/>
      <c r="AQ30" s="127"/>
      <c r="AR30" s="127"/>
      <c r="AS30" s="103"/>
      <c r="AT30" s="103"/>
      <c r="AU30" s="103">
        <f t="shared" si="33"/>
        <v>0</v>
      </c>
      <c r="AV30" s="128">
        <v>383</v>
      </c>
      <c r="AW30" s="129">
        <v>0.45</v>
      </c>
      <c r="AX30" s="31">
        <f t="shared" si="34"/>
        <v>241.28999999999996</v>
      </c>
      <c r="AY30" s="130"/>
      <c r="AZ30" s="132"/>
      <c r="BA30" s="132"/>
      <c r="BB30" s="19">
        <f t="shared" si="35"/>
        <v>4058.054</v>
      </c>
      <c r="BC30" s="19">
        <f t="shared" si="36"/>
        <v>469.22599999999875</v>
      </c>
      <c r="BD30" s="21">
        <f t="shared" si="37"/>
        <v>-2036.3400000000001</v>
      </c>
    </row>
    <row r="31" spans="1:56" ht="12.75">
      <c r="A31" s="13" t="s">
        <v>48</v>
      </c>
      <c r="B31" s="98">
        <v>758.8</v>
      </c>
      <c r="C31" s="135">
        <f>B31*8.65</f>
        <v>6563.62</v>
      </c>
      <c r="D31" s="134">
        <f t="shared" si="38"/>
        <v>1347.0599999999997</v>
      </c>
      <c r="E31" s="99">
        <v>680.14</v>
      </c>
      <c r="F31" s="99">
        <v>5.28</v>
      </c>
      <c r="G31" s="99">
        <v>921.84</v>
      </c>
      <c r="H31" s="99">
        <v>7.16</v>
      </c>
      <c r="I31" s="99">
        <v>1790.96</v>
      </c>
      <c r="J31" s="99">
        <v>13.9</v>
      </c>
      <c r="K31" s="99">
        <v>1239.32</v>
      </c>
      <c r="L31" s="99">
        <v>9.62</v>
      </c>
      <c r="M31" s="97">
        <v>544.12</v>
      </c>
      <c r="N31" s="97">
        <v>4.22</v>
      </c>
      <c r="O31" s="99">
        <v>0</v>
      </c>
      <c r="P31" s="105">
        <v>0</v>
      </c>
      <c r="Q31" s="105"/>
      <c r="R31" s="105"/>
      <c r="S31" s="99">
        <f t="shared" si="22"/>
        <v>5176.38</v>
      </c>
      <c r="T31" s="117">
        <f t="shared" si="23"/>
        <v>40.18000000000001</v>
      </c>
      <c r="U31" s="99">
        <v>166.68</v>
      </c>
      <c r="V31" s="99">
        <v>225.03</v>
      </c>
      <c r="W31" s="99">
        <v>362.42</v>
      </c>
      <c r="X31" s="99">
        <v>250.06</v>
      </c>
      <c r="Y31" s="99">
        <v>133.37</v>
      </c>
      <c r="Z31" s="99">
        <v>0</v>
      </c>
      <c r="AA31" s="105">
        <v>0</v>
      </c>
      <c r="AB31" s="105">
        <f t="shared" si="24"/>
        <v>1137.56</v>
      </c>
      <c r="AC31" s="120">
        <f t="shared" si="25"/>
        <v>2524.7999999999997</v>
      </c>
      <c r="AD31" s="121">
        <f t="shared" si="26"/>
        <v>0</v>
      </c>
      <c r="AE31" s="121">
        <f t="shared" si="27"/>
        <v>0</v>
      </c>
      <c r="AF31" s="121"/>
      <c r="AG31" s="31">
        <f t="shared" si="28"/>
        <v>455.28</v>
      </c>
      <c r="AH31" s="31">
        <f t="shared" si="29"/>
        <v>151.76</v>
      </c>
      <c r="AI31" s="31">
        <f t="shared" si="30"/>
        <v>758.8</v>
      </c>
      <c r="AJ31" s="31">
        <v>0</v>
      </c>
      <c r="AK31" s="31">
        <f t="shared" si="31"/>
        <v>743.6239999999999</v>
      </c>
      <c r="AL31" s="31">
        <v>0</v>
      </c>
      <c r="AM31" s="31">
        <f t="shared" si="32"/>
        <v>1707.3</v>
      </c>
      <c r="AN31" s="31">
        <v>0</v>
      </c>
      <c r="AO31" s="31"/>
      <c r="AP31" s="31"/>
      <c r="AQ31" s="127"/>
      <c r="AR31" s="127"/>
      <c r="AS31" s="103">
        <v>195</v>
      </c>
      <c r="AT31" s="103"/>
      <c r="AU31" s="103">
        <f t="shared" si="33"/>
        <v>0</v>
      </c>
      <c r="AV31" s="128">
        <v>307</v>
      </c>
      <c r="AW31" s="129">
        <v>0.45</v>
      </c>
      <c r="AX31" s="31">
        <f t="shared" si="34"/>
        <v>193.41</v>
      </c>
      <c r="AY31" s="130"/>
      <c r="AZ31" s="132"/>
      <c r="BA31" s="132">
        <f>AZ31*0.18</f>
        <v>0</v>
      </c>
      <c r="BB31" s="19">
        <f t="shared" si="35"/>
        <v>4205.174</v>
      </c>
      <c r="BC31" s="19">
        <f t="shared" si="36"/>
        <v>-1680.3740000000003</v>
      </c>
      <c r="BD31" s="21">
        <f t="shared" si="37"/>
        <v>-4038.82</v>
      </c>
    </row>
    <row r="32" spans="1:56" ht="12.75">
      <c r="A32" s="13" t="s">
        <v>49</v>
      </c>
      <c r="B32" s="98">
        <v>758.8</v>
      </c>
      <c r="C32" s="135">
        <f>B32*8.65</f>
        <v>6563.62</v>
      </c>
      <c r="D32" s="134">
        <f t="shared" si="38"/>
        <v>1347.0900000000004</v>
      </c>
      <c r="E32" s="99">
        <v>680.14</v>
      </c>
      <c r="F32" s="99">
        <v>5.28</v>
      </c>
      <c r="G32" s="99">
        <v>921.82</v>
      </c>
      <c r="H32" s="99">
        <v>7.16</v>
      </c>
      <c r="I32" s="99">
        <v>1790.95</v>
      </c>
      <c r="J32" s="99">
        <v>13.9</v>
      </c>
      <c r="K32" s="99">
        <v>1239.32</v>
      </c>
      <c r="L32" s="99">
        <v>9.62</v>
      </c>
      <c r="M32" s="97">
        <v>544.12</v>
      </c>
      <c r="N32" s="97">
        <v>4.22</v>
      </c>
      <c r="O32" s="99">
        <v>0</v>
      </c>
      <c r="P32" s="105">
        <v>0</v>
      </c>
      <c r="Q32" s="105"/>
      <c r="R32" s="105"/>
      <c r="S32" s="99">
        <f t="shared" si="22"/>
        <v>5176.349999999999</v>
      </c>
      <c r="T32" s="117">
        <f t="shared" si="23"/>
        <v>40.18000000000001</v>
      </c>
      <c r="U32" s="141">
        <v>223.71</v>
      </c>
      <c r="V32" s="141">
        <v>303.1</v>
      </c>
      <c r="W32" s="141">
        <v>581.38</v>
      </c>
      <c r="X32" s="141">
        <v>402.22</v>
      </c>
      <c r="Y32" s="141">
        <v>178.97</v>
      </c>
      <c r="Z32" s="141">
        <v>0</v>
      </c>
      <c r="AA32" s="142">
        <v>0</v>
      </c>
      <c r="AB32" s="105">
        <f>SUM(U32:AA32)</f>
        <v>1689.38</v>
      </c>
      <c r="AC32" s="120">
        <f t="shared" si="25"/>
        <v>3076.6500000000005</v>
      </c>
      <c r="AD32" s="121">
        <f t="shared" si="26"/>
        <v>0</v>
      </c>
      <c r="AE32" s="121">
        <f t="shared" si="27"/>
        <v>0</v>
      </c>
      <c r="AF32" s="121"/>
      <c r="AG32" s="31">
        <f t="shared" si="28"/>
        <v>455.28</v>
      </c>
      <c r="AH32" s="31">
        <f t="shared" si="29"/>
        <v>151.76</v>
      </c>
      <c r="AI32" s="31">
        <f t="shared" si="30"/>
        <v>758.8</v>
      </c>
      <c r="AJ32" s="31">
        <v>0</v>
      </c>
      <c r="AK32" s="31">
        <f t="shared" si="31"/>
        <v>743.6239999999999</v>
      </c>
      <c r="AL32" s="31">
        <v>0</v>
      </c>
      <c r="AM32" s="31">
        <f t="shared" si="32"/>
        <v>1707.3</v>
      </c>
      <c r="AN32" s="31">
        <v>0</v>
      </c>
      <c r="AO32" s="31"/>
      <c r="AP32" s="31"/>
      <c r="AQ32" s="127"/>
      <c r="AR32" s="127"/>
      <c r="AS32" s="103">
        <v>322</v>
      </c>
      <c r="AT32" s="103"/>
      <c r="AU32" s="103">
        <f t="shared" si="33"/>
        <v>0</v>
      </c>
      <c r="AV32" s="128">
        <v>263</v>
      </c>
      <c r="AW32" s="129">
        <v>0.45</v>
      </c>
      <c r="AX32" s="31">
        <f t="shared" si="34"/>
        <v>165.69</v>
      </c>
      <c r="AY32" s="130"/>
      <c r="AZ32" s="132"/>
      <c r="BA32" s="132">
        <f>AZ32*0.18</f>
        <v>0</v>
      </c>
      <c r="BB32" s="132">
        <f>SUM(AG32:BA32)-AV32-AW32</f>
        <v>4304.454</v>
      </c>
      <c r="BC32" s="19">
        <f t="shared" si="36"/>
        <v>-1227.8039999999992</v>
      </c>
      <c r="BD32" s="21">
        <f t="shared" si="37"/>
        <v>-3486.9699999999993</v>
      </c>
    </row>
    <row r="33" spans="1:56" ht="12.75">
      <c r="A33" s="13" t="s">
        <v>50</v>
      </c>
      <c r="B33" s="98">
        <v>758.8</v>
      </c>
      <c r="C33" s="135">
        <f t="shared" si="21"/>
        <v>6563.62</v>
      </c>
      <c r="D33" s="134">
        <f t="shared" si="38"/>
        <v>1347.0900000000004</v>
      </c>
      <c r="E33" s="99">
        <v>680.14</v>
      </c>
      <c r="F33" s="99">
        <v>5.28</v>
      </c>
      <c r="G33" s="99">
        <v>921.82</v>
      </c>
      <c r="H33" s="99">
        <v>7.16</v>
      </c>
      <c r="I33" s="99">
        <v>1790.95</v>
      </c>
      <c r="J33" s="99">
        <v>13.9</v>
      </c>
      <c r="K33" s="99">
        <v>1239.32</v>
      </c>
      <c r="L33" s="99">
        <v>9.62</v>
      </c>
      <c r="M33" s="97">
        <v>544.12</v>
      </c>
      <c r="N33" s="97">
        <v>4.22</v>
      </c>
      <c r="O33" s="99">
        <v>0</v>
      </c>
      <c r="P33" s="105">
        <v>0</v>
      </c>
      <c r="Q33" s="99">
        <v>0</v>
      </c>
      <c r="R33" s="105">
        <v>0</v>
      </c>
      <c r="S33" s="99">
        <f t="shared" si="22"/>
        <v>5176.349999999999</v>
      </c>
      <c r="T33" s="117">
        <f t="shared" si="23"/>
        <v>40.18000000000001</v>
      </c>
      <c r="U33" s="99">
        <v>286.44</v>
      </c>
      <c r="V33" s="99">
        <v>388.17</v>
      </c>
      <c r="W33" s="99">
        <v>751.02</v>
      </c>
      <c r="X33" s="99">
        <v>519.68</v>
      </c>
      <c r="Y33" s="99">
        <v>229.14</v>
      </c>
      <c r="Z33" s="99">
        <v>0</v>
      </c>
      <c r="AA33" s="105">
        <v>0</v>
      </c>
      <c r="AB33" s="105">
        <f t="shared" si="24"/>
        <v>2174.45</v>
      </c>
      <c r="AC33" s="120">
        <f t="shared" si="25"/>
        <v>3561.7200000000003</v>
      </c>
      <c r="AD33" s="121">
        <f t="shared" si="26"/>
        <v>0</v>
      </c>
      <c r="AE33" s="121">
        <f t="shared" si="27"/>
        <v>0</v>
      </c>
      <c r="AF33" s="121"/>
      <c r="AG33" s="31">
        <f t="shared" si="28"/>
        <v>455.28</v>
      </c>
      <c r="AH33" s="31">
        <f t="shared" si="29"/>
        <v>151.76</v>
      </c>
      <c r="AI33" s="31">
        <f t="shared" si="30"/>
        <v>758.8</v>
      </c>
      <c r="AJ33" s="31">
        <v>0</v>
      </c>
      <c r="AK33" s="31">
        <f t="shared" si="31"/>
        <v>743.6239999999999</v>
      </c>
      <c r="AL33" s="31">
        <v>0</v>
      </c>
      <c r="AM33" s="31">
        <f t="shared" si="32"/>
        <v>1707.3</v>
      </c>
      <c r="AN33" s="132">
        <v>0</v>
      </c>
      <c r="AO33" s="31"/>
      <c r="AP33" s="31"/>
      <c r="AQ33" s="127"/>
      <c r="AR33" s="127"/>
      <c r="AS33" s="103"/>
      <c r="AT33" s="103"/>
      <c r="AU33" s="103">
        <f t="shared" si="33"/>
        <v>0</v>
      </c>
      <c r="AV33" s="128">
        <v>233</v>
      </c>
      <c r="AW33" s="129">
        <v>0.45</v>
      </c>
      <c r="AX33" s="31">
        <f t="shared" si="34"/>
        <v>146.79</v>
      </c>
      <c r="AY33" s="130"/>
      <c r="AZ33" s="144"/>
      <c r="BA33" s="31"/>
      <c r="BB33" s="19">
        <f t="shared" si="35"/>
        <v>3963.554</v>
      </c>
      <c r="BC33" s="19">
        <f t="shared" si="36"/>
        <v>-401.83399999999983</v>
      </c>
      <c r="BD33" s="21">
        <f t="shared" si="37"/>
        <v>-3001.8999999999996</v>
      </c>
    </row>
    <row r="34" spans="1:56" ht="12.75">
      <c r="A34" s="143" t="s">
        <v>51</v>
      </c>
      <c r="B34" s="98">
        <v>758.8</v>
      </c>
      <c r="C34" s="135">
        <f t="shared" si="21"/>
        <v>6563.62</v>
      </c>
      <c r="D34" s="134">
        <f t="shared" si="38"/>
        <v>1347.0899999999992</v>
      </c>
      <c r="E34" s="104">
        <v>685.42</v>
      </c>
      <c r="F34" s="99">
        <v>0</v>
      </c>
      <c r="G34" s="99">
        <v>928.98</v>
      </c>
      <c r="H34" s="99">
        <v>0</v>
      </c>
      <c r="I34" s="99">
        <v>1804.85</v>
      </c>
      <c r="J34" s="99">
        <v>0</v>
      </c>
      <c r="K34" s="99">
        <v>1248.94</v>
      </c>
      <c r="L34" s="99">
        <v>0</v>
      </c>
      <c r="M34" s="97">
        <v>548.34</v>
      </c>
      <c r="N34" s="97">
        <v>0</v>
      </c>
      <c r="O34" s="99">
        <v>0</v>
      </c>
      <c r="P34" s="105">
        <v>0</v>
      </c>
      <c r="Q34" s="105"/>
      <c r="R34" s="105"/>
      <c r="S34" s="99">
        <f t="shared" si="22"/>
        <v>5216.530000000001</v>
      </c>
      <c r="T34" s="117">
        <f t="shared" si="23"/>
        <v>0</v>
      </c>
      <c r="U34" s="104">
        <v>315.72</v>
      </c>
      <c r="V34" s="99">
        <v>427.9</v>
      </c>
      <c r="W34" s="99">
        <v>826.13</v>
      </c>
      <c r="X34" s="99">
        <v>571.65</v>
      </c>
      <c r="Y34" s="99">
        <v>252.59</v>
      </c>
      <c r="Z34" s="99">
        <v>0</v>
      </c>
      <c r="AA34" s="105">
        <v>0</v>
      </c>
      <c r="AB34" s="105">
        <f aca="true" t="shared" si="39" ref="AB34:AB39">SUM(U34:AA34)</f>
        <v>2393.9900000000002</v>
      </c>
      <c r="AC34" s="120">
        <f t="shared" si="25"/>
        <v>3741.0799999999995</v>
      </c>
      <c r="AD34" s="121">
        <f t="shared" si="26"/>
        <v>0</v>
      </c>
      <c r="AE34" s="121">
        <f t="shared" si="27"/>
        <v>0</v>
      </c>
      <c r="AF34" s="121"/>
      <c r="AG34" s="31">
        <f t="shared" si="28"/>
        <v>455.28</v>
      </c>
      <c r="AH34" s="31">
        <f t="shared" si="29"/>
        <v>151.76</v>
      </c>
      <c r="AI34" s="31">
        <f t="shared" si="30"/>
        <v>758.8</v>
      </c>
      <c r="AJ34" s="31">
        <v>0</v>
      </c>
      <c r="AK34" s="31">
        <f t="shared" si="31"/>
        <v>743.6239999999999</v>
      </c>
      <c r="AL34" s="31">
        <v>0</v>
      </c>
      <c r="AM34" s="31">
        <f t="shared" si="32"/>
        <v>1707.3</v>
      </c>
      <c r="AN34" s="31">
        <v>0</v>
      </c>
      <c r="AO34" s="31"/>
      <c r="AP34" s="31"/>
      <c r="AQ34" s="127"/>
      <c r="AR34" s="127"/>
      <c r="AS34" s="103"/>
      <c r="AT34" s="103">
        <f>145.76</f>
        <v>145.76</v>
      </c>
      <c r="AU34" s="103">
        <f t="shared" si="33"/>
        <v>26.2368</v>
      </c>
      <c r="AV34" s="128">
        <v>248</v>
      </c>
      <c r="AW34" s="129">
        <v>0.45</v>
      </c>
      <c r="AX34" s="31">
        <f t="shared" si="34"/>
        <v>156.24</v>
      </c>
      <c r="AY34" s="130"/>
      <c r="AZ34" s="132"/>
      <c r="BA34" s="132">
        <f aca="true" t="shared" si="40" ref="BA34:BA39">AZ34*0.18</f>
        <v>0</v>
      </c>
      <c r="BB34" s="19">
        <f t="shared" si="35"/>
        <v>4145.0008</v>
      </c>
      <c r="BC34" s="19">
        <f t="shared" si="36"/>
        <v>-403.9208000000003</v>
      </c>
      <c r="BD34" s="21">
        <f t="shared" si="37"/>
        <v>-2822.5400000000004</v>
      </c>
    </row>
    <row r="35" spans="1:56" ht="12.75">
      <c r="A35" s="143" t="s">
        <v>52</v>
      </c>
      <c r="B35" s="98">
        <v>758.8</v>
      </c>
      <c r="C35" s="135">
        <f t="shared" si="21"/>
        <v>6563.62</v>
      </c>
      <c r="D35" s="134">
        <f t="shared" si="38"/>
        <v>1347.1099999999992</v>
      </c>
      <c r="E35" s="104">
        <v>685.42</v>
      </c>
      <c r="F35" s="99">
        <v>0</v>
      </c>
      <c r="G35" s="99">
        <v>928.97</v>
      </c>
      <c r="H35" s="99">
        <v>0</v>
      </c>
      <c r="I35" s="99">
        <v>1804.84</v>
      </c>
      <c r="J35" s="99">
        <v>0</v>
      </c>
      <c r="K35" s="99">
        <v>1248.94</v>
      </c>
      <c r="L35" s="99">
        <v>0</v>
      </c>
      <c r="M35" s="97">
        <v>548.34</v>
      </c>
      <c r="N35" s="97">
        <v>0</v>
      </c>
      <c r="O35" s="99">
        <v>0</v>
      </c>
      <c r="P35" s="105">
        <v>0</v>
      </c>
      <c r="Q35" s="105"/>
      <c r="R35" s="105"/>
      <c r="S35" s="99">
        <f t="shared" si="22"/>
        <v>5216.51</v>
      </c>
      <c r="T35" s="117">
        <f t="shared" si="23"/>
        <v>0</v>
      </c>
      <c r="U35" s="141">
        <v>212.22</v>
      </c>
      <c r="V35" s="141">
        <v>287.61</v>
      </c>
      <c r="W35" s="141">
        <v>556.04</v>
      </c>
      <c r="X35" s="141">
        <v>384.73</v>
      </c>
      <c r="Y35" s="141">
        <v>169.79</v>
      </c>
      <c r="Z35" s="141">
        <v>0</v>
      </c>
      <c r="AA35" s="142">
        <v>0</v>
      </c>
      <c r="AB35" s="105">
        <f t="shared" si="39"/>
        <v>1610.3899999999999</v>
      </c>
      <c r="AC35" s="120">
        <f t="shared" si="25"/>
        <v>2957.499999999999</v>
      </c>
      <c r="AD35" s="121">
        <f t="shared" si="26"/>
        <v>0</v>
      </c>
      <c r="AE35" s="121">
        <f t="shared" si="27"/>
        <v>0</v>
      </c>
      <c r="AF35" s="121"/>
      <c r="AG35" s="31">
        <f t="shared" si="28"/>
        <v>455.28</v>
      </c>
      <c r="AH35" s="31">
        <f t="shared" si="29"/>
        <v>151.76</v>
      </c>
      <c r="AI35" s="31">
        <f t="shared" si="30"/>
        <v>758.8</v>
      </c>
      <c r="AJ35" s="31">
        <v>0</v>
      </c>
      <c r="AK35" s="31">
        <f t="shared" si="31"/>
        <v>743.6239999999999</v>
      </c>
      <c r="AL35" s="31">
        <v>0</v>
      </c>
      <c r="AM35" s="31">
        <f t="shared" si="32"/>
        <v>1707.3</v>
      </c>
      <c r="AN35" s="31">
        <v>0</v>
      </c>
      <c r="AO35" s="31"/>
      <c r="AP35" s="31"/>
      <c r="AQ35" s="127"/>
      <c r="AR35" s="127"/>
      <c r="AS35" s="103"/>
      <c r="AT35" s="103">
        <f>47.8</f>
        <v>47.8</v>
      </c>
      <c r="AU35" s="103">
        <f t="shared" si="33"/>
        <v>8.604</v>
      </c>
      <c r="AV35" s="128">
        <v>293</v>
      </c>
      <c r="AW35" s="129">
        <v>0.45</v>
      </c>
      <c r="AX35" s="31">
        <f t="shared" si="34"/>
        <v>184.58999999999997</v>
      </c>
      <c r="AY35" s="130"/>
      <c r="AZ35" s="132"/>
      <c r="BA35" s="132">
        <f t="shared" si="40"/>
        <v>0</v>
      </c>
      <c r="BB35" s="19">
        <f t="shared" si="35"/>
        <v>4057.758</v>
      </c>
      <c r="BC35" s="19">
        <f t="shared" si="36"/>
        <v>-1100.2580000000007</v>
      </c>
      <c r="BD35" s="21">
        <f t="shared" si="37"/>
        <v>-3606.1200000000003</v>
      </c>
    </row>
    <row r="36" spans="1:56" ht="12.75">
      <c r="A36" s="143" t="s">
        <v>53</v>
      </c>
      <c r="B36" s="98">
        <v>758.8</v>
      </c>
      <c r="C36" s="135">
        <f>B36*8.65</f>
        <v>6563.62</v>
      </c>
      <c r="D36" s="134">
        <f t="shared" si="38"/>
        <v>1347.0899999999992</v>
      </c>
      <c r="E36" s="99">
        <v>685.42</v>
      </c>
      <c r="F36" s="99">
        <v>0</v>
      </c>
      <c r="G36" s="99">
        <v>928.98</v>
      </c>
      <c r="H36" s="99">
        <v>0</v>
      </c>
      <c r="I36" s="99">
        <v>1804.85</v>
      </c>
      <c r="J36" s="99">
        <v>0</v>
      </c>
      <c r="K36" s="99">
        <v>1248.94</v>
      </c>
      <c r="L36" s="99">
        <v>0</v>
      </c>
      <c r="M36" s="97">
        <v>548.34</v>
      </c>
      <c r="N36" s="97">
        <v>0</v>
      </c>
      <c r="O36" s="99">
        <v>0</v>
      </c>
      <c r="P36" s="105">
        <v>0</v>
      </c>
      <c r="Q36" s="105"/>
      <c r="R36" s="105"/>
      <c r="S36" s="99">
        <f>E36+G36+I36+K36+M36+O36+Q36</f>
        <v>5216.530000000001</v>
      </c>
      <c r="T36" s="117">
        <f>P36+N36+L36+J36+H36+F36+R36</f>
        <v>0</v>
      </c>
      <c r="U36" s="99">
        <v>87.16</v>
      </c>
      <c r="V36" s="99">
        <v>118.12</v>
      </c>
      <c r="W36" s="99">
        <v>228.44</v>
      </c>
      <c r="X36" s="99">
        <v>158.09</v>
      </c>
      <c r="Y36" s="99">
        <v>69.73</v>
      </c>
      <c r="Z36" s="99">
        <v>0</v>
      </c>
      <c r="AA36" s="105">
        <v>0</v>
      </c>
      <c r="AB36" s="105">
        <f t="shared" si="39"/>
        <v>661.5400000000001</v>
      </c>
      <c r="AC36" s="120">
        <f>D36+T36+AB36</f>
        <v>2008.6299999999992</v>
      </c>
      <c r="AD36" s="121">
        <f>P36+Z36</f>
        <v>0</v>
      </c>
      <c r="AE36" s="121">
        <f>R36+AA36</f>
        <v>0</v>
      </c>
      <c r="AF36" s="121"/>
      <c r="AG36" s="31">
        <f>0.6*B36</f>
        <v>455.28</v>
      </c>
      <c r="AH36" s="31">
        <f>B36*0.2</f>
        <v>151.76</v>
      </c>
      <c r="AI36" s="31">
        <f>1*B36</f>
        <v>758.8</v>
      </c>
      <c r="AJ36" s="31">
        <v>0</v>
      </c>
      <c r="AK36" s="31">
        <f>0.98*B36</f>
        <v>743.6239999999999</v>
      </c>
      <c r="AL36" s="31">
        <v>0</v>
      </c>
      <c r="AM36" s="31">
        <f>2.25*B36</f>
        <v>1707.3</v>
      </c>
      <c r="AN36" s="31">
        <v>0</v>
      </c>
      <c r="AO36" s="31"/>
      <c r="AP36" s="31"/>
      <c r="AQ36" s="127"/>
      <c r="AR36" s="127"/>
      <c r="AS36" s="103"/>
      <c r="AT36" s="103"/>
      <c r="AU36" s="152">
        <f>AT36*0.18</f>
        <v>0</v>
      </c>
      <c r="AV36" s="128">
        <v>349</v>
      </c>
      <c r="AW36" s="129">
        <v>0.45</v>
      </c>
      <c r="AX36" s="31">
        <f>AV36*AW36*1.4</f>
        <v>219.87</v>
      </c>
      <c r="AY36" s="130"/>
      <c r="AZ36" s="132"/>
      <c r="BA36" s="132">
        <f t="shared" si="40"/>
        <v>0</v>
      </c>
      <c r="BB36" s="19">
        <f t="shared" si="35"/>
        <v>4036.634</v>
      </c>
      <c r="BC36" s="19">
        <f t="shared" si="36"/>
        <v>-2028.0040000000008</v>
      </c>
      <c r="BD36" s="21">
        <f t="shared" si="37"/>
        <v>-4554.990000000001</v>
      </c>
    </row>
    <row r="37" spans="1:56" ht="12.75">
      <c r="A37" s="143" t="s">
        <v>41</v>
      </c>
      <c r="B37" s="98">
        <v>758.8</v>
      </c>
      <c r="C37" s="135">
        <f>B37*8.65</f>
        <v>6563.62</v>
      </c>
      <c r="D37" s="134">
        <f t="shared" si="38"/>
        <v>2464.45</v>
      </c>
      <c r="E37" s="100">
        <v>538.61</v>
      </c>
      <c r="F37" s="100">
        <v>0</v>
      </c>
      <c r="G37" s="100">
        <v>729.97</v>
      </c>
      <c r="H37" s="100">
        <v>0</v>
      </c>
      <c r="I37" s="100">
        <v>1418.26</v>
      </c>
      <c r="J37" s="100">
        <v>0</v>
      </c>
      <c r="K37" s="100">
        <v>981.43</v>
      </c>
      <c r="L37" s="100">
        <v>0</v>
      </c>
      <c r="M37" s="101">
        <v>430.9</v>
      </c>
      <c r="N37" s="101">
        <v>0</v>
      </c>
      <c r="O37" s="100">
        <v>0</v>
      </c>
      <c r="P37" s="124">
        <v>0</v>
      </c>
      <c r="Q37" s="124"/>
      <c r="R37" s="124"/>
      <c r="S37" s="99">
        <f>E37+G37+I37+K37+M37+O37+Q37</f>
        <v>4099.17</v>
      </c>
      <c r="T37" s="117">
        <f>P37+N37+L37+J37+H37+F37+R37</f>
        <v>0</v>
      </c>
      <c r="U37" s="99">
        <v>426.43</v>
      </c>
      <c r="V37" s="99">
        <v>577.83</v>
      </c>
      <c r="W37" s="99">
        <v>1116.83</v>
      </c>
      <c r="X37" s="99">
        <v>772.81</v>
      </c>
      <c r="Y37" s="99">
        <v>341.14</v>
      </c>
      <c r="Z37" s="99">
        <v>0</v>
      </c>
      <c r="AA37" s="105">
        <v>0</v>
      </c>
      <c r="AB37" s="105">
        <f t="shared" si="39"/>
        <v>3235.04</v>
      </c>
      <c r="AC37" s="120">
        <f>D37+T37+AB37</f>
        <v>5699.49</v>
      </c>
      <c r="AD37" s="121">
        <f>P37+Z37</f>
        <v>0</v>
      </c>
      <c r="AE37" s="121">
        <f>R37+AA37</f>
        <v>0</v>
      </c>
      <c r="AF37" s="121"/>
      <c r="AG37" s="31">
        <f>0.6*B37</f>
        <v>455.28</v>
      </c>
      <c r="AH37" s="31">
        <f>B37*0.2</f>
        <v>151.76</v>
      </c>
      <c r="AI37" s="31">
        <f>1*B37</f>
        <v>758.8</v>
      </c>
      <c r="AJ37" s="31">
        <v>0</v>
      </c>
      <c r="AK37" s="31">
        <f>0.98*B37</f>
        <v>743.6239999999999</v>
      </c>
      <c r="AL37" s="31">
        <v>0</v>
      </c>
      <c r="AM37" s="31">
        <f>2.25*B37</f>
        <v>1707.3</v>
      </c>
      <c r="AN37" s="31">
        <v>0</v>
      </c>
      <c r="AO37" s="31"/>
      <c r="AP37" s="31"/>
      <c r="AQ37" s="127"/>
      <c r="AR37" s="127"/>
      <c r="AS37" s="103">
        <v>299</v>
      </c>
      <c r="AT37" s="103"/>
      <c r="AU37" s="103">
        <f>AT37*0.18</f>
        <v>0</v>
      </c>
      <c r="AV37" s="128">
        <v>425</v>
      </c>
      <c r="AW37" s="129">
        <v>0.45</v>
      </c>
      <c r="AX37" s="31">
        <f>AV37*AW37*1.4</f>
        <v>267.75</v>
      </c>
      <c r="AY37" s="130"/>
      <c r="AZ37" s="132"/>
      <c r="BA37" s="132">
        <f t="shared" si="40"/>
        <v>0</v>
      </c>
      <c r="BB37" s="19">
        <f t="shared" si="35"/>
        <v>4383.514</v>
      </c>
      <c r="BC37" s="19">
        <f t="shared" si="36"/>
        <v>1315.9759999999997</v>
      </c>
      <c r="BD37" s="21">
        <f t="shared" si="37"/>
        <v>-864.1300000000001</v>
      </c>
    </row>
    <row r="38" spans="1:56" ht="12.75">
      <c r="A38" s="143" t="s">
        <v>42</v>
      </c>
      <c r="B38" s="98">
        <v>758.8</v>
      </c>
      <c r="C38" s="135">
        <f>B38*8.65</f>
        <v>6563.62</v>
      </c>
      <c r="D38" s="134">
        <f t="shared" si="38"/>
        <v>1347.0899999999992</v>
      </c>
      <c r="E38" s="99">
        <v>685.42</v>
      </c>
      <c r="F38" s="99">
        <v>0</v>
      </c>
      <c r="G38" s="99">
        <v>928.98</v>
      </c>
      <c r="H38" s="99">
        <v>0</v>
      </c>
      <c r="I38" s="99">
        <v>1804.85</v>
      </c>
      <c r="J38" s="99">
        <v>0</v>
      </c>
      <c r="K38" s="99">
        <v>1248.94</v>
      </c>
      <c r="L38" s="99">
        <v>0</v>
      </c>
      <c r="M38" s="97">
        <v>548.34</v>
      </c>
      <c r="N38" s="97">
        <v>0</v>
      </c>
      <c r="O38" s="99">
        <v>0</v>
      </c>
      <c r="P38" s="105">
        <v>0</v>
      </c>
      <c r="Q38" s="105"/>
      <c r="R38" s="105"/>
      <c r="S38" s="99">
        <f>E38+G38+I38+K38+M38+O38+Q38</f>
        <v>5216.530000000001</v>
      </c>
      <c r="T38" s="117">
        <f>P38+N38+L38+J38+H38+F38+R38</f>
        <v>0</v>
      </c>
      <c r="U38" s="104">
        <v>311.24</v>
      </c>
      <c r="V38" s="99">
        <v>421.88</v>
      </c>
      <c r="W38" s="99">
        <v>817.84</v>
      </c>
      <c r="X38" s="99">
        <v>565.92</v>
      </c>
      <c r="Y38" s="99">
        <v>249.01</v>
      </c>
      <c r="Z38" s="99">
        <v>0</v>
      </c>
      <c r="AA38" s="105">
        <v>0</v>
      </c>
      <c r="AB38" s="105">
        <f t="shared" si="39"/>
        <v>2365.8900000000003</v>
      </c>
      <c r="AC38" s="120">
        <f>D38+T38+AB38</f>
        <v>3712.9799999999996</v>
      </c>
      <c r="AD38" s="121">
        <f>P38+Z38</f>
        <v>0</v>
      </c>
      <c r="AE38" s="121">
        <f>R38+AA38</f>
        <v>0</v>
      </c>
      <c r="AF38" s="121"/>
      <c r="AG38" s="31">
        <f>0.6*B38</f>
        <v>455.28</v>
      </c>
      <c r="AH38" s="31">
        <f>B38*0.2</f>
        <v>151.76</v>
      </c>
      <c r="AI38" s="31">
        <f>1*B38</f>
        <v>758.8</v>
      </c>
      <c r="AJ38" s="31">
        <v>0</v>
      </c>
      <c r="AK38" s="31">
        <f>0.98*B38</f>
        <v>743.6239999999999</v>
      </c>
      <c r="AL38" s="31">
        <v>0</v>
      </c>
      <c r="AM38" s="31">
        <f>2.25*B38</f>
        <v>1707.3</v>
      </c>
      <c r="AN38" s="31">
        <v>0</v>
      </c>
      <c r="AO38" s="31"/>
      <c r="AP38" s="31"/>
      <c r="AQ38" s="127"/>
      <c r="AR38" s="127"/>
      <c r="AS38" s="103">
        <v>963</v>
      </c>
      <c r="AT38" s="103"/>
      <c r="AU38" s="103">
        <f>AT38*0.18</f>
        <v>0</v>
      </c>
      <c r="AV38" s="128">
        <v>470</v>
      </c>
      <c r="AW38" s="129">
        <v>0.45</v>
      </c>
      <c r="AX38" s="31">
        <f>AV38*AW38*1.4</f>
        <v>296.09999999999997</v>
      </c>
      <c r="AY38" s="130"/>
      <c r="AZ38" s="132"/>
      <c r="BA38" s="132">
        <f t="shared" si="40"/>
        <v>0</v>
      </c>
      <c r="BB38" s="19">
        <f t="shared" si="35"/>
        <v>5075.8640000000005</v>
      </c>
      <c r="BC38" s="19">
        <f t="shared" si="36"/>
        <v>-1362.884000000001</v>
      </c>
      <c r="BD38" s="21">
        <f t="shared" si="37"/>
        <v>-2850.6400000000003</v>
      </c>
    </row>
    <row r="39" spans="1:56" ht="13.5" thickBot="1">
      <c r="A39" s="143" t="s">
        <v>43</v>
      </c>
      <c r="B39" s="98">
        <v>758.8</v>
      </c>
      <c r="C39" s="135">
        <f>B39*8.65</f>
        <v>6563.62</v>
      </c>
      <c r="D39" s="134">
        <f t="shared" si="38"/>
        <v>1333.7499999999998</v>
      </c>
      <c r="E39" s="99">
        <v>687.2</v>
      </c>
      <c r="F39" s="99">
        <v>0</v>
      </c>
      <c r="G39" s="99">
        <v>931.29</v>
      </c>
      <c r="H39" s="99">
        <v>0</v>
      </c>
      <c r="I39" s="99">
        <v>1809.47</v>
      </c>
      <c r="J39" s="99">
        <v>0</v>
      </c>
      <c r="K39" s="99">
        <v>1252.15</v>
      </c>
      <c r="L39" s="99">
        <v>0</v>
      </c>
      <c r="M39" s="97">
        <v>549.76</v>
      </c>
      <c r="N39" s="97">
        <v>0</v>
      </c>
      <c r="O39" s="99">
        <v>0</v>
      </c>
      <c r="P39" s="105">
        <v>0</v>
      </c>
      <c r="Q39" s="105"/>
      <c r="R39" s="105"/>
      <c r="S39" s="99">
        <f>E39+G39+I39+K39+M39+O39+Q39</f>
        <v>5229.870000000001</v>
      </c>
      <c r="T39" s="117">
        <f>P39+N39+L39+J39+H39+F39+R39</f>
        <v>0</v>
      </c>
      <c r="U39" s="99">
        <v>99.67</v>
      </c>
      <c r="V39" s="99">
        <v>135.1</v>
      </c>
      <c r="W39" s="99">
        <v>261.89</v>
      </c>
      <c r="X39" s="99">
        <v>181.22</v>
      </c>
      <c r="Y39" s="99">
        <v>79.73</v>
      </c>
      <c r="Z39" s="99">
        <v>0</v>
      </c>
      <c r="AA39" s="105">
        <v>0</v>
      </c>
      <c r="AB39" s="105">
        <f t="shared" si="39"/>
        <v>757.61</v>
      </c>
      <c r="AC39" s="120">
        <f>D39+T39+AB39</f>
        <v>2091.3599999999997</v>
      </c>
      <c r="AD39" s="121">
        <f>P39+Z39</f>
        <v>0</v>
      </c>
      <c r="AE39" s="121">
        <f>R39+AA39</f>
        <v>0</v>
      </c>
      <c r="AF39" s="121"/>
      <c r="AG39" s="31">
        <f>0.6*B39</f>
        <v>455.28</v>
      </c>
      <c r="AH39" s="31">
        <f>B39*0.2</f>
        <v>151.76</v>
      </c>
      <c r="AI39" s="31">
        <f>1*B39</f>
        <v>758.8</v>
      </c>
      <c r="AJ39" s="31">
        <v>0</v>
      </c>
      <c r="AK39" s="31">
        <f>0.98*B39</f>
        <v>743.6239999999999</v>
      </c>
      <c r="AL39" s="31">
        <v>0</v>
      </c>
      <c r="AM39" s="31">
        <f>2.25*B39</f>
        <v>1707.3</v>
      </c>
      <c r="AN39" s="31">
        <v>0</v>
      </c>
      <c r="AO39" s="31"/>
      <c r="AP39" s="31"/>
      <c r="AQ39" s="127"/>
      <c r="AR39" s="127"/>
      <c r="AS39" s="103"/>
      <c r="AT39" s="103"/>
      <c r="AU39" s="103">
        <f>AT39*0.18</f>
        <v>0</v>
      </c>
      <c r="AV39" s="128">
        <v>514</v>
      </c>
      <c r="AW39" s="129">
        <v>0.45</v>
      </c>
      <c r="AX39" s="31">
        <f>AV39*AW39*1.4</f>
        <v>323.82</v>
      </c>
      <c r="AY39" s="130"/>
      <c r="AZ39" s="132"/>
      <c r="BA39" s="132">
        <f t="shared" si="40"/>
        <v>0</v>
      </c>
      <c r="BB39" s="19">
        <f t="shared" si="35"/>
        <v>4140.584</v>
      </c>
      <c r="BC39" s="19">
        <f t="shared" si="36"/>
        <v>-2049.224</v>
      </c>
      <c r="BD39" s="21">
        <f t="shared" si="37"/>
        <v>-4472.260000000001</v>
      </c>
    </row>
    <row r="40" spans="1:57" s="147" customFormat="1" ht="12.75">
      <c r="A40" s="145" t="s">
        <v>5</v>
      </c>
      <c r="B40" s="146"/>
      <c r="C40" s="146">
        <f>SUM(C28:C39)</f>
        <v>76901.96</v>
      </c>
      <c r="D40" s="146">
        <f aca="true" t="shared" si="41" ref="D40:BD40">SUM(D28:D39)</f>
        <v>14908.59</v>
      </c>
      <c r="E40" s="146">
        <f t="shared" si="41"/>
        <v>8072.24</v>
      </c>
      <c r="F40" s="146">
        <f t="shared" si="41"/>
        <v>47.43</v>
      </c>
      <c r="G40" s="146">
        <f t="shared" si="41"/>
        <v>11027.73</v>
      </c>
      <c r="H40" s="146">
        <f t="shared" si="41"/>
        <v>64.32</v>
      </c>
      <c r="I40" s="146">
        <f t="shared" si="41"/>
        <v>21656.29</v>
      </c>
      <c r="J40" s="146">
        <f t="shared" si="41"/>
        <v>124.89000000000001</v>
      </c>
      <c r="K40" s="146">
        <f t="shared" si="41"/>
        <v>14909.92</v>
      </c>
      <c r="L40" s="146">
        <f t="shared" si="41"/>
        <v>86.43000000000002</v>
      </c>
      <c r="M40" s="146">
        <f t="shared" si="41"/>
        <v>6408.87</v>
      </c>
      <c r="N40" s="146">
        <f t="shared" si="41"/>
        <v>37.919999999999995</v>
      </c>
      <c r="O40" s="146">
        <f t="shared" si="41"/>
        <v>0</v>
      </c>
      <c r="P40" s="146">
        <f t="shared" si="41"/>
        <v>0</v>
      </c>
      <c r="Q40" s="146">
        <f t="shared" si="41"/>
        <v>0</v>
      </c>
      <c r="R40" s="146">
        <f t="shared" si="41"/>
        <v>0</v>
      </c>
      <c r="S40" s="146">
        <f t="shared" si="41"/>
        <v>62075.049999999996</v>
      </c>
      <c r="T40" s="146">
        <f t="shared" si="41"/>
        <v>360.99</v>
      </c>
      <c r="U40" s="146">
        <f t="shared" si="41"/>
        <v>3563.8499999999995</v>
      </c>
      <c r="V40" s="146">
        <f t="shared" si="41"/>
        <v>4682.410000000001</v>
      </c>
      <c r="W40" s="146">
        <f t="shared" si="41"/>
        <v>8569.539999999999</v>
      </c>
      <c r="X40" s="146">
        <f t="shared" si="41"/>
        <v>6043.150000000001</v>
      </c>
      <c r="Y40" s="146">
        <f t="shared" si="41"/>
        <v>2933.4</v>
      </c>
      <c r="Z40" s="146">
        <f t="shared" si="41"/>
        <v>0</v>
      </c>
      <c r="AA40" s="146">
        <f t="shared" si="41"/>
        <v>0</v>
      </c>
      <c r="AB40" s="146">
        <f t="shared" si="41"/>
        <v>25792.350000000002</v>
      </c>
      <c r="AC40" s="146">
        <f t="shared" si="41"/>
        <v>41061.92999999999</v>
      </c>
      <c r="AD40" s="146">
        <f t="shared" si="41"/>
        <v>0</v>
      </c>
      <c r="AE40" s="146">
        <f t="shared" si="41"/>
        <v>0</v>
      </c>
      <c r="AF40" s="146">
        <f t="shared" si="41"/>
        <v>0</v>
      </c>
      <c r="AG40" s="146">
        <f t="shared" si="41"/>
        <v>5334.239999999998</v>
      </c>
      <c r="AH40" s="146">
        <f t="shared" si="41"/>
        <v>1778.08</v>
      </c>
      <c r="AI40" s="146">
        <f t="shared" si="41"/>
        <v>8890.400000000001</v>
      </c>
      <c r="AJ40" s="146">
        <f t="shared" si="41"/>
        <v>0</v>
      </c>
      <c r="AK40" s="146">
        <f t="shared" si="41"/>
        <v>8712.591999999999</v>
      </c>
      <c r="AL40" s="146">
        <f t="shared" si="41"/>
        <v>0</v>
      </c>
      <c r="AM40" s="146">
        <f t="shared" si="41"/>
        <v>20003.399999999998</v>
      </c>
      <c r="AN40" s="146">
        <f t="shared" si="41"/>
        <v>0</v>
      </c>
      <c r="AO40" s="146">
        <f t="shared" si="41"/>
        <v>0</v>
      </c>
      <c r="AP40" s="146">
        <f t="shared" si="41"/>
        <v>0</v>
      </c>
      <c r="AQ40" s="146">
        <f t="shared" si="41"/>
        <v>0</v>
      </c>
      <c r="AR40" s="146">
        <f t="shared" si="41"/>
        <v>0</v>
      </c>
      <c r="AS40" s="146">
        <f t="shared" si="41"/>
        <v>12663</v>
      </c>
      <c r="AT40" s="146">
        <f t="shared" si="41"/>
        <v>193.56</v>
      </c>
      <c r="AU40" s="146">
        <f t="shared" si="41"/>
        <v>34.8408</v>
      </c>
      <c r="AV40" s="146">
        <f t="shared" si="41"/>
        <v>4400</v>
      </c>
      <c r="AW40" s="146">
        <f t="shared" si="41"/>
        <v>5.400000000000001</v>
      </c>
      <c r="AX40" s="146">
        <f t="shared" si="41"/>
        <v>2772</v>
      </c>
      <c r="AY40" s="146">
        <f t="shared" si="41"/>
        <v>0</v>
      </c>
      <c r="AZ40" s="146">
        <f t="shared" si="41"/>
        <v>0</v>
      </c>
      <c r="BA40" s="146">
        <f t="shared" si="41"/>
        <v>0</v>
      </c>
      <c r="BB40" s="146">
        <f t="shared" si="41"/>
        <v>60382.11280000001</v>
      </c>
      <c r="BC40" s="146">
        <f t="shared" si="41"/>
        <v>-19320.182800000002</v>
      </c>
      <c r="BD40" s="146">
        <f t="shared" si="41"/>
        <v>-36282.7</v>
      </c>
      <c r="BE40" s="64"/>
    </row>
    <row r="41" spans="1:56" s="64" customFormat="1" ht="12.75">
      <c r="A41" s="22"/>
      <c r="B41" s="23"/>
      <c r="C41" s="23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5"/>
      <c r="V41" s="25"/>
      <c r="W41" s="25"/>
      <c r="X41" s="25"/>
      <c r="Y41" s="25"/>
      <c r="Z41" s="25"/>
      <c r="AA41" s="25"/>
      <c r="AB41" s="25"/>
      <c r="AC41" s="25"/>
      <c r="AD41" s="110"/>
      <c r="AE41" s="110"/>
      <c r="AF41" s="110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93"/>
      <c r="AT41" s="93"/>
      <c r="AU41" s="93"/>
      <c r="AV41" s="26"/>
      <c r="AW41" s="26"/>
      <c r="AX41" s="26"/>
      <c r="AY41" s="26"/>
      <c r="AZ41" s="26"/>
      <c r="BA41" s="26"/>
      <c r="BB41" s="26"/>
      <c r="BC41" s="107"/>
      <c r="BD41" s="150"/>
    </row>
    <row r="42" spans="1:57" s="148" customFormat="1" ht="13.5" thickBot="1">
      <c r="A42" s="33" t="s">
        <v>54</v>
      </c>
      <c r="B42" s="34"/>
      <c r="C42" s="34">
        <f aca="true" t="shared" si="42" ref="C42:AU42">C12+C26+C40</f>
        <v>160685.86000000004</v>
      </c>
      <c r="D42" s="34">
        <f t="shared" si="42"/>
        <v>22955.7554522</v>
      </c>
      <c r="E42" s="34">
        <f t="shared" si="42"/>
        <v>18507.95</v>
      </c>
      <c r="F42" s="34">
        <f t="shared" si="42"/>
        <v>294.13</v>
      </c>
      <c r="G42" s="34">
        <f t="shared" si="42"/>
        <v>24796.739999999998</v>
      </c>
      <c r="H42" s="34">
        <f t="shared" si="42"/>
        <v>397.82</v>
      </c>
      <c r="I42" s="34">
        <f t="shared" si="42"/>
        <v>45961.520000000004</v>
      </c>
      <c r="J42" s="34">
        <f t="shared" si="42"/>
        <v>697.4800000000001</v>
      </c>
      <c r="K42" s="34">
        <f t="shared" si="42"/>
        <v>32022.649999999994</v>
      </c>
      <c r="L42" s="34">
        <f t="shared" si="42"/>
        <v>481.84000000000003</v>
      </c>
      <c r="M42" s="34">
        <f t="shared" si="42"/>
        <v>14958.11</v>
      </c>
      <c r="N42" s="34">
        <f t="shared" si="42"/>
        <v>235.23999999999998</v>
      </c>
      <c r="O42" s="34">
        <f t="shared" si="42"/>
        <v>0</v>
      </c>
      <c r="P42" s="34">
        <f t="shared" si="42"/>
        <v>0</v>
      </c>
      <c r="Q42" s="34">
        <f t="shared" si="42"/>
        <v>0</v>
      </c>
      <c r="R42" s="34">
        <f t="shared" si="42"/>
        <v>0</v>
      </c>
      <c r="S42" s="34">
        <f t="shared" si="42"/>
        <v>136246.97</v>
      </c>
      <c r="T42" s="34">
        <f t="shared" si="42"/>
        <v>2106.51</v>
      </c>
      <c r="U42" s="34">
        <f t="shared" si="42"/>
        <v>7054.089999999999</v>
      </c>
      <c r="V42" s="34">
        <f t="shared" si="42"/>
        <v>9281.800000000001</v>
      </c>
      <c r="W42" s="34">
        <f t="shared" si="42"/>
        <v>16443.72</v>
      </c>
      <c r="X42" s="34">
        <f t="shared" si="42"/>
        <v>11586.16</v>
      </c>
      <c r="Y42" s="34">
        <f t="shared" si="42"/>
        <v>5794.64</v>
      </c>
      <c r="Z42" s="34">
        <f t="shared" si="42"/>
        <v>0</v>
      </c>
      <c r="AA42" s="34">
        <f t="shared" si="42"/>
        <v>0</v>
      </c>
      <c r="AB42" s="34">
        <f t="shared" si="42"/>
        <v>50160.41</v>
      </c>
      <c r="AC42" s="34">
        <f t="shared" si="42"/>
        <v>75222.6754522</v>
      </c>
      <c r="AD42" s="34">
        <f t="shared" si="42"/>
        <v>0</v>
      </c>
      <c r="AE42" s="34">
        <f t="shared" si="42"/>
        <v>0</v>
      </c>
      <c r="AF42" s="34">
        <f t="shared" si="42"/>
        <v>0</v>
      </c>
      <c r="AG42" s="34">
        <f t="shared" si="42"/>
        <v>10991.519999999999</v>
      </c>
      <c r="AH42" s="34">
        <f t="shared" si="42"/>
        <v>3681.7053503999996</v>
      </c>
      <c r="AI42" s="34">
        <f t="shared" si="42"/>
        <v>16823.177900000002</v>
      </c>
      <c r="AJ42" s="34">
        <f t="shared" si="42"/>
        <v>1427.9000219999998</v>
      </c>
      <c r="AK42" s="34">
        <f t="shared" si="42"/>
        <v>16733.76489592</v>
      </c>
      <c r="AL42" s="34">
        <f t="shared" si="42"/>
        <v>1443.8111212656</v>
      </c>
      <c r="AM42" s="34">
        <f t="shared" si="42"/>
        <v>37583.60294169423</v>
      </c>
      <c r="AN42" s="34">
        <f t="shared" si="42"/>
        <v>3164.4365295049624</v>
      </c>
      <c r="AO42" s="34">
        <f t="shared" si="42"/>
        <v>0</v>
      </c>
      <c r="AP42" s="34">
        <f t="shared" si="42"/>
        <v>0</v>
      </c>
      <c r="AQ42" s="34">
        <f t="shared" si="42"/>
        <v>0</v>
      </c>
      <c r="AR42" s="34">
        <f t="shared" si="42"/>
        <v>0</v>
      </c>
      <c r="AS42" s="34">
        <f t="shared" si="42"/>
        <v>49522.87</v>
      </c>
      <c r="AT42" s="34">
        <f t="shared" si="42"/>
        <v>193.56</v>
      </c>
      <c r="AU42" s="34">
        <f t="shared" si="42"/>
        <v>6669.627399999999</v>
      </c>
      <c r="AV42" s="34"/>
      <c r="AW42" s="34"/>
      <c r="AX42" s="34">
        <f aca="true" t="shared" si="43" ref="AX42:BD42">AX12+AX26+AX40</f>
        <v>5388.768</v>
      </c>
      <c r="AY42" s="34">
        <f t="shared" si="43"/>
        <v>0</v>
      </c>
      <c r="AZ42" s="34">
        <f t="shared" si="43"/>
        <v>0</v>
      </c>
      <c r="BA42" s="34">
        <f t="shared" si="43"/>
        <v>0</v>
      </c>
      <c r="BB42" s="34">
        <f t="shared" si="43"/>
        <v>153624.74416078482</v>
      </c>
      <c r="BC42" s="149">
        <f t="shared" si="43"/>
        <v>-78402.0687085848</v>
      </c>
      <c r="BD42" s="151">
        <f t="shared" si="43"/>
        <v>-86086.56</v>
      </c>
      <c r="BE42" s="64"/>
    </row>
  </sheetData>
  <sheetProtection/>
  <mergeCells count="65">
    <mergeCell ref="AP5:AP6"/>
    <mergeCell ref="AV5:AX5"/>
    <mergeCell ref="AT5:AT6"/>
    <mergeCell ref="AU5:AU6"/>
    <mergeCell ref="AY5:AY6"/>
    <mergeCell ref="AR5:AR6"/>
    <mergeCell ref="AZ5:AZ6"/>
    <mergeCell ref="Z5:Z6"/>
    <mergeCell ref="AA5:AA6"/>
    <mergeCell ref="AB5:AB6"/>
    <mergeCell ref="AG5:AG6"/>
    <mergeCell ref="AE3:AE6"/>
    <mergeCell ref="AG3:BB4"/>
    <mergeCell ref="AN5:AN6"/>
    <mergeCell ref="AO5:AO6"/>
    <mergeCell ref="L5:L6"/>
    <mergeCell ref="M5:M6"/>
    <mergeCell ref="N5:N6"/>
    <mergeCell ref="O5:O6"/>
    <mergeCell ref="AS5:AS6"/>
    <mergeCell ref="P5:P6"/>
    <mergeCell ref="Q5:Q6"/>
    <mergeCell ref="R5:R6"/>
    <mergeCell ref="S5:S6"/>
    <mergeCell ref="AQ5:AQ6"/>
    <mergeCell ref="M4:N4"/>
    <mergeCell ref="O4:P4"/>
    <mergeCell ref="Q4:R4"/>
    <mergeCell ref="E5:E6"/>
    <mergeCell ref="F5:F6"/>
    <mergeCell ref="G5:G6"/>
    <mergeCell ref="H5:H6"/>
    <mergeCell ref="I5:I6"/>
    <mergeCell ref="J5:J6"/>
    <mergeCell ref="K5:K6"/>
    <mergeCell ref="BC3:BC6"/>
    <mergeCell ref="BD3:BD6"/>
    <mergeCell ref="AH5:AH6"/>
    <mergeCell ref="AI5:AI6"/>
    <mergeCell ref="AJ5:AJ6"/>
    <mergeCell ref="AK5:AK6"/>
    <mergeCell ref="AL5:AL6"/>
    <mergeCell ref="AM5:AM6"/>
    <mergeCell ref="BA5:BA6"/>
    <mergeCell ref="BB5:BB6"/>
    <mergeCell ref="S3:T4"/>
    <mergeCell ref="U3:AB4"/>
    <mergeCell ref="AC3:AC6"/>
    <mergeCell ref="AD3:AD6"/>
    <mergeCell ref="T5:T6"/>
    <mergeCell ref="U5:U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28">
      <selection activeCell="B54" sqref="B54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35" t="s">
        <v>55</v>
      </c>
    </row>
    <row r="2" ht="18.75">
      <c r="E2" s="35" t="s">
        <v>56</v>
      </c>
    </row>
    <row r="6" spans="1:15" ht="12.75">
      <c r="A6" s="202" t="s">
        <v>85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</row>
    <row r="7" spans="1:15" ht="12.75">
      <c r="A7" s="224" t="s">
        <v>89</v>
      </c>
      <c r="B7" s="224"/>
      <c r="C7" s="224"/>
      <c r="D7" s="224"/>
      <c r="E7" s="224"/>
      <c r="F7" s="224"/>
      <c r="G7" s="224"/>
      <c r="H7" s="111"/>
      <c r="I7" s="111"/>
      <c r="J7" s="111"/>
      <c r="K7" s="111"/>
      <c r="L7" s="111"/>
      <c r="M7" s="111"/>
      <c r="N7" s="111"/>
      <c r="O7" s="111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5" ht="13.5" thickBot="1">
      <c r="A9" s="37" t="s">
        <v>57</v>
      </c>
      <c r="D9" s="4"/>
      <c r="E9" s="37">
        <v>8.65</v>
      </c>
    </row>
    <row r="10" spans="1:16" ht="12.75" customHeight="1">
      <c r="A10" s="157" t="s">
        <v>58</v>
      </c>
      <c r="B10" s="204" t="s">
        <v>1</v>
      </c>
      <c r="C10" s="207" t="s">
        <v>59</v>
      </c>
      <c r="D10" s="210" t="s">
        <v>3</v>
      </c>
      <c r="E10" s="213" t="s">
        <v>60</v>
      </c>
      <c r="F10" s="214"/>
      <c r="G10" s="193" t="s">
        <v>75</v>
      </c>
      <c r="H10" s="193"/>
      <c r="I10" s="217" t="s">
        <v>10</v>
      </c>
      <c r="J10" s="187"/>
      <c r="K10" s="187"/>
      <c r="L10" s="187"/>
      <c r="M10" s="187"/>
      <c r="N10" s="218"/>
      <c r="O10" s="221" t="s">
        <v>61</v>
      </c>
      <c r="P10" s="221" t="s">
        <v>12</v>
      </c>
    </row>
    <row r="11" spans="1:16" ht="12.75">
      <c r="A11" s="158"/>
      <c r="B11" s="205"/>
      <c r="C11" s="208"/>
      <c r="D11" s="211"/>
      <c r="E11" s="215"/>
      <c r="F11" s="216"/>
      <c r="G11" s="194"/>
      <c r="H11" s="194"/>
      <c r="I11" s="219"/>
      <c r="J11" s="179"/>
      <c r="K11" s="179"/>
      <c r="L11" s="179"/>
      <c r="M11" s="179"/>
      <c r="N11" s="220"/>
      <c r="O11" s="222"/>
      <c r="P11" s="222"/>
    </row>
    <row r="12" spans="1:16" ht="26.25" customHeight="1">
      <c r="A12" s="158"/>
      <c r="B12" s="205"/>
      <c r="C12" s="208"/>
      <c r="D12" s="211"/>
      <c r="E12" s="227" t="s">
        <v>62</v>
      </c>
      <c r="F12" s="228"/>
      <c r="G12" s="39" t="s">
        <v>63</v>
      </c>
      <c r="H12" s="229" t="s">
        <v>7</v>
      </c>
      <c r="I12" s="231" t="s">
        <v>64</v>
      </c>
      <c r="J12" s="197" t="s">
        <v>32</v>
      </c>
      <c r="K12" s="197" t="s">
        <v>65</v>
      </c>
      <c r="L12" s="197" t="s">
        <v>37</v>
      </c>
      <c r="M12" s="197" t="s">
        <v>66</v>
      </c>
      <c r="N12" s="199" t="s">
        <v>39</v>
      </c>
      <c r="O12" s="222"/>
      <c r="P12" s="222"/>
    </row>
    <row r="13" spans="1:16" ht="66.75" customHeight="1" thickBot="1">
      <c r="A13" s="203"/>
      <c r="B13" s="206"/>
      <c r="C13" s="209"/>
      <c r="D13" s="212"/>
      <c r="E13" s="40" t="s">
        <v>67</v>
      </c>
      <c r="F13" s="41" t="s">
        <v>21</v>
      </c>
      <c r="G13" s="42" t="s">
        <v>76</v>
      </c>
      <c r="H13" s="230"/>
      <c r="I13" s="232"/>
      <c r="J13" s="198"/>
      <c r="K13" s="198"/>
      <c r="L13" s="198"/>
      <c r="M13" s="198"/>
      <c r="N13" s="200"/>
      <c r="O13" s="223"/>
      <c r="P13" s="223"/>
    </row>
    <row r="14" spans="1:16" ht="13.5" thickBot="1">
      <c r="A14" s="43">
        <v>1</v>
      </c>
      <c r="B14" s="44">
        <v>2</v>
      </c>
      <c r="C14" s="43">
        <v>3</v>
      </c>
      <c r="D14" s="44">
        <v>4</v>
      </c>
      <c r="E14" s="43">
        <v>5</v>
      </c>
      <c r="F14" s="44">
        <v>6</v>
      </c>
      <c r="G14" s="43">
        <v>7</v>
      </c>
      <c r="H14" s="44">
        <v>8</v>
      </c>
      <c r="I14" s="43">
        <v>9</v>
      </c>
      <c r="J14" s="44">
        <v>10</v>
      </c>
      <c r="K14" s="43">
        <v>11</v>
      </c>
      <c r="L14" s="44">
        <v>12</v>
      </c>
      <c r="M14" s="43">
        <v>13</v>
      </c>
      <c r="N14" s="44">
        <v>14</v>
      </c>
      <c r="O14" s="43">
        <v>15</v>
      </c>
      <c r="P14" s="45">
        <v>16</v>
      </c>
    </row>
    <row r="15" spans="1:16" ht="12.75">
      <c r="A15" s="8" t="s">
        <v>40</v>
      </c>
      <c r="B15" s="9"/>
      <c r="C15" s="38"/>
      <c r="D15" s="8"/>
      <c r="E15" s="9"/>
      <c r="F15" s="10"/>
      <c r="G15" s="46"/>
      <c r="H15" s="38"/>
      <c r="I15" s="8"/>
      <c r="J15" s="9"/>
      <c r="K15" s="9"/>
      <c r="L15" s="9"/>
      <c r="M15" s="9"/>
      <c r="N15" s="10"/>
      <c r="O15" s="47"/>
      <c r="P15" s="48"/>
    </row>
    <row r="16" spans="1:16" ht="12.75">
      <c r="A16" s="13" t="s">
        <v>41</v>
      </c>
      <c r="B16" s="14">
        <f>Лист1!B9</f>
        <v>634.8</v>
      </c>
      <c r="C16" s="49">
        <f>Лист1!C9</f>
        <v>5491.0199999999995</v>
      </c>
      <c r="D16" s="50">
        <f>Лист1!D9</f>
        <v>1322.6768975999998</v>
      </c>
      <c r="E16" s="19">
        <f>Лист1!S9</f>
        <v>4602.74</v>
      </c>
      <c r="F16" s="21">
        <f>Лист1!T9</f>
        <v>163.8</v>
      </c>
      <c r="G16" s="51">
        <f>Лист1!AB9</f>
        <v>8</v>
      </c>
      <c r="H16" s="51">
        <f>Лист1!AC9</f>
        <v>1494.4768975999998</v>
      </c>
      <c r="I16" s="52">
        <f>Лист1!AG9</f>
        <v>380.87999999999994</v>
      </c>
      <c r="J16" s="19">
        <f>Лист1!AI9+Лист1!AJ9</f>
        <v>638.0527152</v>
      </c>
      <c r="K16" s="19">
        <f>Лист1!AH9+Лист1!AK9+Лист1!AL9+Лист1!AM9+Лист1!AN9+Лист1!AO9+Лист1!AP9</f>
        <v>2240.45873988</v>
      </c>
      <c r="L16" s="20">
        <f>Лист1!AS9+Лист1!AU9</f>
        <v>0</v>
      </c>
      <c r="M16" s="20">
        <f>Лист1!AX9</f>
        <v>0</v>
      </c>
      <c r="N16" s="21">
        <f>Лист1!BB9</f>
        <v>3259.3914550799996</v>
      </c>
      <c r="O16" s="53">
        <f>Лист1!BC9</f>
        <v>-1764.9145574799998</v>
      </c>
      <c r="P16" s="53">
        <f>Лист1!BD9</f>
        <v>-4594.74</v>
      </c>
    </row>
    <row r="17" spans="1:16" ht="12.75">
      <c r="A17" s="13" t="s">
        <v>42</v>
      </c>
      <c r="B17" s="14">
        <f>Лист1!B10</f>
        <v>634.8</v>
      </c>
      <c r="C17" s="49">
        <f>Лист1!C10</f>
        <v>5491.0199999999995</v>
      </c>
      <c r="D17" s="50">
        <f>Лист1!D10</f>
        <v>1322.6768975999998</v>
      </c>
      <c r="E17" s="19">
        <f>Лист1!S10</f>
        <v>4602.7300000000005</v>
      </c>
      <c r="F17" s="21">
        <f>Лист1!T10</f>
        <v>163.8</v>
      </c>
      <c r="G17" s="51">
        <f>Лист1!AB10</f>
        <v>389.26</v>
      </c>
      <c r="H17" s="51">
        <f>Лист1!AC10</f>
        <v>1875.7368975999998</v>
      </c>
      <c r="I17" s="52">
        <f>Лист1!AG10</f>
        <v>380.87999999999994</v>
      </c>
      <c r="J17" s="19">
        <f>Лист1!AI10+Лист1!AJ10</f>
        <v>638.0527152</v>
      </c>
      <c r="K17" s="19">
        <f>Лист1!AH10+Лист1!AK10+Лист1!AL10+Лист1!AM10+Лист1!AN10+Лист1!AO10+Лист1!AP10</f>
        <v>2233.6968502799996</v>
      </c>
      <c r="L17" s="20">
        <f>Лист1!AS10+Лист1!AU10</f>
        <v>1237.82</v>
      </c>
      <c r="M17" s="20">
        <f>Лист1!AX10</f>
        <v>0</v>
      </c>
      <c r="N17" s="21">
        <f>Лист1!BB10</f>
        <v>4490.449565479999</v>
      </c>
      <c r="O17" s="53">
        <f>Лист1!BC10</f>
        <v>-2614.7126678799996</v>
      </c>
      <c r="P17" s="53">
        <f>Лист1!BD10</f>
        <v>-4213.47</v>
      </c>
    </row>
    <row r="18" spans="1:18" ht="13.5" thickBot="1">
      <c r="A18" s="54" t="s">
        <v>43</v>
      </c>
      <c r="B18" s="77">
        <f>Лист1!B11</f>
        <v>634.8</v>
      </c>
      <c r="C18" s="55">
        <f>Лист1!C11</f>
        <v>5491.0199999999995</v>
      </c>
      <c r="D18" s="78">
        <f>Лист1!D11</f>
        <v>1319.766657</v>
      </c>
      <c r="E18" s="79">
        <f>Лист1!S11</f>
        <v>702.0600000000001</v>
      </c>
      <c r="F18" s="83">
        <f>Лист1!T11</f>
        <v>163.8</v>
      </c>
      <c r="G18" s="80">
        <f>Лист1!AB11</f>
        <v>1016.2899999999998</v>
      </c>
      <c r="H18" s="80">
        <f>Лист1!AC11</f>
        <v>2499.856657</v>
      </c>
      <c r="I18" s="81">
        <f>Лист1!AG11</f>
        <v>380.87999999999994</v>
      </c>
      <c r="J18" s="79">
        <f>Лист1!AI11+Лист1!AJ11</f>
        <v>636.19503648</v>
      </c>
      <c r="K18" s="79">
        <f>Лист1!AH11+Лист1!AK11+Лист1!AL11+Лист1!AM11+Лист1!AN11+Лист1!AO11+Лист1!AP11</f>
        <v>2230.1455442039996</v>
      </c>
      <c r="L18" s="82">
        <f>Лист1!AS11+Лист1!AU11</f>
        <v>0</v>
      </c>
      <c r="M18" s="82">
        <f>Лист1!AX11</f>
        <v>0</v>
      </c>
      <c r="N18" s="83">
        <f>Лист1!BB11</f>
        <v>3247.2205806839997</v>
      </c>
      <c r="O18" s="84">
        <f>Лист1!BC11</f>
        <v>-747.3639236839999</v>
      </c>
      <c r="P18" s="84">
        <f>Лист1!BD11</f>
        <v>314.2299999999998</v>
      </c>
      <c r="Q18" s="1"/>
      <c r="R18" s="1"/>
    </row>
    <row r="19" spans="1:18" s="28" customFormat="1" ht="13.5" thickBot="1">
      <c r="A19" s="56" t="s">
        <v>5</v>
      </c>
      <c r="B19" s="88"/>
      <c r="C19" s="89">
        <f>SUM(C16:C18)</f>
        <v>16473.059999999998</v>
      </c>
      <c r="D19" s="96">
        <f aca="true" t="shared" si="0" ref="D19:P19">SUM(D16:D18)</f>
        <v>3965.1204522</v>
      </c>
      <c r="E19" s="89">
        <f t="shared" si="0"/>
        <v>9907.53</v>
      </c>
      <c r="F19" s="90">
        <f t="shared" si="0"/>
        <v>491.40000000000003</v>
      </c>
      <c r="G19" s="95">
        <f t="shared" si="0"/>
        <v>1413.5499999999997</v>
      </c>
      <c r="H19" s="89">
        <f t="shared" si="0"/>
        <v>5870.0704522</v>
      </c>
      <c r="I19" s="89">
        <f t="shared" si="0"/>
        <v>1142.6399999999999</v>
      </c>
      <c r="J19" s="89">
        <f t="shared" si="0"/>
        <v>1912.30046688</v>
      </c>
      <c r="K19" s="89">
        <f t="shared" si="0"/>
        <v>6704.301134363999</v>
      </c>
      <c r="L19" s="89">
        <f t="shared" si="0"/>
        <v>1237.82</v>
      </c>
      <c r="M19" s="89">
        <f t="shared" si="0"/>
        <v>0</v>
      </c>
      <c r="N19" s="89">
        <f t="shared" si="0"/>
        <v>10997.061601243999</v>
      </c>
      <c r="O19" s="89">
        <f t="shared" si="0"/>
        <v>-5126.991149043999</v>
      </c>
      <c r="P19" s="90">
        <f t="shared" si="0"/>
        <v>-8493.98</v>
      </c>
      <c r="Q19" s="63"/>
      <c r="R19" s="64"/>
    </row>
    <row r="20" spans="1:18" ht="12.75">
      <c r="A20" s="8" t="s">
        <v>44</v>
      </c>
      <c r="B20" s="85"/>
      <c r="C20" s="65"/>
      <c r="D20" s="66"/>
      <c r="E20" s="67"/>
      <c r="F20" s="68"/>
      <c r="G20" s="69"/>
      <c r="H20" s="69"/>
      <c r="I20" s="70"/>
      <c r="J20" s="67"/>
      <c r="K20" s="67"/>
      <c r="L20" s="86"/>
      <c r="M20" s="86"/>
      <c r="N20" s="68"/>
      <c r="O20" s="87"/>
      <c r="P20" s="87"/>
      <c r="Q20" s="1"/>
      <c r="R20" s="1"/>
    </row>
    <row r="21" spans="1:18" ht="12.75">
      <c r="A21" s="13" t="s">
        <v>45</v>
      </c>
      <c r="B21" s="14">
        <f>Лист1!B14</f>
        <v>634.8</v>
      </c>
      <c r="C21" s="49">
        <f>Лист1!C14</f>
        <v>5491.0199999999995</v>
      </c>
      <c r="D21" s="50">
        <f>Лист1!D14</f>
        <v>686.3774999999999</v>
      </c>
      <c r="E21" s="19">
        <f>Лист1!S14</f>
        <v>3439.19</v>
      </c>
      <c r="F21" s="21">
        <f>Лист1!T14</f>
        <v>163.8</v>
      </c>
      <c r="G21" s="51">
        <f>Лист1!AB14</f>
        <v>1019.66</v>
      </c>
      <c r="H21" s="51">
        <f>Лист1!AC14</f>
        <v>1869.8375</v>
      </c>
      <c r="I21" s="52">
        <f>Лист1!AG14</f>
        <v>342.792</v>
      </c>
      <c r="J21" s="19">
        <f>Лист1!AI14+Лист1!AJ14</f>
        <v>551.9991147999999</v>
      </c>
      <c r="K21" s="19">
        <f>Лист1!AH14+Лист1!AK14+Лист1!AL14+Лист1!AM14+Лист1!AN14+Лист1!AO14+Лист1!AP14</f>
        <v>1895.8045413839995</v>
      </c>
      <c r="L21" s="20">
        <f>Лист1!AQ14+Лист1!AR14+Лист1!AS14+Лист1!AU14+Лист1!AZ14+Лист1!BA14</f>
        <v>13167.63</v>
      </c>
      <c r="M21" s="20">
        <f>Лист1!AX14</f>
        <v>302.11776000000003</v>
      </c>
      <c r="N21" s="21">
        <f>Лист1!BB14</f>
        <v>15958.225656183999</v>
      </c>
      <c r="O21" s="53">
        <f>Лист1!BC14</f>
        <v>-14088.388156183999</v>
      </c>
      <c r="P21" s="53">
        <f>Лист1!BD14</f>
        <v>-2419.53</v>
      </c>
      <c r="Q21" s="1"/>
      <c r="R21" s="1"/>
    </row>
    <row r="22" spans="1:18" ht="12.75">
      <c r="A22" s="13" t="s">
        <v>46</v>
      </c>
      <c r="B22" s="14">
        <f>Лист1!B15</f>
        <v>634.8</v>
      </c>
      <c r="C22" s="49">
        <f>Лист1!C15</f>
        <v>5491.0199999999995</v>
      </c>
      <c r="D22" s="50">
        <f>Лист1!D15</f>
        <v>686.3774999999999</v>
      </c>
      <c r="E22" s="19">
        <f>Лист1!S15</f>
        <v>3414.1600000000003</v>
      </c>
      <c r="F22" s="21">
        <f>Лист1!T15</f>
        <v>163.8</v>
      </c>
      <c r="G22" s="51">
        <f>Лист1!AB15</f>
        <v>1416.27</v>
      </c>
      <c r="H22" s="51">
        <f>Лист1!AC15</f>
        <v>2266.4475</v>
      </c>
      <c r="I22" s="52">
        <f>Лист1!AG15</f>
        <v>342.792</v>
      </c>
      <c r="J22" s="19">
        <f>Лист1!AI15+Лист1!AJ15</f>
        <v>552.0227147999999</v>
      </c>
      <c r="K22" s="19">
        <f>Лист1!AH15+Лист1!AK15+Лист1!AL15+Лист1!AM15+Лист1!AN15+Лист1!AO15+Лист1!AP15</f>
        <v>1898.5413546239997</v>
      </c>
      <c r="L22" s="20">
        <f>Лист1!AQ15+Лист1!AR15+Лист1!AS15+Лист1!AU15+Лист1!AZ15+Лист1!BA15</f>
        <v>12943.42</v>
      </c>
      <c r="M22" s="20">
        <f>Лист1!AX15</f>
        <v>242.05104</v>
      </c>
      <c r="N22" s="21">
        <f>Лист1!BB15</f>
        <v>15736.776069424</v>
      </c>
      <c r="O22" s="53">
        <f>Лист1!BC15</f>
        <v>-13470.328569424</v>
      </c>
      <c r="P22" s="53">
        <f>Лист1!BD15</f>
        <v>-1997.8900000000003</v>
      </c>
      <c r="Q22" s="1"/>
      <c r="R22" s="1"/>
    </row>
    <row r="23" spans="1:18" ht="12.75">
      <c r="A23" s="13" t="s">
        <v>47</v>
      </c>
      <c r="B23" s="14">
        <f>Лист1!B16</f>
        <v>651.2</v>
      </c>
      <c r="C23" s="49">
        <f>Лист1!C16</f>
        <v>5632.880000000001</v>
      </c>
      <c r="D23" s="50">
        <f>Лист1!D16</f>
        <v>704.1100000000001</v>
      </c>
      <c r="E23" s="19">
        <f>Лист1!S16</f>
        <v>3181.05</v>
      </c>
      <c r="F23" s="21">
        <f>Лист1!T16</f>
        <v>163.8</v>
      </c>
      <c r="G23" s="51">
        <f>Лист1!AB16</f>
        <v>1256.2</v>
      </c>
      <c r="H23" s="51">
        <f>Лист1!AC16</f>
        <v>2124.11</v>
      </c>
      <c r="I23" s="52">
        <f>Лист1!AG16</f>
        <v>351.648</v>
      </c>
      <c r="J23" s="19">
        <f>Лист1!AI16+Лист1!AJ16</f>
        <v>566.6107480000001</v>
      </c>
      <c r="K23" s="19">
        <f>Лист1!AH16+Лист1!AK16+Лист1!AL16+Лист1!AM16+Лист1!AN16+Лист1!AO16+Лист1!AP16</f>
        <v>1882.806081376</v>
      </c>
      <c r="L23" s="20">
        <f>Лист1!AQ16+Лист1!AR16+Лист1!AS16+Лист1!AU16+Лист1!AZ16+Лист1!BA16</f>
        <v>4177.2</v>
      </c>
      <c r="M23" s="20">
        <f>Лист1!AX16</f>
        <v>227.77776</v>
      </c>
      <c r="N23" s="21">
        <f>Лист1!BB16</f>
        <v>6978.264829376</v>
      </c>
      <c r="O23" s="53">
        <f>Лист1!BC16</f>
        <v>-4854.154829376001</v>
      </c>
      <c r="P23" s="53">
        <f>Лист1!BD16</f>
        <v>-1924.8500000000001</v>
      </c>
      <c r="Q23" s="1"/>
      <c r="R23" s="1"/>
    </row>
    <row r="24" spans="1:18" ht="12.75">
      <c r="A24" s="13" t="s">
        <v>48</v>
      </c>
      <c r="B24" s="14">
        <f>Лист1!B17</f>
        <v>651.2</v>
      </c>
      <c r="C24" s="49">
        <f>Лист1!C17</f>
        <v>5632.880000000001</v>
      </c>
      <c r="D24" s="50">
        <f>Лист1!D17</f>
        <v>704.1100000000001</v>
      </c>
      <c r="E24" s="19">
        <f>Лист1!S17</f>
        <v>7906.94</v>
      </c>
      <c r="F24" s="21">
        <f>Лист1!T17</f>
        <v>163.8</v>
      </c>
      <c r="G24" s="51">
        <f>Лист1!AB17</f>
        <v>1137.56</v>
      </c>
      <c r="H24" s="51">
        <f>Лист1!AC17</f>
        <v>2005.47</v>
      </c>
      <c r="I24" s="52">
        <f>Лист1!AG17</f>
        <v>351.648</v>
      </c>
      <c r="J24" s="19">
        <f>Лист1!AI17+Лист1!AJ17</f>
        <v>583.52742624</v>
      </c>
      <c r="K24" s="19">
        <f>Лист1!AH17+Лист1!AK17+Лист1!AL17+Лист1!AM17+Лист1!AN17+Лист1!AO17+Лист1!AP17</f>
        <v>1909.483388032</v>
      </c>
      <c r="L24" s="20">
        <f>Лист1!AQ17+Лист1!AR17+Лист1!AS17+Лист1!AU17+Лист1!AZ17+Лист1!BA17</f>
        <v>814.2</v>
      </c>
      <c r="M24" s="20">
        <f>Лист1!AX17</f>
        <v>182.57904</v>
      </c>
      <c r="N24" s="21">
        <f>Лист1!BB17</f>
        <v>4613.384414272</v>
      </c>
      <c r="O24" s="53">
        <f>Лист1!BC17</f>
        <v>-2607.9144142719997</v>
      </c>
      <c r="P24" s="53">
        <f>Лист1!BD17</f>
        <v>-6769.379999999999</v>
      </c>
      <c r="Q24" s="1"/>
      <c r="R24" s="1"/>
    </row>
    <row r="25" spans="1:18" ht="12.75">
      <c r="A25" s="13" t="s">
        <v>49</v>
      </c>
      <c r="B25" s="14">
        <f>Лист1!B18</f>
        <v>651.2</v>
      </c>
      <c r="C25" s="49">
        <f>Лист1!C18</f>
        <v>5632.880000000001</v>
      </c>
      <c r="D25" s="50">
        <f>Лист1!D18</f>
        <v>0</v>
      </c>
      <c r="E25" s="19">
        <f>Лист1!S18</f>
        <v>5937.74</v>
      </c>
      <c r="F25" s="21">
        <f>Лист1!T18</f>
        <v>91.11</v>
      </c>
      <c r="G25" s="51">
        <f>Лист1!AB18</f>
        <v>1204.51</v>
      </c>
      <c r="H25" s="51">
        <f>Лист1!AC18</f>
        <v>1295.62</v>
      </c>
      <c r="I25" s="52">
        <f>Лист1!AG18</f>
        <v>390.72</v>
      </c>
      <c r="J25" s="19">
        <f>Лист1!AI18+Лист1!AJ18</f>
        <v>653.1536</v>
      </c>
      <c r="K25" s="19">
        <f>Лист1!AH18+Лист1!AK18+Лист1!AL18+Лист1!AM18+Лист1!AN18+Лист1!AO18+Лист1!AP18</f>
        <v>2237.0022400000003</v>
      </c>
      <c r="L25" s="20">
        <f>Лист1!AQ18+Лист1!AR18+Лист1!AS18+Лист1!AU18+Лист1!AZ18+Лист1!BA18</f>
        <v>0</v>
      </c>
      <c r="M25" s="20">
        <f>Лист1!AX18</f>
        <v>156.41136000000003</v>
      </c>
      <c r="N25" s="21">
        <f>Лист1!BB18</f>
        <v>3437.2871999999998</v>
      </c>
      <c r="O25" s="53">
        <f>Лист1!BC18</f>
        <v>-2141.6672</v>
      </c>
      <c r="P25" s="53">
        <f>Лист1!BD18</f>
        <v>-4733.23</v>
      </c>
      <c r="Q25" s="1"/>
      <c r="R25" s="1"/>
    </row>
    <row r="26" spans="1:18" ht="12.75">
      <c r="A26" s="13" t="s">
        <v>50</v>
      </c>
      <c r="B26" s="14">
        <f>Лист1!B19</f>
        <v>651.2</v>
      </c>
      <c r="C26" s="49">
        <f>Лист1!C19</f>
        <v>5632.880000000001</v>
      </c>
      <c r="D26" s="50">
        <f>Лист1!D19</f>
        <v>0</v>
      </c>
      <c r="E26" s="19">
        <f>Лист1!S19</f>
        <v>6033.82</v>
      </c>
      <c r="F26" s="21">
        <f>Лист1!T19</f>
        <v>70.16</v>
      </c>
      <c r="G26" s="51">
        <f>Лист1!AB19</f>
        <v>1571.68</v>
      </c>
      <c r="H26" s="51">
        <f>Лист1!AC19</f>
        <v>1641.8400000000001</v>
      </c>
      <c r="I26" s="52">
        <f>Лист1!AG19</f>
        <v>390.72</v>
      </c>
      <c r="J26" s="19">
        <f>Лист1!AI19+Лист1!AJ19</f>
        <v>653.1536</v>
      </c>
      <c r="K26" s="19">
        <f>Лист1!AH19+Лист1!AK19+Лист1!AL19+Лист1!AM19+Лист1!AN19+Лист1!AO19+Лист1!AP19</f>
        <v>2237.060848</v>
      </c>
      <c r="L26" s="20">
        <f>Лист1!AQ19+Лист1!AR19+Лист1!AS19+Лист1!AU19+Лист1!AZ19+Лист1!BA19</f>
        <v>10697.726600000002</v>
      </c>
      <c r="M26" s="20">
        <f>Лист1!AX19</f>
        <v>138.56976</v>
      </c>
      <c r="N26" s="21">
        <f>Лист1!BB19</f>
        <v>14117.230808000002</v>
      </c>
      <c r="O26" s="53">
        <f>Лист1!BC19</f>
        <v>-12475.390808000002</v>
      </c>
      <c r="P26" s="53">
        <f>Лист1!BD19</f>
        <v>-4462.139999999999</v>
      </c>
      <c r="Q26" s="1"/>
      <c r="R26" s="1"/>
    </row>
    <row r="27" spans="1:18" ht="12.75">
      <c r="A27" s="13" t="s">
        <v>51</v>
      </c>
      <c r="B27" s="14">
        <f>Лист1!B20</f>
        <v>651.2</v>
      </c>
      <c r="C27" s="49">
        <f>Лист1!C20</f>
        <v>5632.880000000001</v>
      </c>
      <c r="D27" s="50">
        <f>Лист1!D20</f>
        <v>0</v>
      </c>
      <c r="E27" s="19">
        <f>Лист1!S20</f>
        <v>6033.82</v>
      </c>
      <c r="F27" s="21">
        <f>Лист1!T20</f>
        <v>70.16</v>
      </c>
      <c r="G27" s="51">
        <f>Лист1!AB20</f>
        <v>1753.5500000000002</v>
      </c>
      <c r="H27" s="51">
        <f>Лист1!AC20</f>
        <v>1823.7100000000003</v>
      </c>
      <c r="I27" s="52">
        <f>Лист1!AG20</f>
        <v>390.72</v>
      </c>
      <c r="J27" s="19">
        <f>Лист1!AI20+Лист1!AJ20</f>
        <v>643.8135035199999</v>
      </c>
      <c r="K27" s="19">
        <f>Лист1!AH20+Лист1!AK20+Лист1!AL20+Лист1!AM20+Лист1!AN20+Лист1!AO20+Лист1!AP20</f>
        <v>2214.9503939200004</v>
      </c>
      <c r="L27" s="20">
        <f>Лист1!AQ20+Лист1!AR20+Лист1!AS20+Лист1!AU20+Лист1!AZ20+Лист1!BA20</f>
        <v>0</v>
      </c>
      <c r="M27" s="20">
        <f>Лист1!AX20</f>
        <v>147.49056000000002</v>
      </c>
      <c r="N27" s="21">
        <f>Лист1!BB20</f>
        <v>3396.9744574400006</v>
      </c>
      <c r="O27" s="53">
        <f>Лист1!BC20</f>
        <v>-1573.2644574400003</v>
      </c>
      <c r="P27" s="53">
        <f>Лист1!BD20</f>
        <v>-4280.2699999999995</v>
      </c>
      <c r="Q27" s="1"/>
      <c r="R27" s="1"/>
    </row>
    <row r="28" spans="1:18" ht="12.75">
      <c r="A28" s="13" t="s">
        <v>52</v>
      </c>
      <c r="B28" s="14">
        <f>Лист1!B21</f>
        <v>651.2</v>
      </c>
      <c r="C28" s="49">
        <f>Лист1!C21</f>
        <v>5632.880000000001</v>
      </c>
      <c r="D28" s="50">
        <f>Лист1!D21</f>
        <v>0</v>
      </c>
      <c r="E28" s="19">
        <f>Лист1!S21</f>
        <v>6028.13</v>
      </c>
      <c r="F28" s="21">
        <f>Лист1!T21</f>
        <v>70.16</v>
      </c>
      <c r="G28" s="51">
        <f>Лист1!AB21</f>
        <v>1995.17</v>
      </c>
      <c r="H28" s="51">
        <f>Лист1!AC21</f>
        <v>2065.33</v>
      </c>
      <c r="I28" s="52">
        <f>Лист1!AG21</f>
        <v>390.72</v>
      </c>
      <c r="J28" s="19">
        <f>Лист1!AI21+Лист1!AJ21</f>
        <v>643.526115936</v>
      </c>
      <c r="K28" s="19">
        <f>Лист1!AH21+Лист1!AK21+Лист1!AL21+Лист1!AM21+Лист1!AN21+Лист1!AO21+Лист1!AP21</f>
        <v>2214.4824416</v>
      </c>
      <c r="L28" s="20">
        <f>Лист1!AQ21+Лист1!AR21+Лист1!AS21+Лист1!AU21+Лист1!AZ21+Лист1!BA21</f>
        <v>0</v>
      </c>
      <c r="M28" s="20">
        <f>Лист1!AX21</f>
        <v>174.25295999999997</v>
      </c>
      <c r="N28" s="21">
        <f>Лист1!BB21</f>
        <v>3422.9815175359995</v>
      </c>
      <c r="O28" s="53">
        <f>Лист1!BC21</f>
        <v>-1357.6515175359996</v>
      </c>
      <c r="P28" s="53">
        <f>Лист1!BD21</f>
        <v>-4032.96</v>
      </c>
      <c r="Q28" s="1"/>
      <c r="R28" s="1"/>
    </row>
    <row r="29" spans="1:18" ht="12.75">
      <c r="A29" s="13" t="s">
        <v>53</v>
      </c>
      <c r="B29" s="14">
        <f>Лист1!B22</f>
        <v>651.2</v>
      </c>
      <c r="C29" s="49">
        <f>Лист1!C22</f>
        <v>5632.880000000001</v>
      </c>
      <c r="D29" s="50">
        <f>Лист1!D22</f>
        <v>0</v>
      </c>
      <c r="E29" s="19">
        <f>Лист1!S22</f>
        <v>6023.82</v>
      </c>
      <c r="F29" s="21">
        <f>Лист1!T22</f>
        <v>80.15</v>
      </c>
      <c r="G29" s="51">
        <f>Лист1!AB22</f>
        <v>2414.4500000000003</v>
      </c>
      <c r="H29" s="51">
        <f>Лист1!AC22</f>
        <v>2494.6000000000004</v>
      </c>
      <c r="I29" s="52">
        <f>Лист1!AG22</f>
        <v>390.72</v>
      </c>
      <c r="J29" s="19">
        <f>Лист1!AI22+Лист1!AJ22</f>
        <v>643.4150798239999</v>
      </c>
      <c r="K29" s="19">
        <f>Лист1!AH22+Лист1!AK22+Лист1!AL22+Лист1!AM22+Лист1!AN22+Лист1!AO22+Лист1!AP22</f>
        <v>2214.1914554848004</v>
      </c>
      <c r="L29" s="20">
        <f>Лист1!AQ22+Лист1!AR22+Лист1!AS22+Лист1!AU22+Лист1!AZ22+Лист1!BA22</f>
        <v>0</v>
      </c>
      <c r="M29" s="20">
        <f>Лист1!AX22</f>
        <v>207.55728000000005</v>
      </c>
      <c r="N29" s="21">
        <f>Лист1!BB22</f>
        <v>3455.8838153088</v>
      </c>
      <c r="O29" s="53">
        <f>Лист1!BC22</f>
        <v>-961.2838153087996</v>
      </c>
      <c r="P29" s="53">
        <f>Лист1!BD22</f>
        <v>-3609.3699999999994</v>
      </c>
      <c r="Q29" s="1"/>
      <c r="R29" s="1"/>
    </row>
    <row r="30" spans="1:18" ht="12.75">
      <c r="A30" s="13" t="s">
        <v>41</v>
      </c>
      <c r="B30" s="14">
        <f>Лист1!B23</f>
        <v>651.2</v>
      </c>
      <c r="C30" s="49">
        <f>Лист1!C23</f>
        <v>5632.880000000001</v>
      </c>
      <c r="D30" s="50">
        <f>Лист1!D23</f>
        <v>1301.0700000000015</v>
      </c>
      <c r="E30" s="19">
        <f>Лист1!S23</f>
        <v>4274.93</v>
      </c>
      <c r="F30" s="21">
        <f>Лист1!T23</f>
        <v>56.88000000000001</v>
      </c>
      <c r="G30" s="51">
        <f>Лист1!AB23</f>
        <v>2434.4900000000002</v>
      </c>
      <c r="H30" s="51">
        <f>Лист1!AC23</f>
        <v>3792.440000000002</v>
      </c>
      <c r="I30" s="52">
        <f>Лист1!AG23</f>
        <v>390.72</v>
      </c>
      <c r="J30" s="19">
        <f>Лист1!AI23+Лист1!AJ23</f>
        <v>650.8483520000001</v>
      </c>
      <c r="K30" s="19">
        <f>Лист1!AH23+Лист1!AK23+Лист1!AL23+Лист1!AM23+Лист1!AN23+Лист1!AO23+Лист1!AP23</f>
        <v>2233.22528</v>
      </c>
      <c r="L30" s="20">
        <f>Лист1!AQ23+Лист1!AR23+Лист1!AS23+Лист1!AU23+Лист1!AZ23+Лист1!BA23</f>
        <v>0</v>
      </c>
      <c r="M30" s="20">
        <f>Лист1!AX23</f>
        <v>252.756</v>
      </c>
      <c r="N30" s="21">
        <f>Лист1!BB23</f>
        <v>3527.549632</v>
      </c>
      <c r="O30" s="53">
        <f>Лист1!BC23</f>
        <v>264.8903680000017</v>
      </c>
      <c r="P30" s="53">
        <f>Лист1!BD23</f>
        <v>-1840.44</v>
      </c>
      <c r="Q30" s="1"/>
      <c r="R30" s="1"/>
    </row>
    <row r="31" spans="1:18" ht="12.75">
      <c r="A31" s="13" t="s">
        <v>42</v>
      </c>
      <c r="B31" s="14">
        <f>Лист1!B24</f>
        <v>651.2</v>
      </c>
      <c r="C31" s="49">
        <f>Лист1!C24</f>
        <v>5632.880000000001</v>
      </c>
      <c r="D31" s="50">
        <f>Лист1!D24</f>
        <v>0</v>
      </c>
      <c r="E31" s="19">
        <f>Лист1!S24</f>
        <v>5995.400000000001</v>
      </c>
      <c r="F31" s="21">
        <f>Лист1!T24</f>
        <v>80.15</v>
      </c>
      <c r="G31" s="51">
        <f>Лист1!AB24</f>
        <v>2883.11</v>
      </c>
      <c r="H31" s="51">
        <f>Лист1!AC24</f>
        <v>2963.26</v>
      </c>
      <c r="I31" s="52">
        <f>Лист1!AG24</f>
        <v>390.72</v>
      </c>
      <c r="J31" s="19">
        <f>Лист1!AI24+Лист1!AJ24</f>
        <v>653.1536</v>
      </c>
      <c r="K31" s="19">
        <f>Лист1!AH24+Лист1!AK24+Лист1!AL24+Лист1!AM24+Лист1!AN24+Лист1!AO24+Лист1!AP24</f>
        <v>2235.69984</v>
      </c>
      <c r="L31" s="20">
        <f>Лист1!AQ24+Лист1!AR24+Лист1!AS24+Лист1!AU24+Лист1!AZ24+Лист1!BA24</f>
        <v>456.65999999999997</v>
      </c>
      <c r="M31" s="20">
        <f>Лист1!AX24</f>
        <v>279.5184</v>
      </c>
      <c r="N31" s="21">
        <f>Лист1!BB24</f>
        <v>4015.75184</v>
      </c>
      <c r="O31" s="53">
        <f>Лист1!BC24</f>
        <v>-1052.4918399999997</v>
      </c>
      <c r="P31" s="53">
        <f>Лист1!BD24</f>
        <v>-3112.2900000000004</v>
      </c>
      <c r="Q31" s="1"/>
      <c r="R31" s="1"/>
    </row>
    <row r="32" spans="1:18" ht="13.5" thickBot="1">
      <c r="A32" s="54" t="s">
        <v>43</v>
      </c>
      <c r="B32" s="14">
        <f>Лист1!B25</f>
        <v>651.2</v>
      </c>
      <c r="C32" s="49">
        <f>Лист1!C25</f>
        <v>5632.880000000001</v>
      </c>
      <c r="D32" s="50">
        <f>Лист1!D25</f>
        <v>0</v>
      </c>
      <c r="E32" s="19">
        <f>Лист1!S25</f>
        <v>5995.39</v>
      </c>
      <c r="F32" s="21">
        <f>Лист1!T25</f>
        <v>80.15</v>
      </c>
      <c r="G32" s="51">
        <f>Лист1!AB25</f>
        <v>3867.86</v>
      </c>
      <c r="H32" s="51">
        <f>Лист1!AC25</f>
        <v>3948.01</v>
      </c>
      <c r="I32" s="52">
        <f>Лист1!AG25</f>
        <v>390.72</v>
      </c>
      <c r="J32" s="19">
        <f>Лист1!AI25+Лист1!AJ25</f>
        <v>653.1536</v>
      </c>
      <c r="K32" s="19">
        <f>Лист1!AH25+Лист1!AK25+Лист1!AL25+Лист1!AM25+Лист1!AN25+Лист1!AO25+Лист1!AP25</f>
        <v>2235.69984</v>
      </c>
      <c r="L32" s="20">
        <f>Лист1!AQ25+Лист1!AR25+Лист1!AS25+Лист1!AU25+Лист1!AZ25+Лист1!BA25</f>
        <v>0</v>
      </c>
      <c r="M32" s="20">
        <f>Лист1!AX25</f>
        <v>305.68608</v>
      </c>
      <c r="N32" s="21">
        <f>Лист1!BB25</f>
        <v>3585.2595200000005</v>
      </c>
      <c r="O32" s="53">
        <f>Лист1!BC25</f>
        <v>362.7504799999997</v>
      </c>
      <c r="P32" s="53">
        <f>Лист1!BD25</f>
        <v>-2127.53</v>
      </c>
      <c r="Q32" s="1"/>
      <c r="R32" s="1"/>
    </row>
    <row r="33" spans="1:18" s="28" customFormat="1" ht="13.5" thickBot="1">
      <c r="A33" s="56" t="s">
        <v>5</v>
      </c>
      <c r="B33" s="57"/>
      <c r="C33" s="58">
        <f aca="true" t="shared" si="1" ref="C33:P33">SUM(C21:C32)</f>
        <v>67310.84000000003</v>
      </c>
      <c r="D33" s="59">
        <f t="shared" si="1"/>
        <v>4082.0450000000014</v>
      </c>
      <c r="E33" s="58">
        <f t="shared" si="1"/>
        <v>64264.39</v>
      </c>
      <c r="F33" s="60">
        <f t="shared" si="1"/>
        <v>1254.1200000000003</v>
      </c>
      <c r="G33" s="61">
        <f t="shared" si="1"/>
        <v>22954.510000000002</v>
      </c>
      <c r="H33" s="58">
        <f t="shared" si="1"/>
        <v>28290.67500000001</v>
      </c>
      <c r="I33" s="59">
        <f t="shared" si="1"/>
        <v>4514.640000000001</v>
      </c>
      <c r="J33" s="58">
        <f t="shared" si="1"/>
        <v>7448.377455119999</v>
      </c>
      <c r="K33" s="58">
        <f t="shared" si="1"/>
        <v>25408.947704420803</v>
      </c>
      <c r="L33" s="58">
        <f t="shared" si="1"/>
        <v>42256.83660000001</v>
      </c>
      <c r="M33" s="58">
        <f t="shared" si="1"/>
        <v>2616.768</v>
      </c>
      <c r="N33" s="60">
        <f>SUM(N21:N32)</f>
        <v>82245.5697595408</v>
      </c>
      <c r="O33" s="62">
        <f t="shared" si="1"/>
        <v>-53954.8947595408</v>
      </c>
      <c r="P33" s="62">
        <f t="shared" si="1"/>
        <v>-41309.88</v>
      </c>
      <c r="Q33" s="64"/>
      <c r="R33" s="64"/>
    </row>
    <row r="34" spans="1:18" ht="12.75">
      <c r="A34" s="8" t="s">
        <v>87</v>
      </c>
      <c r="B34" s="85"/>
      <c r="C34" s="65"/>
      <c r="D34" s="66"/>
      <c r="E34" s="67"/>
      <c r="F34" s="68"/>
      <c r="G34" s="69"/>
      <c r="H34" s="69"/>
      <c r="I34" s="70"/>
      <c r="J34" s="67"/>
      <c r="K34" s="67"/>
      <c r="L34" s="86"/>
      <c r="M34" s="86"/>
      <c r="N34" s="68"/>
      <c r="O34" s="87"/>
      <c r="P34" s="87"/>
      <c r="Q34" s="1"/>
      <c r="R34" s="1"/>
    </row>
    <row r="35" spans="1:18" ht="12.75">
      <c r="A35" s="13" t="s">
        <v>45</v>
      </c>
      <c r="B35" s="14">
        <f>Лист1!B28</f>
        <v>651.2</v>
      </c>
      <c r="C35" s="49">
        <f>Лист1!C28</f>
        <v>5632.880000000001</v>
      </c>
      <c r="D35" s="50">
        <f>Лист1!D28</f>
        <v>0</v>
      </c>
      <c r="E35" s="19">
        <f>Лист1!S28</f>
        <v>5995.400000000001</v>
      </c>
      <c r="F35" s="21">
        <f>Лист1!T28</f>
        <v>80.15</v>
      </c>
      <c r="G35" s="51">
        <f>Лист1!AB28</f>
        <v>1867.64</v>
      </c>
      <c r="H35" s="51">
        <f>Лист1!AC28</f>
        <v>1947.7900000000002</v>
      </c>
      <c r="I35" s="52">
        <f>Лист1!AG28</f>
        <v>390.72</v>
      </c>
      <c r="J35" s="19">
        <f>Лист1!AI28+Лист1!AJ28</f>
        <v>651.2</v>
      </c>
      <c r="K35" s="19">
        <f>Лист1!AH28+Лист1!AK28+Лист1!AL28+Лист1!AM28+Лист1!AN28+Лист1!AO28+Лист1!AP28</f>
        <v>2233.616</v>
      </c>
      <c r="L35" s="20">
        <f>Лист1!AQ28+Лист1!AR28+Лист1!AS28+Лист1!AU28+Лист1!AZ28+Лист1!BA28</f>
        <v>2157</v>
      </c>
      <c r="M35" s="20">
        <f>Лист1!AX28</f>
        <v>320.03999999999996</v>
      </c>
      <c r="N35" s="21">
        <f>Лист1!BB28</f>
        <v>5752.576</v>
      </c>
      <c r="O35" s="53">
        <f>Лист1!BC28</f>
        <v>-3804.786</v>
      </c>
      <c r="P35" s="53">
        <f>Лист1!BD28</f>
        <v>-4127.76</v>
      </c>
      <c r="Q35" s="1"/>
      <c r="R35" s="1"/>
    </row>
    <row r="36" spans="1:18" ht="12.75">
      <c r="A36" s="13" t="s">
        <v>46</v>
      </c>
      <c r="B36" s="14">
        <f>Лист1!B29</f>
        <v>651.2</v>
      </c>
      <c r="C36" s="49">
        <f>Лист1!C29</f>
        <v>5632.880000000001</v>
      </c>
      <c r="D36" s="50">
        <f>Лист1!D29</f>
        <v>333.7200000000011</v>
      </c>
      <c r="E36" s="19">
        <f>Лист1!S29</f>
        <v>5219.01</v>
      </c>
      <c r="F36" s="21">
        <f>Лист1!T29</f>
        <v>80.15</v>
      </c>
      <c r="G36" s="51">
        <f>Лист1!AB29</f>
        <v>4798.780000000001</v>
      </c>
      <c r="H36" s="51">
        <f>Лист1!AC29</f>
        <v>5212.6500000000015</v>
      </c>
      <c r="I36" s="52">
        <f>Лист1!AG29</f>
        <v>390.72</v>
      </c>
      <c r="J36" s="19">
        <f>Лист1!AI29+Лист1!AJ29</f>
        <v>651.2</v>
      </c>
      <c r="K36" s="19">
        <f>Лист1!AH29+Лист1!AK29+Лист1!AL29+Лист1!AM29+Лист1!AN29+Лист1!AO29+Лист1!AP29</f>
        <v>2233.616</v>
      </c>
      <c r="L36" s="20">
        <f>Лист1!AQ29+Лист1!AR29+Лист1!AS29+Лист1!AU29+Лист1!AZ29+Лист1!BA29</f>
        <v>8727</v>
      </c>
      <c r="M36" s="20">
        <f>Лист1!AX29</f>
        <v>256.40999999999997</v>
      </c>
      <c r="N36" s="21">
        <f>Лист1!BB29</f>
        <v>12258.946</v>
      </c>
      <c r="O36" s="53">
        <f>Лист1!BC29</f>
        <v>-7046.2959999999985</v>
      </c>
      <c r="P36" s="53">
        <f>Лист1!BD29</f>
        <v>-420.22999999999956</v>
      </c>
      <c r="Q36" s="1"/>
      <c r="R36" s="1"/>
    </row>
    <row r="37" spans="1:18" ht="12.75">
      <c r="A37" s="13" t="s">
        <v>47</v>
      </c>
      <c r="B37" s="14">
        <f>Лист1!B30</f>
        <v>758.8</v>
      </c>
      <c r="C37" s="49">
        <f>Лист1!C30</f>
        <v>6563.62</v>
      </c>
      <c r="D37" s="50">
        <f>Лист1!D30</f>
        <v>1347.0499999999993</v>
      </c>
      <c r="E37" s="19">
        <f>Лист1!S30</f>
        <v>5136.42</v>
      </c>
      <c r="F37" s="21">
        <f>Лист1!T30</f>
        <v>80.15</v>
      </c>
      <c r="G37" s="51">
        <f>Лист1!AB30</f>
        <v>3100.08</v>
      </c>
      <c r="H37" s="51">
        <f>Лист1!AC30</f>
        <v>4527.279999999999</v>
      </c>
      <c r="I37" s="52">
        <f>Лист1!AG30</f>
        <v>455.28</v>
      </c>
      <c r="J37" s="19">
        <f>Лист1!AI30+Лист1!AJ30</f>
        <v>758.8</v>
      </c>
      <c r="K37" s="19">
        <f>Лист1!AH30+Лист1!AK30+Лист1!AL30+Лист1!AM30+Лист1!AN30+Лист1!AO30+Лист1!AP30</f>
        <v>2602.6839999999997</v>
      </c>
      <c r="L37" s="20">
        <f>Лист1!AQ30+Лист1!AR30+Лист1!AS30+Лист1!AU30+Лист1!AZ30+Лист1!BA30</f>
        <v>0</v>
      </c>
      <c r="M37" s="20">
        <f>Лист1!AX30</f>
        <v>241.28999999999996</v>
      </c>
      <c r="N37" s="21">
        <f>Лист1!BB30</f>
        <v>4058.054</v>
      </c>
      <c r="O37" s="53">
        <f>Лист1!BC30</f>
        <v>469.22599999999875</v>
      </c>
      <c r="P37" s="53">
        <f>Лист1!BD30</f>
        <v>-2036.3400000000001</v>
      </c>
      <c r="Q37" s="1"/>
      <c r="R37" s="1"/>
    </row>
    <row r="38" spans="1:18" ht="12.75">
      <c r="A38" s="13" t="s">
        <v>48</v>
      </c>
      <c r="B38" s="14">
        <f>Лист1!B31</f>
        <v>758.8</v>
      </c>
      <c r="C38" s="49">
        <f>Лист1!C31</f>
        <v>6563.62</v>
      </c>
      <c r="D38" s="50">
        <f>Лист1!D31</f>
        <v>1347.0599999999997</v>
      </c>
      <c r="E38" s="19">
        <f>Лист1!S31</f>
        <v>5176.38</v>
      </c>
      <c r="F38" s="21">
        <f>Лист1!T31</f>
        <v>40.18000000000001</v>
      </c>
      <c r="G38" s="51">
        <f>Лист1!AB31</f>
        <v>1137.56</v>
      </c>
      <c r="H38" s="51">
        <f>Лист1!AC31</f>
        <v>2524.7999999999997</v>
      </c>
      <c r="I38" s="52">
        <f>Лист1!AG31</f>
        <v>455.28</v>
      </c>
      <c r="J38" s="19">
        <f>Лист1!AI31+Лист1!AJ31</f>
        <v>758.8</v>
      </c>
      <c r="K38" s="19">
        <f>Лист1!AH31+Лист1!AK31+Лист1!AL31+Лист1!AM31+Лист1!AN31+Лист1!AO31+Лист1!AP31</f>
        <v>2602.6839999999997</v>
      </c>
      <c r="L38" s="20">
        <f>Лист1!AQ31+Лист1!AR31+Лист1!AS31+Лист1!AU31+Лист1!AZ31+Лист1!BA31</f>
        <v>195</v>
      </c>
      <c r="M38" s="20">
        <f>Лист1!AX31</f>
        <v>193.41</v>
      </c>
      <c r="N38" s="21">
        <f>Лист1!BB31</f>
        <v>4205.174</v>
      </c>
      <c r="O38" s="53">
        <f>Лист1!BC31</f>
        <v>-1680.3740000000003</v>
      </c>
      <c r="P38" s="53">
        <f>Лист1!BD31</f>
        <v>-4038.82</v>
      </c>
      <c r="Q38" s="1"/>
      <c r="R38" s="1"/>
    </row>
    <row r="39" spans="1:18" ht="12.75">
      <c r="A39" s="13" t="s">
        <v>49</v>
      </c>
      <c r="B39" s="14">
        <f>Лист1!B32</f>
        <v>758.8</v>
      </c>
      <c r="C39" s="49">
        <f>Лист1!C32</f>
        <v>6563.62</v>
      </c>
      <c r="D39" s="50">
        <f>Лист1!D32</f>
        <v>1347.0900000000004</v>
      </c>
      <c r="E39" s="19">
        <f>Лист1!S32</f>
        <v>5176.349999999999</v>
      </c>
      <c r="F39" s="21">
        <f>Лист1!T32</f>
        <v>40.18000000000001</v>
      </c>
      <c r="G39" s="51">
        <f>Лист1!AB32</f>
        <v>1689.38</v>
      </c>
      <c r="H39" s="51">
        <f>Лист1!AC32</f>
        <v>3076.6500000000005</v>
      </c>
      <c r="I39" s="52">
        <f>Лист1!AG32</f>
        <v>455.28</v>
      </c>
      <c r="J39" s="19">
        <f>Лист1!AI32+Лист1!AJ32</f>
        <v>758.8</v>
      </c>
      <c r="K39" s="19">
        <f>Лист1!AH32+Лист1!AK32+Лист1!AL32+Лист1!AM32+Лист1!AN32+Лист1!AO32+Лист1!AP32</f>
        <v>2602.6839999999997</v>
      </c>
      <c r="L39" s="20">
        <f>Лист1!AQ32+Лист1!AR32+Лист1!AS32+Лист1!AU32+Лист1!AZ32+Лист1!BA32</f>
        <v>322</v>
      </c>
      <c r="M39" s="20">
        <f>Лист1!AX32</f>
        <v>165.69</v>
      </c>
      <c r="N39" s="21">
        <f>Лист1!BB32</f>
        <v>4304.454</v>
      </c>
      <c r="O39" s="53">
        <f>Лист1!BC32</f>
        <v>-1227.8039999999992</v>
      </c>
      <c r="P39" s="53">
        <f>Лист1!BD32</f>
        <v>-3486.9699999999993</v>
      </c>
      <c r="Q39" s="1"/>
      <c r="R39" s="1"/>
    </row>
    <row r="40" spans="1:18" ht="12.75">
      <c r="A40" s="13" t="s">
        <v>50</v>
      </c>
      <c r="B40" s="14">
        <f>Лист1!B33</f>
        <v>758.8</v>
      </c>
      <c r="C40" s="49">
        <f>Лист1!C33</f>
        <v>6563.62</v>
      </c>
      <c r="D40" s="50">
        <f>Лист1!D33</f>
        <v>1347.0900000000004</v>
      </c>
      <c r="E40" s="19">
        <f>Лист1!S33</f>
        <v>5176.349999999999</v>
      </c>
      <c r="F40" s="21">
        <f>Лист1!T33</f>
        <v>40.18000000000001</v>
      </c>
      <c r="G40" s="51">
        <f>Лист1!AB33</f>
        <v>2174.45</v>
      </c>
      <c r="H40" s="51">
        <f>Лист1!AC33</f>
        <v>3561.7200000000003</v>
      </c>
      <c r="I40" s="52">
        <f>Лист1!AG33</f>
        <v>455.28</v>
      </c>
      <c r="J40" s="19">
        <f>Лист1!AI33+Лист1!AJ33</f>
        <v>758.8</v>
      </c>
      <c r="K40" s="19">
        <f>Лист1!AH33+Лист1!AK33+Лист1!AL33+Лист1!AM33+Лист1!AN33+Лист1!AO33+Лист1!AP33</f>
        <v>2602.6839999999997</v>
      </c>
      <c r="L40" s="20">
        <f>Лист1!AQ33+Лист1!AR33+Лист1!AS33+Лист1!AU33+Лист1!AZ33+Лист1!BA33</f>
        <v>0</v>
      </c>
      <c r="M40" s="20">
        <f>Лист1!AX33</f>
        <v>146.79</v>
      </c>
      <c r="N40" s="21">
        <f>Лист1!BB33</f>
        <v>3963.554</v>
      </c>
      <c r="O40" s="53">
        <f>Лист1!BC33</f>
        <v>-401.83399999999983</v>
      </c>
      <c r="P40" s="53">
        <f>Лист1!BD33</f>
        <v>-3001.8999999999996</v>
      </c>
      <c r="Q40" s="1"/>
      <c r="R40" s="1"/>
    </row>
    <row r="41" spans="1:16" ht="12.75">
      <c r="A41" s="32" t="s">
        <v>51</v>
      </c>
      <c r="B41" s="14">
        <f>Лист1!B34</f>
        <v>758.8</v>
      </c>
      <c r="C41" s="49">
        <f>Лист1!C34</f>
        <v>6563.62</v>
      </c>
      <c r="D41" s="50">
        <f>Лист1!D34</f>
        <v>1347.0899999999992</v>
      </c>
      <c r="E41" s="19">
        <f>Лист1!S34</f>
        <v>5216.530000000001</v>
      </c>
      <c r="F41" s="21">
        <f>Лист1!T34</f>
        <v>0</v>
      </c>
      <c r="G41" s="51">
        <f>Лист1!AB34</f>
        <v>2393.9900000000002</v>
      </c>
      <c r="H41" s="51">
        <f>Лист1!AC34</f>
        <v>3741.0799999999995</v>
      </c>
      <c r="I41" s="52">
        <f>Лист1!AG34</f>
        <v>455.28</v>
      </c>
      <c r="J41" s="19">
        <f>Лист1!AI34+Лист1!AJ34</f>
        <v>758.8</v>
      </c>
      <c r="K41" s="19">
        <f>Лист1!AH34+Лист1!AK34+Лист1!AL34+Лист1!AM34+Лист1!AN34+Лист1!AO34+Лист1!AP34</f>
        <v>2602.6839999999997</v>
      </c>
      <c r="L41" s="20">
        <f>Лист1!AQ34+Лист1!AR34+Лист1!AS34+Лист1!AU34+Лист1!AZ34+Лист1!BA34</f>
        <v>26.2368</v>
      </c>
      <c r="M41" s="20">
        <f>Лист1!AX34</f>
        <v>156.24</v>
      </c>
      <c r="N41" s="21">
        <f>Лист1!BB34</f>
        <v>4145.0008</v>
      </c>
      <c r="O41" s="53">
        <f>Лист1!BC34</f>
        <v>-403.9208000000003</v>
      </c>
      <c r="P41" s="53">
        <f>Лист1!BD34</f>
        <v>-2822.5400000000004</v>
      </c>
    </row>
    <row r="42" spans="1:16" ht="12.75">
      <c r="A42" s="32" t="s">
        <v>52</v>
      </c>
      <c r="B42" s="14">
        <f>Лист1!B35</f>
        <v>758.8</v>
      </c>
      <c r="C42" s="49">
        <f>Лист1!C35</f>
        <v>6563.62</v>
      </c>
      <c r="D42" s="50">
        <f>Лист1!D35</f>
        <v>1347.1099999999992</v>
      </c>
      <c r="E42" s="19">
        <f>Лист1!S35</f>
        <v>5216.51</v>
      </c>
      <c r="F42" s="21">
        <f>Лист1!T35</f>
        <v>0</v>
      </c>
      <c r="G42" s="51">
        <f>Лист1!AB35</f>
        <v>1610.3899999999999</v>
      </c>
      <c r="H42" s="51">
        <f>Лист1!AC35</f>
        <v>2957.499999999999</v>
      </c>
      <c r="I42" s="52">
        <f>Лист1!AG35</f>
        <v>455.28</v>
      </c>
      <c r="J42" s="19">
        <f>Лист1!AI35+Лист1!AJ35</f>
        <v>758.8</v>
      </c>
      <c r="K42" s="19">
        <f>Лист1!AH35+Лист1!AK35+Лист1!AL35+Лист1!AM35+Лист1!AN35+Лист1!AO35+Лист1!AP35</f>
        <v>2602.6839999999997</v>
      </c>
      <c r="L42" s="20">
        <f>Лист1!AQ35+Лист1!AR35+Лист1!AS35+Лист1!AU35+Лист1!AZ35+Лист1!BA35</f>
        <v>8.604</v>
      </c>
      <c r="M42" s="20">
        <f>Лист1!AX35</f>
        <v>184.58999999999997</v>
      </c>
      <c r="N42" s="21">
        <f>Лист1!BB35</f>
        <v>4057.758</v>
      </c>
      <c r="O42" s="53">
        <f>Лист1!BC35</f>
        <v>-1100.2580000000007</v>
      </c>
      <c r="P42" s="53">
        <f>Лист1!BD35</f>
        <v>-3606.1200000000003</v>
      </c>
    </row>
    <row r="43" spans="1:16" ht="12.75">
      <c r="A43" s="32" t="s">
        <v>53</v>
      </c>
      <c r="B43" s="14">
        <f>Лист1!B36</f>
        <v>758.8</v>
      </c>
      <c r="C43" s="49">
        <f>Лист1!C36</f>
        <v>6563.62</v>
      </c>
      <c r="D43" s="50">
        <f>Лист1!D36</f>
        <v>1347.0899999999992</v>
      </c>
      <c r="E43" s="19">
        <f>Лист1!S36</f>
        <v>5216.530000000001</v>
      </c>
      <c r="F43" s="21">
        <f>Лист1!T36</f>
        <v>0</v>
      </c>
      <c r="G43" s="51">
        <f>Лист1!AB36</f>
        <v>661.5400000000001</v>
      </c>
      <c r="H43" s="51">
        <f>Лист1!AC36</f>
        <v>2008.6299999999992</v>
      </c>
      <c r="I43" s="52">
        <f>Лист1!AG36</f>
        <v>455.28</v>
      </c>
      <c r="J43" s="19">
        <f>Лист1!AI36+Лист1!AJ36</f>
        <v>758.8</v>
      </c>
      <c r="K43" s="19">
        <f>Лист1!AH36+Лист1!AK36+Лист1!AL36+Лист1!AM36+Лист1!AN36+Лист1!AO36+Лист1!AP36</f>
        <v>2602.6839999999997</v>
      </c>
      <c r="L43" s="20">
        <f>Лист1!AQ36+Лист1!AR36+Лист1!AS36+Лист1!AU36+Лист1!AZ36+Лист1!BA36</f>
        <v>0</v>
      </c>
      <c r="M43" s="20">
        <f>Лист1!AX36</f>
        <v>219.87</v>
      </c>
      <c r="N43" s="21">
        <f>Лист1!BB36</f>
        <v>4036.634</v>
      </c>
      <c r="O43" s="53">
        <f>Лист1!BC36</f>
        <v>-2028.0040000000008</v>
      </c>
      <c r="P43" s="53">
        <f>Лист1!BD36</f>
        <v>-4554.990000000001</v>
      </c>
    </row>
    <row r="44" spans="1:16" ht="12.75">
      <c r="A44" s="32" t="s">
        <v>41</v>
      </c>
      <c r="B44" s="14">
        <f>Лист1!B37</f>
        <v>758.8</v>
      </c>
      <c r="C44" s="49">
        <f>Лист1!C37</f>
        <v>6563.62</v>
      </c>
      <c r="D44" s="50">
        <f>Лист1!D37</f>
        <v>2464.45</v>
      </c>
      <c r="E44" s="19">
        <f>Лист1!S37</f>
        <v>4099.17</v>
      </c>
      <c r="F44" s="21">
        <f>Лист1!T37</f>
        <v>0</v>
      </c>
      <c r="G44" s="51">
        <f>Лист1!AB37</f>
        <v>3235.04</v>
      </c>
      <c r="H44" s="51">
        <f>Лист1!AC37</f>
        <v>5699.49</v>
      </c>
      <c r="I44" s="52">
        <f>Лист1!AG37</f>
        <v>455.28</v>
      </c>
      <c r="J44" s="19">
        <f>Лист1!AI37+Лист1!AJ37</f>
        <v>758.8</v>
      </c>
      <c r="K44" s="19">
        <f>Лист1!AH37+Лист1!AK37+Лист1!AL37+Лист1!AM37+Лист1!AN37+Лист1!AO37+Лист1!AP37</f>
        <v>2602.6839999999997</v>
      </c>
      <c r="L44" s="20">
        <f>Лист1!AQ37+Лист1!AR37+Лист1!AS37+Лист1!AU37+Лист1!AZ37+Лист1!BA37</f>
        <v>299</v>
      </c>
      <c r="M44" s="20">
        <f>Лист1!AX37</f>
        <v>267.75</v>
      </c>
      <c r="N44" s="21">
        <f>Лист1!BB37</f>
        <v>4383.514</v>
      </c>
      <c r="O44" s="53">
        <f>Лист1!BC37</f>
        <v>1315.9759999999997</v>
      </c>
      <c r="P44" s="53">
        <f>Лист1!BD37</f>
        <v>-864.1300000000001</v>
      </c>
    </row>
    <row r="45" spans="1:16" ht="12.75">
      <c r="A45" s="32" t="s">
        <v>42</v>
      </c>
      <c r="B45" s="14">
        <f>Лист1!B38</f>
        <v>758.8</v>
      </c>
      <c r="C45" s="49">
        <f>Лист1!C38</f>
        <v>6563.62</v>
      </c>
      <c r="D45" s="50">
        <f>Лист1!D38</f>
        <v>1347.0899999999992</v>
      </c>
      <c r="E45" s="19">
        <f>Лист1!S38</f>
        <v>5216.530000000001</v>
      </c>
      <c r="F45" s="21">
        <f>Лист1!T38</f>
        <v>0</v>
      </c>
      <c r="G45" s="51">
        <f>Лист1!AB38</f>
        <v>2365.8900000000003</v>
      </c>
      <c r="H45" s="51">
        <f>Лист1!AC38</f>
        <v>3712.9799999999996</v>
      </c>
      <c r="I45" s="52">
        <f>Лист1!AG38</f>
        <v>455.28</v>
      </c>
      <c r="J45" s="19">
        <f>Лист1!AI38+Лист1!AJ38</f>
        <v>758.8</v>
      </c>
      <c r="K45" s="19">
        <f>Лист1!AH38+Лист1!AK38+Лист1!AL38+Лист1!AM38+Лист1!AN38+Лист1!AO38+Лист1!AP38</f>
        <v>2602.6839999999997</v>
      </c>
      <c r="L45" s="20">
        <f>Лист1!AQ38+Лист1!AR38+Лист1!AS38+Лист1!AU38+Лист1!AZ38+Лист1!BA38</f>
        <v>963</v>
      </c>
      <c r="M45" s="20">
        <f>Лист1!AX38</f>
        <v>296.09999999999997</v>
      </c>
      <c r="N45" s="21">
        <f>Лист1!BB38</f>
        <v>5075.8640000000005</v>
      </c>
      <c r="O45" s="53">
        <f>Лист1!BC38</f>
        <v>-1362.884000000001</v>
      </c>
      <c r="P45" s="53">
        <f>Лист1!BD38</f>
        <v>-2850.6400000000003</v>
      </c>
    </row>
    <row r="46" spans="1:16" ht="12.75">
      <c r="A46" s="32" t="s">
        <v>43</v>
      </c>
      <c r="B46" s="14">
        <f>Лист1!B39</f>
        <v>758.8</v>
      </c>
      <c r="C46" s="49">
        <f>Лист1!C39</f>
        <v>6563.62</v>
      </c>
      <c r="D46" s="50">
        <f>Лист1!D39</f>
        <v>1333.7499999999998</v>
      </c>
      <c r="E46" s="19">
        <f>Лист1!S39</f>
        <v>5229.870000000001</v>
      </c>
      <c r="F46" s="21">
        <f>Лист1!T39</f>
        <v>0</v>
      </c>
      <c r="G46" s="51">
        <f>Лист1!AB39</f>
        <v>757.61</v>
      </c>
      <c r="H46" s="51">
        <f>Лист1!AC39</f>
        <v>2091.3599999999997</v>
      </c>
      <c r="I46" s="52">
        <f>Лист1!AG39</f>
        <v>455.28</v>
      </c>
      <c r="J46" s="19">
        <f>Лист1!AI39+Лист1!AJ39</f>
        <v>758.8</v>
      </c>
      <c r="K46" s="19">
        <f>Лист1!AH39+Лист1!AK39+Лист1!AL39+Лист1!AM39+Лист1!AN39+Лист1!AO39+Лист1!AP39</f>
        <v>2602.6839999999997</v>
      </c>
      <c r="L46" s="20">
        <f>Лист1!AQ39+Лист1!AR39+Лист1!AS39+Лист1!AU39+Лист1!AZ39+Лист1!BA39</f>
        <v>0</v>
      </c>
      <c r="M46" s="20">
        <f>Лист1!AX39</f>
        <v>323.82</v>
      </c>
      <c r="N46" s="21">
        <f>Лист1!BB39</f>
        <v>4140.584</v>
      </c>
      <c r="O46" s="53">
        <f>Лист1!BC39</f>
        <v>-2049.224</v>
      </c>
      <c r="P46" s="53">
        <f>Лист1!BD39</f>
        <v>-4472.260000000001</v>
      </c>
    </row>
    <row r="47" spans="1:18" s="28" customFormat="1" ht="13.5" thickBot="1">
      <c r="A47" s="155" t="s">
        <v>5</v>
      </c>
      <c r="B47" s="153"/>
      <c r="C47" s="154">
        <f>SUM(C35:C46)</f>
        <v>76901.96</v>
      </c>
      <c r="D47" s="154">
        <f aca="true" t="shared" si="2" ref="D47:P47">SUM(D35:D46)</f>
        <v>14908.59</v>
      </c>
      <c r="E47" s="154">
        <f t="shared" si="2"/>
        <v>62075.049999999996</v>
      </c>
      <c r="F47" s="154">
        <f t="shared" si="2"/>
        <v>360.99</v>
      </c>
      <c r="G47" s="154">
        <f t="shared" si="2"/>
        <v>25792.350000000002</v>
      </c>
      <c r="H47" s="154">
        <f t="shared" si="2"/>
        <v>41061.92999999999</v>
      </c>
      <c r="I47" s="154">
        <f t="shared" si="2"/>
        <v>5334.239999999998</v>
      </c>
      <c r="J47" s="154">
        <f t="shared" si="2"/>
        <v>8890.400000000001</v>
      </c>
      <c r="K47" s="154">
        <f t="shared" si="2"/>
        <v>30494.072000000004</v>
      </c>
      <c r="L47" s="154">
        <f t="shared" si="2"/>
        <v>12697.8408</v>
      </c>
      <c r="M47" s="154">
        <f t="shared" si="2"/>
        <v>2772</v>
      </c>
      <c r="N47" s="154">
        <f t="shared" si="2"/>
        <v>60382.11280000001</v>
      </c>
      <c r="O47" s="154">
        <f t="shared" si="2"/>
        <v>-19320.182800000002</v>
      </c>
      <c r="P47" s="154">
        <f t="shared" si="2"/>
        <v>-36282.7</v>
      </c>
      <c r="Q47" s="64"/>
      <c r="R47" s="64"/>
    </row>
    <row r="48" spans="1:18" ht="13.5" thickBot="1">
      <c r="A48" s="195" t="s">
        <v>68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71"/>
      <c r="Q48" s="1"/>
      <c r="R48" s="1"/>
    </row>
    <row r="49" spans="1:18" s="28" customFormat="1" ht="13.5" thickBot="1">
      <c r="A49" s="72" t="s">
        <v>54</v>
      </c>
      <c r="B49" s="73"/>
      <c r="C49" s="74">
        <f aca="true" t="shared" si="3" ref="C49:P49">C19+C33+C47</f>
        <v>160685.86000000004</v>
      </c>
      <c r="D49" s="74">
        <f t="shared" si="3"/>
        <v>22955.7554522</v>
      </c>
      <c r="E49" s="74">
        <f t="shared" si="3"/>
        <v>136246.97</v>
      </c>
      <c r="F49" s="74">
        <f t="shared" si="3"/>
        <v>2106.51</v>
      </c>
      <c r="G49" s="74">
        <f t="shared" si="3"/>
        <v>50160.41</v>
      </c>
      <c r="H49" s="74">
        <f t="shared" si="3"/>
        <v>75222.6754522</v>
      </c>
      <c r="I49" s="74">
        <f t="shared" si="3"/>
        <v>10991.519999999999</v>
      </c>
      <c r="J49" s="74">
        <f t="shared" si="3"/>
        <v>18251.077922</v>
      </c>
      <c r="K49" s="74">
        <f t="shared" si="3"/>
        <v>62607.320838784806</v>
      </c>
      <c r="L49" s="74">
        <f t="shared" si="3"/>
        <v>56192.49740000001</v>
      </c>
      <c r="M49" s="74">
        <f t="shared" si="3"/>
        <v>5388.768</v>
      </c>
      <c r="N49" s="74">
        <f t="shared" si="3"/>
        <v>153624.74416078482</v>
      </c>
      <c r="O49" s="74">
        <f t="shared" si="3"/>
        <v>-78402.0687085848</v>
      </c>
      <c r="P49" s="74">
        <f t="shared" si="3"/>
        <v>-86086.56</v>
      </c>
      <c r="Q49" s="75"/>
      <c r="R49" s="64"/>
    </row>
    <row r="50" spans="17:18" ht="12.75">
      <c r="Q50" s="1"/>
      <c r="R50" s="1"/>
    </row>
    <row r="51" spans="1:18" ht="12.75">
      <c r="A51" s="76"/>
      <c r="Q51" s="1"/>
      <c r="R51" s="1"/>
    </row>
    <row r="52" spans="1:18" ht="12.75">
      <c r="A52" s="28" t="s">
        <v>90</v>
      </c>
      <c r="D52" s="2" t="s">
        <v>88</v>
      </c>
      <c r="Q52" s="1"/>
      <c r="R52" s="1"/>
    </row>
    <row r="53" spans="1:18" ht="12.75">
      <c r="A53" s="32" t="s">
        <v>69</v>
      </c>
      <c r="B53" s="32" t="s">
        <v>70</v>
      </c>
      <c r="C53" s="201" t="s">
        <v>71</v>
      </c>
      <c r="D53" s="201"/>
      <c r="Q53" s="1"/>
      <c r="R53" s="1"/>
    </row>
    <row r="54" spans="1:18" ht="12.75">
      <c r="A54" s="136">
        <v>19632.39</v>
      </c>
      <c r="B54" s="136">
        <v>0</v>
      </c>
      <c r="C54" s="225">
        <f>A54-B54</f>
        <v>19632.39</v>
      </c>
      <c r="D54" s="226"/>
      <c r="Q54" s="1"/>
      <c r="R54" s="1"/>
    </row>
    <row r="55" spans="1:18" ht="12.75">
      <c r="A55" s="76"/>
      <c r="Q55" s="1"/>
      <c r="R55" s="1"/>
    </row>
    <row r="56" spans="1:18" ht="12.75">
      <c r="A56" s="76"/>
      <c r="Q56" s="1"/>
      <c r="R56" s="1"/>
    </row>
    <row r="57" spans="1:18" ht="12.75">
      <c r="A57" s="2" t="s">
        <v>72</v>
      </c>
      <c r="G57" s="2" t="s">
        <v>73</v>
      </c>
      <c r="Q57" s="1"/>
      <c r="R57" s="1"/>
    </row>
    <row r="58" ht="12.75">
      <c r="A58" s="1"/>
    </row>
    <row r="59" ht="12.75">
      <c r="A59" s="1" t="s">
        <v>84</v>
      </c>
    </row>
    <row r="60" ht="12.75">
      <c r="A60" s="2" t="s">
        <v>74</v>
      </c>
    </row>
  </sheetData>
  <sheetProtection/>
  <mergeCells count="22">
    <mergeCell ref="K12:K13"/>
    <mergeCell ref="L12:L13"/>
    <mergeCell ref="E10:F11"/>
    <mergeCell ref="I10:N11"/>
    <mergeCell ref="O10:O13"/>
    <mergeCell ref="A7:G7"/>
    <mergeCell ref="C54:D54"/>
    <mergeCell ref="P10:P13"/>
    <mergeCell ref="E12:F12"/>
    <mergeCell ref="H12:H13"/>
    <mergeCell ref="I12:I13"/>
    <mergeCell ref="J12:J13"/>
    <mergeCell ref="G10:H11"/>
    <mergeCell ref="A48:O48"/>
    <mergeCell ref="M12:M13"/>
    <mergeCell ref="N12:N13"/>
    <mergeCell ref="C53:D53"/>
    <mergeCell ref="A6:O6"/>
    <mergeCell ref="A10:A13"/>
    <mergeCell ref="B10:B13"/>
    <mergeCell ref="C10:C13"/>
    <mergeCell ref="D10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2010-07-30T09:55:49Z</cp:lastPrinted>
  <dcterms:created xsi:type="dcterms:W3CDTF">2010-04-03T04:08:20Z</dcterms:created>
  <dcterms:modified xsi:type="dcterms:W3CDTF">2011-04-12T04:29:28Z</dcterms:modified>
  <cp:category/>
  <cp:version/>
  <cp:contentType/>
  <cp:contentStatus/>
</cp:coreProperties>
</file>