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<sst xmlns="http://schemas.openxmlformats.org/spreadsheetml/2006/main" count="315" uniqueCount="125">
  <si>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</si>
  <si>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</si>
  <si>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</si>
  <si>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</si>
  <si>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</si>
  <si>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</si>
  <si>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</si>
  <si>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</si>
  <si>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</si>
  <si>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</si>
  <si>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</si>
  <si>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</si>
  <si>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</si>
  <si>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</si>
  <si>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</si>
  <si>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</si>
  <si>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</si>
  <si>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</si>
  <si>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</si>
  <si>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</si>
  <si>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</si>
  <si>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</si>
  <si>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</si>
  <si>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</si>
  <si>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</si>
  <si>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</si>
  <si>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</si>
  <si>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</si>
  <si>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</si>
  <si>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</si>
  <si>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</si>
  <si>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</si>
  <si>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</si>
  <si>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</si>
  <si>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</si>
  <si>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</si>
  <si>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</si>
  <si>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</si>
  <si>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</si>
  <si>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</si>
  <si>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</si>
  <si>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</si>
  <si>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</si>
  <si>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</si>
  <si>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</si>
  <si>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</si>
  <si>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</si>
  <si>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</si>
  <si>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</si>
  <si>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</si>
  <si>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</si>
  <si>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</si>
  <si>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</si>
  <si>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</si>
  <si>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</si>
  <si>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</si>
  <si>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</si>
  <si>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</si>
  <si>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</si>
  <si>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</si>
  <si>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</si>
  <si>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</si>
  <si>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</si>
  <si>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</si>
  <si>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</si>
  <si>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</si>
  <si>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</si>
  <si>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</si>
  <si>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</si>
  <si>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</si>
  <si>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</si>
  <si>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</si>
  <si>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</si>
  <si>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</si>
  <si>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</si>
  <si>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</si>
  <si>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</si>
  <si>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</si>
  <si>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</si>
  <si>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</si>
  <si>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</si>
  <si>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</si>
  <si>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</si>
  <si>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</si>
  <si>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</si>
  <si>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Социальный найм</t>
  </si>
  <si>
    <t>Лицевой счет по адресу г. Таштагол, ул. ул. Коммунальная, д. 4</t>
  </si>
  <si>
    <t>Расходы по нежил. помещениям</t>
  </si>
  <si>
    <t>Выписка по лицевому счету по адресу г. Таштагол, ул. Коммунальная, д. 6</t>
  </si>
  <si>
    <t>2010 год</t>
  </si>
  <si>
    <t>на 01.01.2011 г.</t>
  </si>
  <si>
    <t>*по состоянию на 01.01.2011 г.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</si>
  <si>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</si>
  <si>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</si>
  <si>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</si>
  <si>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</si>
  <si>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</si>
  <si>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</si>
  <si>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</si>
  <si>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</si>
  <si>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</si>
  <si>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</si>
  <si>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</si>
  <si>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</si>
  <si>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</si>
  <si>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</si>
  <si>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</si>
  <si>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</si>
  <si>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</si>
  <si>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</si>
  <si>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</si>
  <si>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</si>
  <si>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</si>
  <si>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</si>
  <si>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</si>
  <si>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</si>
  <si>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</si>
  <si>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</si>
  <si>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</si>
  <si>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</si>
  <si>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Выписка по лицевому счету по адресу г. Таштагол ул. Коммунальная, д.6</t>
  </si>
  <si>
    <t>Содержание сетей тепло-водоснабжения</t>
  </si>
  <si>
    <t>*по состоянию на 01.01.2012 г.</t>
  </si>
  <si>
    <t>на 01.01.2012 г.</t>
  </si>
  <si>
    <t>Исп. В.В. Колмогорова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</si>
</sst>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9" xfId="0" applyNumberFormat="1" applyFont="1" applyFill="1" applyBorder="1" applyAlignment="1">
      <alignment wrapText="1"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4" fontId="7" fillId="0" borderId="24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18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4" fontId="2" fillId="0" borderId="2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37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" fillId="33" borderId="19" xfId="0" applyNumberFormat="1" applyFont="1" applyFill="1" applyBorder="1" applyAlignment="1">
      <alignment wrapText="1"/>
    </xf>
    <xf numFmtId="4" fontId="1" fillId="34" borderId="19" xfId="0" applyNumberFormat="1" applyFont="1" applyFill="1" applyBorder="1" applyAlignment="1">
      <alignment wrapText="1"/>
    </xf>
    <xf numFmtId="4" fontId="1" fillId="34" borderId="19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33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4" fontId="1" fillId="34" borderId="2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7" borderId="27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4" fontId="2" fillId="38" borderId="13" xfId="34" applyNumberFormat="1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 horizontal="center"/>
    </xf>
    <xf numFmtId="4" fontId="2" fillId="34" borderId="27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37" borderId="27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4" fontId="8" fillId="0" borderId="27" xfId="0" applyNumberFormat="1" applyFont="1" applyFill="1" applyBorder="1" applyAlignment="1">
      <alignment/>
    </xf>
    <xf numFmtId="0" fontId="1" fillId="39" borderId="45" xfId="0" applyFont="1" applyFill="1" applyBorder="1" applyAlignment="1">
      <alignment horizontal="center" vertical="center" wrapText="1"/>
    </xf>
    <xf numFmtId="0" fontId="1" fillId="39" borderId="54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35" borderId="28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35" borderId="28" xfId="0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/>
    </xf>
    <xf numFmtId="4" fontId="13" fillId="0" borderId="18" xfId="34" applyNumberFormat="1" applyFont="1" applyFill="1" applyBorder="1" applyAlignment="1">
      <alignment horizontal="center" vertical="center" wrapText="1"/>
      <protection/>
    </xf>
    <xf numFmtId="2" fontId="9" fillId="34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35" borderId="28" xfId="0" applyFont="1" applyFill="1" applyBorder="1" applyAlignment="1">
      <alignment/>
    </xf>
    <xf numFmtId="0" fontId="14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3" fillId="0" borderId="27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35" borderId="15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4" fontId="1" fillId="0" borderId="17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9" xfId="0" applyBorder="1" applyAlignment="1">
      <alignment/>
    </xf>
    <xf numFmtId="4" fontId="0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textRotation="90"/>
    </xf>
    <xf numFmtId="0" fontId="1" fillId="33" borderId="36" xfId="0" applyFont="1" applyFill="1" applyBorder="1" applyAlignment="1">
      <alignment horizontal="center" textRotation="90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6" borderId="19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left"/>
    </xf>
    <xf numFmtId="43" fontId="0" fillId="0" borderId="27" xfId="61" applyFont="1" applyFill="1" applyBorder="1" applyAlignment="1">
      <alignment horizontal="center"/>
    </xf>
    <xf numFmtId="43" fontId="0" fillId="0" borderId="18" xfId="61" applyFont="1" applyFill="1" applyBorder="1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4" fontId="1" fillId="34" borderId="54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2" fillId="0" borderId="44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textRotation="90"/>
    </xf>
    <xf numFmtId="0" fontId="1" fillId="35" borderId="38" xfId="0" applyFont="1" applyFill="1" applyBorder="1" applyAlignment="1">
      <alignment horizontal="center" textRotation="90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0" fillId="34" borderId="58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5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O44">
            <v>0</v>
          </cell>
          <cell r="AP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7" topLeftCell="AQ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46" sqref="BB46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89" t="s">
        <v>86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0" t="s">
        <v>0</v>
      </c>
      <c r="B3" s="293" t="s">
        <v>1</v>
      </c>
      <c r="C3" s="293" t="s">
        <v>2</v>
      </c>
      <c r="D3" s="293" t="s">
        <v>3</v>
      </c>
      <c r="E3" s="296" t="s">
        <v>4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307" t="s">
        <v>5</v>
      </c>
      <c r="T3" s="307"/>
      <c r="U3" s="308" t="s">
        <v>6</v>
      </c>
      <c r="V3" s="308"/>
      <c r="W3" s="308"/>
      <c r="X3" s="308"/>
      <c r="Y3" s="308"/>
      <c r="Z3" s="308"/>
      <c r="AA3" s="308"/>
      <c r="AB3" s="308"/>
      <c r="AC3" s="310" t="s">
        <v>7</v>
      </c>
      <c r="AD3" s="310" t="s">
        <v>8</v>
      </c>
      <c r="AE3" s="310" t="s">
        <v>9</v>
      </c>
      <c r="AF3" s="114"/>
      <c r="AG3" s="318" t="s">
        <v>10</v>
      </c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299" t="s">
        <v>87</v>
      </c>
      <c r="BD3" s="286" t="s">
        <v>11</v>
      </c>
      <c r="BE3" s="302" t="s">
        <v>12</v>
      </c>
    </row>
    <row r="4" spans="1:57" ht="36" customHeight="1" thickBot="1">
      <c r="A4" s="291"/>
      <c r="B4" s="294"/>
      <c r="C4" s="294"/>
      <c r="D4" s="294"/>
      <c r="E4" s="283" t="s">
        <v>13</v>
      </c>
      <c r="F4" s="283"/>
      <c r="G4" s="283" t="s">
        <v>14</v>
      </c>
      <c r="H4" s="283"/>
      <c r="I4" s="283" t="s">
        <v>15</v>
      </c>
      <c r="J4" s="283"/>
      <c r="K4" s="283" t="s">
        <v>16</v>
      </c>
      <c r="L4" s="283"/>
      <c r="M4" s="283" t="s">
        <v>17</v>
      </c>
      <c r="N4" s="283"/>
      <c r="O4" s="283" t="s">
        <v>18</v>
      </c>
      <c r="P4" s="283"/>
      <c r="Q4" s="283" t="s">
        <v>19</v>
      </c>
      <c r="R4" s="283"/>
      <c r="S4" s="283"/>
      <c r="T4" s="283"/>
      <c r="U4" s="309"/>
      <c r="V4" s="309"/>
      <c r="W4" s="309"/>
      <c r="X4" s="309"/>
      <c r="Y4" s="309"/>
      <c r="Z4" s="309"/>
      <c r="AA4" s="309"/>
      <c r="AB4" s="309"/>
      <c r="AC4" s="305"/>
      <c r="AD4" s="305"/>
      <c r="AE4" s="305"/>
      <c r="AF4" s="112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300"/>
      <c r="BD4" s="287"/>
      <c r="BE4" s="303"/>
    </row>
    <row r="5" spans="1:57" ht="29.25" customHeight="1" thickBot="1">
      <c r="A5" s="291"/>
      <c r="B5" s="294"/>
      <c r="C5" s="294"/>
      <c r="D5" s="294"/>
      <c r="E5" s="297" t="s">
        <v>20</v>
      </c>
      <c r="F5" s="297" t="s">
        <v>21</v>
      </c>
      <c r="G5" s="297" t="s">
        <v>20</v>
      </c>
      <c r="H5" s="297" t="s">
        <v>21</v>
      </c>
      <c r="I5" s="297" t="s">
        <v>20</v>
      </c>
      <c r="J5" s="297" t="s">
        <v>21</v>
      </c>
      <c r="K5" s="297" t="s">
        <v>20</v>
      </c>
      <c r="L5" s="297" t="s">
        <v>21</v>
      </c>
      <c r="M5" s="297" t="s">
        <v>20</v>
      </c>
      <c r="N5" s="297" t="s">
        <v>21</v>
      </c>
      <c r="O5" s="297" t="s">
        <v>20</v>
      </c>
      <c r="P5" s="297" t="s">
        <v>21</v>
      </c>
      <c r="Q5" s="297" t="s">
        <v>20</v>
      </c>
      <c r="R5" s="297" t="s">
        <v>21</v>
      </c>
      <c r="S5" s="297" t="s">
        <v>20</v>
      </c>
      <c r="T5" s="297" t="s">
        <v>21</v>
      </c>
      <c r="U5" s="305" t="s">
        <v>22</v>
      </c>
      <c r="V5" s="305" t="s">
        <v>23</v>
      </c>
      <c r="W5" s="305" t="s">
        <v>24</v>
      </c>
      <c r="X5" s="305" t="s">
        <v>25</v>
      </c>
      <c r="Y5" s="305" t="s">
        <v>26</v>
      </c>
      <c r="Z5" s="305" t="s">
        <v>27</v>
      </c>
      <c r="AA5" s="305" t="s">
        <v>28</v>
      </c>
      <c r="AB5" s="305" t="s">
        <v>29</v>
      </c>
      <c r="AC5" s="305"/>
      <c r="AD5" s="305"/>
      <c r="AE5" s="305"/>
      <c r="AF5" s="112"/>
      <c r="AG5" s="284" t="s">
        <v>30</v>
      </c>
      <c r="AH5" s="284" t="s">
        <v>31</v>
      </c>
      <c r="AI5" s="284" t="s">
        <v>32</v>
      </c>
      <c r="AJ5" s="284" t="s">
        <v>33</v>
      </c>
      <c r="AK5" s="284" t="s">
        <v>34</v>
      </c>
      <c r="AL5" s="284" t="s">
        <v>33</v>
      </c>
      <c r="AM5" s="284" t="s">
        <v>35</v>
      </c>
      <c r="AN5" s="284" t="s">
        <v>33</v>
      </c>
      <c r="AO5" s="284" t="s">
        <v>36</v>
      </c>
      <c r="AP5" s="284" t="s">
        <v>33</v>
      </c>
      <c r="AQ5" s="319" t="s">
        <v>77</v>
      </c>
      <c r="AR5" s="321" t="s">
        <v>33</v>
      </c>
      <c r="AS5" s="311" t="s">
        <v>83</v>
      </c>
      <c r="AT5" s="316" t="s">
        <v>82</v>
      </c>
      <c r="AU5" s="316" t="s">
        <v>33</v>
      </c>
      <c r="AV5" s="313" t="s">
        <v>78</v>
      </c>
      <c r="AW5" s="314"/>
      <c r="AX5" s="315"/>
      <c r="AY5" s="284" t="s">
        <v>19</v>
      </c>
      <c r="AZ5" s="284" t="s">
        <v>38</v>
      </c>
      <c r="BA5" s="284" t="s">
        <v>33</v>
      </c>
      <c r="BB5" s="284" t="s">
        <v>39</v>
      </c>
      <c r="BC5" s="300"/>
      <c r="BD5" s="287"/>
      <c r="BE5" s="303"/>
    </row>
    <row r="6" spans="1:57" ht="54" customHeight="1" thickBot="1">
      <c r="A6" s="292"/>
      <c r="B6" s="295"/>
      <c r="C6" s="295"/>
      <c r="D6" s="295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113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320"/>
      <c r="AR6" s="322"/>
      <c r="AS6" s="312"/>
      <c r="AT6" s="317"/>
      <c r="AU6" s="317"/>
      <c r="AV6" s="125" t="s">
        <v>79</v>
      </c>
      <c r="AW6" s="125" t="s">
        <v>80</v>
      </c>
      <c r="AX6" s="125" t="s">
        <v>81</v>
      </c>
      <c r="AY6" s="285"/>
      <c r="AZ6" s="285"/>
      <c r="BA6" s="285"/>
      <c r="BB6" s="285"/>
      <c r="BC6" s="301"/>
      <c r="BD6" s="288"/>
      <c r="BE6" s="304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99">
        <v>654.4</v>
      </c>
      <c r="C9" s="115">
        <f>B9*8.65</f>
        <v>5660.56</v>
      </c>
      <c r="D9" s="116">
        <f>C9*0.24088</f>
        <v>1363.5156928000001</v>
      </c>
      <c r="E9" s="100">
        <v>627.88</v>
      </c>
      <c r="F9" s="100">
        <v>11.88</v>
      </c>
      <c r="G9" s="100">
        <v>847.67</v>
      </c>
      <c r="H9" s="100">
        <v>16.04</v>
      </c>
      <c r="I9" s="100">
        <v>1365.54</v>
      </c>
      <c r="J9" s="100">
        <v>25.84</v>
      </c>
      <c r="K9" s="100">
        <v>941.83</v>
      </c>
      <c r="L9" s="100">
        <v>17.82</v>
      </c>
      <c r="M9" s="98">
        <v>502.33</v>
      </c>
      <c r="N9" s="98">
        <v>9.5</v>
      </c>
      <c r="O9" s="100">
        <v>0</v>
      </c>
      <c r="P9" s="100">
        <v>0</v>
      </c>
      <c r="Q9" s="100">
        <v>0</v>
      </c>
      <c r="R9" s="100">
        <v>0</v>
      </c>
      <c r="S9" s="100">
        <f>E9+G9+I9+K9+M9+O9+Q9</f>
        <v>4285.25</v>
      </c>
      <c r="T9" s="117">
        <f>P9+N9+L9+J9+H9+F9+R9</f>
        <v>81.07999999999998</v>
      </c>
      <c r="U9" s="100">
        <v>6.78</v>
      </c>
      <c r="V9" s="100">
        <v>9.15</v>
      </c>
      <c r="W9" s="100">
        <v>14.74</v>
      </c>
      <c r="X9" s="100">
        <v>10.17</v>
      </c>
      <c r="Y9" s="100">
        <v>5.42</v>
      </c>
      <c r="Z9" s="106">
        <v>0</v>
      </c>
      <c r="AA9" s="106">
        <v>0</v>
      </c>
      <c r="AB9" s="106">
        <f>SUM(U9:AA9)</f>
        <v>46.260000000000005</v>
      </c>
      <c r="AC9" s="136">
        <f>D9+T9+AB9</f>
        <v>1490.8556928</v>
      </c>
      <c r="AD9" s="137">
        <f>P9+Z9</f>
        <v>0</v>
      </c>
      <c r="AE9" s="121">
        <f>R9+AA9</f>
        <v>0</v>
      </c>
      <c r="AF9" s="121"/>
      <c r="AG9" s="31">
        <f>0.6*B9</f>
        <v>392.64</v>
      </c>
      <c r="AH9" s="31">
        <f>B9*0.2*1.05826</f>
        <v>138.5050688</v>
      </c>
      <c r="AI9" s="31">
        <f>0.8518*B9</f>
        <v>557.41792</v>
      </c>
      <c r="AJ9" s="31">
        <f>AI9*0.18</f>
        <v>100.33522559999999</v>
      </c>
      <c r="AK9" s="31">
        <f>1.04*B9*0.9531</f>
        <v>648.6569856</v>
      </c>
      <c r="AL9" s="31">
        <f>AK9*0.18</f>
        <v>116.75825740799999</v>
      </c>
      <c r="AM9" s="31">
        <f>(1.91)*B9*0.9531</f>
        <v>1191.2835023999999</v>
      </c>
      <c r="AN9" s="31">
        <f>AM9*0.18</f>
        <v>214.43103043199997</v>
      </c>
      <c r="AO9" s="31"/>
      <c r="AP9" s="31">
        <f>AO9*0.18</f>
        <v>0</v>
      </c>
      <c r="AQ9" s="126"/>
      <c r="AR9" s="126"/>
      <c r="AS9" s="104"/>
      <c r="AT9" s="104"/>
      <c r="AU9" s="104">
        <f>(AS9+AT9)*0.18</f>
        <v>0</v>
      </c>
      <c r="AV9" s="127"/>
      <c r="AW9" s="128"/>
      <c r="AX9" s="31">
        <f>AV9*AW9*1.12*1.18</f>
        <v>0</v>
      </c>
      <c r="AY9" s="129"/>
      <c r="AZ9" s="131"/>
      <c r="BA9" s="131">
        <f>AZ9*0.18</f>
        <v>0</v>
      </c>
      <c r="BB9" s="131">
        <f>SUM(AG9:BA9)-AV9-AW9</f>
        <v>3360.02799024</v>
      </c>
      <c r="BC9" s="138"/>
      <c r="BD9" s="19">
        <f>AC9-BB9</f>
        <v>-1869.1722974399997</v>
      </c>
      <c r="BE9" s="21">
        <f>AB9-S9</f>
        <v>-4238.99</v>
      </c>
    </row>
    <row r="10" spans="1:57" ht="12.75">
      <c r="A10" s="13" t="s">
        <v>42</v>
      </c>
      <c r="B10" s="99">
        <v>654.4</v>
      </c>
      <c r="C10" s="115">
        <f>B10*8.65</f>
        <v>5660.56</v>
      </c>
      <c r="D10" s="116">
        <f>C10*0.24088</f>
        <v>1363.5156928000001</v>
      </c>
      <c r="E10" s="100">
        <v>628.92</v>
      </c>
      <c r="F10" s="100">
        <v>11.88</v>
      </c>
      <c r="G10" s="100">
        <v>849.06</v>
      </c>
      <c r="H10" s="100">
        <v>16.04</v>
      </c>
      <c r="I10" s="100">
        <v>1367.79</v>
      </c>
      <c r="J10" s="100">
        <v>25.84</v>
      </c>
      <c r="K10" s="100">
        <v>943.38</v>
      </c>
      <c r="L10" s="100">
        <v>17.82</v>
      </c>
      <c r="M10" s="98">
        <v>503.16</v>
      </c>
      <c r="N10" s="98">
        <v>9.5</v>
      </c>
      <c r="O10" s="100">
        <v>0</v>
      </c>
      <c r="P10" s="100">
        <v>0</v>
      </c>
      <c r="Q10" s="100">
        <v>0</v>
      </c>
      <c r="R10" s="100">
        <v>0</v>
      </c>
      <c r="S10" s="100">
        <f>E10+G10+I10+K10+M10+O10+Q10</f>
        <v>4292.31</v>
      </c>
      <c r="T10" s="117">
        <f>P10+N10+L10+J10+H10+F10+R10</f>
        <v>81.07999999999998</v>
      </c>
      <c r="U10" s="100">
        <v>61.42</v>
      </c>
      <c r="V10" s="100">
        <v>82.92</v>
      </c>
      <c r="W10" s="100">
        <v>133.6</v>
      </c>
      <c r="X10" s="100">
        <v>92.14</v>
      </c>
      <c r="Y10" s="100">
        <v>49.15</v>
      </c>
      <c r="Z10" s="100">
        <v>0</v>
      </c>
      <c r="AA10" s="106">
        <v>0</v>
      </c>
      <c r="AB10" s="122">
        <f>SUM(U10:AA10)</f>
        <v>419.22999999999996</v>
      </c>
      <c r="AC10" s="120">
        <f>D10+T10+AB10</f>
        <v>1863.8256928</v>
      </c>
      <c r="AD10" s="121">
        <f>P10+Z10</f>
        <v>0</v>
      </c>
      <c r="AE10" s="121">
        <f>R10+AA10</f>
        <v>0</v>
      </c>
      <c r="AF10" s="121"/>
      <c r="AG10" s="31">
        <f>0.6*B10</f>
        <v>392.64</v>
      </c>
      <c r="AH10" s="31">
        <f>B10*0.201</f>
        <v>131.5344</v>
      </c>
      <c r="AI10" s="31">
        <f>0.8518*B10</f>
        <v>557.41792</v>
      </c>
      <c r="AJ10" s="31">
        <f>AI10*0.18</f>
        <v>100.33522559999999</v>
      </c>
      <c r="AK10" s="31">
        <f>1.04*B10*0.9531</f>
        <v>648.6569856</v>
      </c>
      <c r="AL10" s="31">
        <f>AK10*0.18</f>
        <v>116.75825740799999</v>
      </c>
      <c r="AM10" s="31">
        <f>(1.91)*B10*0.9531</f>
        <v>1191.2835023999999</v>
      </c>
      <c r="AN10" s="31">
        <f>AM10*0.18</f>
        <v>214.43103043199997</v>
      </c>
      <c r="AO10" s="31"/>
      <c r="AP10" s="31">
        <f>AO10*0.18</f>
        <v>0</v>
      </c>
      <c r="AQ10" s="126"/>
      <c r="AR10" s="126"/>
      <c r="AS10" s="104"/>
      <c r="AT10" s="104"/>
      <c r="AU10" s="104">
        <f>(AS10+AT10)*0.18</f>
        <v>0</v>
      </c>
      <c r="AV10" s="127"/>
      <c r="AW10" s="128"/>
      <c r="AX10" s="31">
        <f>AV10*AW10*1.12*1.18</f>
        <v>0</v>
      </c>
      <c r="AY10" s="129"/>
      <c r="AZ10" s="131"/>
      <c r="BA10" s="131">
        <f>AZ10*0.18</f>
        <v>0</v>
      </c>
      <c r="BB10" s="131">
        <f>SUM(AG10:BA10)-AV10-AW10</f>
        <v>3353.05732144</v>
      </c>
      <c r="BC10" s="138"/>
      <c r="BD10" s="19">
        <f>AC10-BB10</f>
        <v>-1489.23162864</v>
      </c>
      <c r="BE10" s="21">
        <f>AB10-S10</f>
        <v>-3873.0800000000004</v>
      </c>
    </row>
    <row r="11" spans="1:57" ht="12.75">
      <c r="A11" s="13" t="s">
        <v>43</v>
      </c>
      <c r="B11" s="99">
        <v>654.4</v>
      </c>
      <c r="C11" s="115">
        <f>B11*8.65</f>
        <v>5660.56</v>
      </c>
      <c r="D11" s="116">
        <f>C11*0.24035</f>
        <v>1360.5155960000002</v>
      </c>
      <c r="E11" s="100">
        <v>574.76</v>
      </c>
      <c r="F11" s="100">
        <v>11.88</v>
      </c>
      <c r="G11" s="100">
        <v>775.95</v>
      </c>
      <c r="H11" s="100">
        <v>16.04</v>
      </c>
      <c r="I11" s="100">
        <v>1249.99</v>
      </c>
      <c r="J11" s="100">
        <v>25.84</v>
      </c>
      <c r="K11" s="100">
        <v>862.14</v>
      </c>
      <c r="L11" s="100">
        <v>17.82</v>
      </c>
      <c r="M11" s="98">
        <v>459.83</v>
      </c>
      <c r="N11" s="139">
        <v>9.5</v>
      </c>
      <c r="O11" s="106">
        <v>0</v>
      </c>
      <c r="P11" s="106">
        <v>0</v>
      </c>
      <c r="Q11" s="100">
        <v>0</v>
      </c>
      <c r="R11" s="106">
        <v>0</v>
      </c>
      <c r="S11" s="100">
        <f>E11+G11+I11+K11+M11+O11+Q11</f>
        <v>3922.6699999999996</v>
      </c>
      <c r="T11" s="117">
        <f>P11+N11+L11+J11+H11+F11+R11</f>
        <v>81.07999999999998</v>
      </c>
      <c r="U11" s="100">
        <v>86.2</v>
      </c>
      <c r="V11" s="100">
        <v>116.36</v>
      </c>
      <c r="W11" s="100">
        <v>187.48</v>
      </c>
      <c r="X11" s="100">
        <v>129.29</v>
      </c>
      <c r="Y11" s="100">
        <v>68.96</v>
      </c>
      <c r="Z11" s="100">
        <v>0</v>
      </c>
      <c r="AA11" s="106">
        <v>0</v>
      </c>
      <c r="AB11" s="122">
        <f>SUM(U11:AA11)</f>
        <v>588.29</v>
      </c>
      <c r="AC11" s="120">
        <f>D11+T11+AB11</f>
        <v>2029.885596</v>
      </c>
      <c r="AD11" s="121">
        <f>P11+Z11</f>
        <v>0</v>
      </c>
      <c r="AE11" s="121">
        <f>R11+AA11</f>
        <v>0</v>
      </c>
      <c r="AF11" s="121"/>
      <c r="AG11" s="31">
        <f>0.6*B11</f>
        <v>392.64</v>
      </c>
      <c r="AH11" s="31">
        <f>B11*0.2*1.02524</f>
        <v>134.1834112</v>
      </c>
      <c r="AI11" s="31">
        <f>0.84932*B11</f>
        <v>555.7950079999999</v>
      </c>
      <c r="AJ11" s="31">
        <f>AI11*0.18</f>
        <v>100.04310143999999</v>
      </c>
      <c r="AK11" s="31">
        <f>1.04*B11*0.95033</f>
        <v>646.7717900800001</v>
      </c>
      <c r="AL11" s="31">
        <f>AK11*0.18</f>
        <v>116.41892221440001</v>
      </c>
      <c r="AM11" s="31">
        <f>(1.91)*B11*0.95033</f>
        <v>1187.82126832</v>
      </c>
      <c r="AN11" s="31">
        <f>AM11*0.18</f>
        <v>213.80782829759997</v>
      </c>
      <c r="AO11" s="31"/>
      <c r="AP11" s="31">
        <f>AO11*0.18</f>
        <v>0</v>
      </c>
      <c r="AQ11" s="126"/>
      <c r="AR11" s="126"/>
      <c r="AS11" s="104">
        <v>1013</v>
      </c>
      <c r="AT11" s="104"/>
      <c r="AU11" s="104">
        <f>(AS11+AT11)*0.18</f>
        <v>182.34</v>
      </c>
      <c r="AV11" s="127"/>
      <c r="AW11" s="128"/>
      <c r="AX11" s="31">
        <f>AV11*AW11*1.12*1.18</f>
        <v>0</v>
      </c>
      <c r="AY11" s="129"/>
      <c r="AZ11" s="131"/>
      <c r="BA11" s="131">
        <f>AZ11*0.18</f>
        <v>0</v>
      </c>
      <c r="BB11" s="131">
        <f>SUM(AG11:BA11)-AV11-AW11</f>
        <v>4542.821329552</v>
      </c>
      <c r="BC11" s="138"/>
      <c r="BD11" s="19">
        <f>AC11-BB11</f>
        <v>-2512.935733552</v>
      </c>
      <c r="BE11" s="21">
        <f>AB11-S11</f>
        <v>-3334.3799999999997</v>
      </c>
    </row>
    <row r="12" spans="1:57" s="28" customFormat="1" ht="15" customHeight="1">
      <c r="A12" s="22" t="s">
        <v>5</v>
      </c>
      <c r="B12" s="23"/>
      <c r="C12" s="23">
        <f aca="true" t="shared" si="0" ref="C12:BE12">SUM(C9:C11)</f>
        <v>16981.68</v>
      </c>
      <c r="D12" s="23">
        <f t="shared" si="0"/>
        <v>4087.5469816000004</v>
      </c>
      <c r="E12" s="23">
        <f aca="true" t="shared" si="1" ref="E12:R12">SUM(E9:E11)</f>
        <v>1831.56</v>
      </c>
      <c r="F12" s="23">
        <f t="shared" si="1"/>
        <v>35.64</v>
      </c>
      <c r="G12" s="23">
        <f t="shared" si="1"/>
        <v>2472.6800000000003</v>
      </c>
      <c r="H12" s="23">
        <f t="shared" si="1"/>
        <v>48.12</v>
      </c>
      <c r="I12" s="23">
        <f t="shared" si="1"/>
        <v>3983.3199999999997</v>
      </c>
      <c r="J12" s="23">
        <f t="shared" si="1"/>
        <v>77.52</v>
      </c>
      <c r="K12" s="23">
        <f t="shared" si="1"/>
        <v>2747.35</v>
      </c>
      <c r="L12" s="23">
        <f t="shared" si="1"/>
        <v>53.46</v>
      </c>
      <c r="M12" s="23">
        <f t="shared" si="1"/>
        <v>1465.32</v>
      </c>
      <c r="N12" s="23">
        <f t="shared" si="1"/>
        <v>28.5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4">
        <f t="shared" si="0"/>
        <v>12500.230000000001</v>
      </c>
      <c r="T12" s="24">
        <f t="shared" si="0"/>
        <v>243.23999999999995</v>
      </c>
      <c r="U12" s="25">
        <f t="shared" si="0"/>
        <v>154.4</v>
      </c>
      <c r="V12" s="25">
        <f t="shared" si="0"/>
        <v>208.43</v>
      </c>
      <c r="W12" s="25">
        <f t="shared" si="0"/>
        <v>335.82</v>
      </c>
      <c r="X12" s="25">
        <f t="shared" si="0"/>
        <v>231.6</v>
      </c>
      <c r="Y12" s="25">
        <f t="shared" si="0"/>
        <v>123.53</v>
      </c>
      <c r="Z12" s="25">
        <f t="shared" si="0"/>
        <v>0</v>
      </c>
      <c r="AA12" s="25">
        <f t="shared" si="0"/>
        <v>0</v>
      </c>
      <c r="AB12" s="25">
        <f t="shared" si="0"/>
        <v>1053.78</v>
      </c>
      <c r="AC12" s="25">
        <f t="shared" si="0"/>
        <v>5384.5669816</v>
      </c>
      <c r="AD12" s="110">
        <f t="shared" si="0"/>
        <v>0</v>
      </c>
      <c r="AE12" s="110">
        <f t="shared" si="0"/>
        <v>0</v>
      </c>
      <c r="AF12" s="110"/>
      <c r="AG12" s="26">
        <f t="shared" si="0"/>
        <v>1177.92</v>
      </c>
      <c r="AH12" s="26">
        <f t="shared" si="0"/>
        <v>404.22288000000003</v>
      </c>
      <c r="AI12" s="26">
        <f t="shared" si="0"/>
        <v>1670.6308479999998</v>
      </c>
      <c r="AJ12" s="26">
        <f t="shared" si="0"/>
        <v>300.71355264</v>
      </c>
      <c r="AK12" s="26">
        <f t="shared" si="0"/>
        <v>1944.08576128</v>
      </c>
      <c r="AL12" s="26">
        <f t="shared" si="0"/>
        <v>349.9354370304</v>
      </c>
      <c r="AM12" s="26">
        <f>SUM(AM9:AM11)</f>
        <v>3570.3882731199997</v>
      </c>
      <c r="AN12" s="26">
        <f>SUM(AN9:AN11)</f>
        <v>642.6698891615999</v>
      </c>
      <c r="AO12" s="26">
        <f t="shared" si="0"/>
        <v>0</v>
      </c>
      <c r="AP12" s="26">
        <f t="shared" si="0"/>
        <v>0</v>
      </c>
      <c r="AQ12" s="26"/>
      <c r="AR12" s="26"/>
      <c r="AS12" s="94">
        <f t="shared" si="0"/>
        <v>1013</v>
      </c>
      <c r="AT12" s="94"/>
      <c r="AU12" s="94">
        <f t="shared" si="0"/>
        <v>182.34</v>
      </c>
      <c r="AV12" s="26"/>
      <c r="AW12" s="26"/>
      <c r="AX12" s="26">
        <f t="shared" si="0"/>
        <v>0</v>
      </c>
      <c r="AY12" s="26">
        <f t="shared" si="0"/>
        <v>0</v>
      </c>
      <c r="AZ12" s="26">
        <f t="shared" si="0"/>
        <v>0</v>
      </c>
      <c r="BA12" s="26">
        <f t="shared" si="0"/>
        <v>0</v>
      </c>
      <c r="BB12" s="26">
        <f t="shared" si="0"/>
        <v>11255.906641231999</v>
      </c>
      <c r="BC12" s="26">
        <f t="shared" si="0"/>
        <v>0</v>
      </c>
      <c r="BD12" s="26">
        <f t="shared" si="0"/>
        <v>-5871.339659632</v>
      </c>
      <c r="BE12" s="27">
        <f t="shared" si="0"/>
        <v>-11446.449999999999</v>
      </c>
    </row>
    <row r="13" spans="1:57" ht="15" customHeight="1">
      <c r="A13" s="5" t="s">
        <v>44</v>
      </c>
      <c r="B13" s="92"/>
      <c r="C13" s="15"/>
      <c r="D13" s="1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3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8"/>
      <c r="AD13" s="109"/>
      <c r="AE13" s="109"/>
      <c r="AF13" s="109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3"/>
      <c r="AT13" s="103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18">
        <v>726.7</v>
      </c>
      <c r="C14" s="115">
        <f aca="true" t="shared" si="2" ref="C14:C20">B14*8.65</f>
        <v>6285.955000000001</v>
      </c>
      <c r="D14" s="116">
        <f>C14*0.125</f>
        <v>785.7443750000001</v>
      </c>
      <c r="E14" s="100">
        <v>574.76</v>
      </c>
      <c r="F14" s="100">
        <v>11.88</v>
      </c>
      <c r="G14" s="100">
        <v>775.95</v>
      </c>
      <c r="H14" s="100">
        <v>16.04</v>
      </c>
      <c r="I14" s="100">
        <v>1249.99</v>
      </c>
      <c r="J14" s="100">
        <v>25.84</v>
      </c>
      <c r="K14" s="100">
        <v>862.14</v>
      </c>
      <c r="L14" s="100">
        <v>17.82</v>
      </c>
      <c r="M14" s="98">
        <v>459.83</v>
      </c>
      <c r="N14" s="139">
        <v>9.5</v>
      </c>
      <c r="O14" s="106">
        <v>0</v>
      </c>
      <c r="P14" s="106">
        <v>0</v>
      </c>
      <c r="Q14" s="100">
        <v>0</v>
      </c>
      <c r="R14" s="106">
        <v>0</v>
      </c>
      <c r="S14" s="100">
        <f>E14+G14+I14+K14+M14+O14+Q14</f>
        <v>3922.6699999999996</v>
      </c>
      <c r="T14" s="117">
        <f>P14+N14+L14+J14+H14+F14+R14</f>
        <v>81.07999999999998</v>
      </c>
      <c r="U14" s="100">
        <v>90.38</v>
      </c>
      <c r="V14" s="100">
        <v>122.01</v>
      </c>
      <c r="W14" s="100">
        <v>196.55</v>
      </c>
      <c r="X14" s="100">
        <v>135.56</v>
      </c>
      <c r="Y14" s="100">
        <v>72.29</v>
      </c>
      <c r="Z14" s="100">
        <v>0</v>
      </c>
      <c r="AA14" s="106">
        <v>0</v>
      </c>
      <c r="AB14" s="119">
        <f>SUM(U14:AA14)</f>
        <v>616.79</v>
      </c>
      <c r="AC14" s="120">
        <f>D14+T14+AB14</f>
        <v>1483.614375</v>
      </c>
      <c r="AD14" s="121">
        <f>P14+Z14</f>
        <v>0</v>
      </c>
      <c r="AE14" s="121">
        <f>R14+AA14</f>
        <v>0</v>
      </c>
      <c r="AF14" s="121"/>
      <c r="AG14" s="31">
        <f>0.6*B14*0.9</f>
        <v>392.41800000000006</v>
      </c>
      <c r="AH14" s="31">
        <f>B14*0.2*0.891</f>
        <v>129.49794</v>
      </c>
      <c r="AI14" s="31">
        <f>0.85*B14*0.867-0.02</f>
        <v>535.521565</v>
      </c>
      <c r="AJ14" s="31">
        <f aca="true" t="shared" si="3" ref="AJ14:AJ25">AI14*0.18</f>
        <v>96.3938817</v>
      </c>
      <c r="AK14" s="31">
        <f>0.83*B14*0.8686</f>
        <v>523.9056446000001</v>
      </c>
      <c r="AL14" s="31">
        <f aca="true" t="shared" si="4" ref="AL14:AL25">AK14*0.18</f>
        <v>94.30301602800002</v>
      </c>
      <c r="AM14" s="31">
        <f>1.91*B14*0.8686</f>
        <v>1205.6141942000002</v>
      </c>
      <c r="AN14" s="31">
        <f aca="true" t="shared" si="5" ref="AN14:AN25">AM14*0.18</f>
        <v>217.01055495600002</v>
      </c>
      <c r="AO14" s="31"/>
      <c r="AP14" s="31">
        <f aca="true" t="shared" si="6" ref="AP14:AP25">AO14*0.18</f>
        <v>0</v>
      </c>
      <c r="AQ14" s="126"/>
      <c r="AR14" s="126">
        <f aca="true" t="shared" si="7" ref="AR14:AR25">AQ14*0.18</f>
        <v>0</v>
      </c>
      <c r="AS14" s="104"/>
      <c r="AT14" s="104"/>
      <c r="AU14" s="104">
        <f aca="true" t="shared" si="8" ref="AU14:AU25">(AS14+AT14)*0.18</f>
        <v>0</v>
      </c>
      <c r="AV14" s="127">
        <v>508</v>
      </c>
      <c r="AW14" s="128">
        <v>0.45</v>
      </c>
      <c r="AX14" s="31">
        <f>AV14*AW14*1.12*1.18</f>
        <v>302.11776000000003</v>
      </c>
      <c r="AY14" s="129"/>
      <c r="AZ14" s="131"/>
      <c r="BA14" s="131">
        <f>AZ14*0.18</f>
        <v>0</v>
      </c>
      <c r="BB14" s="131">
        <f>SUM(AG14:AU14)</f>
        <v>3194.664796484</v>
      </c>
      <c r="BC14" s="138"/>
      <c r="BD14" s="19">
        <f>AC14+AF14-BB14-BC14</f>
        <v>-1711.0504214839998</v>
      </c>
      <c r="BE14" s="21">
        <f aca="true" t="shared" si="9" ref="BE14:BE25">AB14-S14</f>
        <v>-3305.8799999999997</v>
      </c>
    </row>
    <row r="15" spans="1:57" ht="12.75">
      <c r="A15" s="13" t="s">
        <v>46</v>
      </c>
      <c r="B15" s="118">
        <v>726.7</v>
      </c>
      <c r="C15" s="115">
        <f t="shared" si="2"/>
        <v>6285.955000000001</v>
      </c>
      <c r="D15" s="116">
        <f>C15*0.125</f>
        <v>785.7443750000001</v>
      </c>
      <c r="E15" s="100">
        <v>574.76</v>
      </c>
      <c r="F15" s="100">
        <v>11.88</v>
      </c>
      <c r="G15" s="100">
        <v>775.95</v>
      </c>
      <c r="H15" s="100">
        <v>16.04</v>
      </c>
      <c r="I15" s="100">
        <v>1249.99</v>
      </c>
      <c r="J15" s="100">
        <v>25.84</v>
      </c>
      <c r="K15" s="100">
        <v>862.14</v>
      </c>
      <c r="L15" s="100">
        <v>17.82</v>
      </c>
      <c r="M15" s="98">
        <v>459.83</v>
      </c>
      <c r="N15" s="139">
        <v>9.5</v>
      </c>
      <c r="O15" s="106">
        <v>0</v>
      </c>
      <c r="P15" s="106">
        <v>0</v>
      </c>
      <c r="Q15" s="100">
        <v>0</v>
      </c>
      <c r="R15" s="106">
        <v>0</v>
      </c>
      <c r="S15" s="100">
        <f>E15+G15+I15+K15+M15+O15+Q15</f>
        <v>3922.6699999999996</v>
      </c>
      <c r="T15" s="117">
        <f>P15+N15+L15+J15+H15+F15+R15</f>
        <v>81.07999999999998</v>
      </c>
      <c r="U15" s="100">
        <v>68.4</v>
      </c>
      <c r="V15" s="100">
        <v>92.36</v>
      </c>
      <c r="W15" s="100">
        <v>148.79</v>
      </c>
      <c r="X15" s="100">
        <v>102.62</v>
      </c>
      <c r="Y15" s="100">
        <v>54.73</v>
      </c>
      <c r="Z15" s="100">
        <v>0</v>
      </c>
      <c r="AA15" s="106">
        <v>0</v>
      </c>
      <c r="AB15" s="122">
        <f>SUM(U15:AA15)</f>
        <v>466.9</v>
      </c>
      <c r="AC15" s="120">
        <f>D15+T15+AB15</f>
        <v>1333.7243750000002</v>
      </c>
      <c r="AD15" s="121">
        <f>P15+Z15</f>
        <v>0</v>
      </c>
      <c r="AE15" s="121">
        <f>R15+AA15</f>
        <v>0</v>
      </c>
      <c r="AF15" s="121"/>
      <c r="AG15" s="31">
        <f>0.6*B15*0.9</f>
        <v>392.41800000000006</v>
      </c>
      <c r="AH15" s="31">
        <f>B15*0.2*0.9153</f>
        <v>133.02970200000001</v>
      </c>
      <c r="AI15" s="31">
        <f>0.85*B15*0.867</f>
        <v>535.541565</v>
      </c>
      <c r="AJ15" s="31">
        <f t="shared" si="3"/>
        <v>96.3974817</v>
      </c>
      <c r="AK15" s="31">
        <f>0.83*B15*0.8684</f>
        <v>523.7850124</v>
      </c>
      <c r="AL15" s="31">
        <f t="shared" si="4"/>
        <v>94.281302232</v>
      </c>
      <c r="AM15" s="31">
        <f>(1.91)*B15*0.8684</f>
        <v>1205.3365948</v>
      </c>
      <c r="AN15" s="31">
        <f t="shared" si="5"/>
        <v>216.960587064</v>
      </c>
      <c r="AO15" s="31"/>
      <c r="AP15" s="31">
        <f t="shared" si="6"/>
        <v>0</v>
      </c>
      <c r="AQ15" s="126"/>
      <c r="AR15" s="126">
        <f t="shared" si="7"/>
        <v>0</v>
      </c>
      <c r="AS15" s="104">
        <v>237</v>
      </c>
      <c r="AT15" s="104"/>
      <c r="AU15" s="104">
        <f t="shared" si="8"/>
        <v>42.66</v>
      </c>
      <c r="AV15" s="127">
        <v>407</v>
      </c>
      <c r="AW15" s="128">
        <v>0.45</v>
      </c>
      <c r="AX15" s="31">
        <f>AV15*AW15*1.12*1.18</f>
        <v>242.05104</v>
      </c>
      <c r="AY15" s="129"/>
      <c r="AZ15" s="131"/>
      <c r="BA15" s="131">
        <f>AZ15*0.18</f>
        <v>0</v>
      </c>
      <c r="BB15" s="131">
        <f>SUM(AG15:AU15)+AY15</f>
        <v>3477.410245196</v>
      </c>
      <c r="BC15" s="140"/>
      <c r="BD15" s="19">
        <f aca="true" t="shared" si="10" ref="BD15:BD22">AC15+AF15-BB15-BC15</f>
        <v>-2143.6858701959995</v>
      </c>
      <c r="BE15" s="21">
        <f t="shared" si="9"/>
        <v>-3455.7699999999995</v>
      </c>
    </row>
    <row r="16" spans="1:57" ht="12.75">
      <c r="A16" s="13" t="s">
        <v>47</v>
      </c>
      <c r="B16" s="141">
        <v>726.7</v>
      </c>
      <c r="C16" s="115">
        <f t="shared" si="2"/>
        <v>6285.955000000001</v>
      </c>
      <c r="D16" s="116">
        <f>C16*0.125</f>
        <v>785.7443750000001</v>
      </c>
      <c r="E16" s="100">
        <v>574.76</v>
      </c>
      <c r="F16" s="100">
        <v>11.88</v>
      </c>
      <c r="G16" s="100">
        <v>775.95</v>
      </c>
      <c r="H16" s="100">
        <v>16.04</v>
      </c>
      <c r="I16" s="100">
        <v>1249.99</v>
      </c>
      <c r="J16" s="100">
        <v>25.84</v>
      </c>
      <c r="K16" s="100">
        <v>862.14</v>
      </c>
      <c r="L16" s="100">
        <v>17.82</v>
      </c>
      <c r="M16" s="98">
        <v>459.83</v>
      </c>
      <c r="N16" s="139">
        <v>9.5</v>
      </c>
      <c r="O16" s="106">
        <v>0</v>
      </c>
      <c r="P16" s="106">
        <v>0</v>
      </c>
      <c r="Q16" s="100">
        <v>0</v>
      </c>
      <c r="R16" s="106">
        <v>0</v>
      </c>
      <c r="S16" s="100">
        <f>E16+G16+I16+K16+M16+O16+Q16</f>
        <v>3922.6699999999996</v>
      </c>
      <c r="T16" s="117">
        <f>P16+N16+L16+J16+H16+F16+R16</f>
        <v>81.07999999999998</v>
      </c>
      <c r="U16" s="101">
        <v>202.87</v>
      </c>
      <c r="V16" s="101">
        <v>273.88</v>
      </c>
      <c r="W16" s="101">
        <v>441.18</v>
      </c>
      <c r="X16" s="101">
        <v>304.27</v>
      </c>
      <c r="Y16" s="101">
        <v>162.29</v>
      </c>
      <c r="Z16" s="101">
        <v>0</v>
      </c>
      <c r="AA16" s="123">
        <v>0</v>
      </c>
      <c r="AB16" s="119">
        <f>SUM(U16:AA16)</f>
        <v>1384.49</v>
      </c>
      <c r="AC16" s="120">
        <f>D16+T16+AB16</f>
        <v>2251.314375</v>
      </c>
      <c r="AD16" s="121">
        <f>P16+Z16</f>
        <v>0</v>
      </c>
      <c r="AE16" s="121">
        <f>R16+AA16</f>
        <v>0</v>
      </c>
      <c r="AF16" s="121"/>
      <c r="AG16" s="31">
        <f>0.6*B16*0.9</f>
        <v>392.41800000000006</v>
      </c>
      <c r="AH16" s="124">
        <f>B16*0.2*0.9082</f>
        <v>131.997788</v>
      </c>
      <c r="AI16" s="31">
        <f>0.85*B16*0.8675</f>
        <v>535.8504125000001</v>
      </c>
      <c r="AJ16" s="31">
        <f t="shared" si="3"/>
        <v>96.45307425000001</v>
      </c>
      <c r="AK16" s="124">
        <f>0.83*B16*0.838</f>
        <v>505.44891800000005</v>
      </c>
      <c r="AL16" s="31">
        <f t="shared" si="4"/>
        <v>90.98080524000001</v>
      </c>
      <c r="AM16" s="31">
        <f>1.91*B16*0.8381</f>
        <v>1163.2802857</v>
      </c>
      <c r="AN16" s="31">
        <f t="shared" si="5"/>
        <v>209.39045142599997</v>
      </c>
      <c r="AO16" s="31"/>
      <c r="AP16" s="31">
        <f t="shared" si="6"/>
        <v>0</v>
      </c>
      <c r="AQ16" s="126"/>
      <c r="AR16" s="126">
        <f t="shared" si="7"/>
        <v>0</v>
      </c>
      <c r="AS16" s="104">
        <v>1681</v>
      </c>
      <c r="AT16" s="104"/>
      <c r="AU16" s="104">
        <f t="shared" si="8"/>
        <v>302.58</v>
      </c>
      <c r="AV16" s="127">
        <v>383</v>
      </c>
      <c r="AW16" s="128">
        <v>0.45</v>
      </c>
      <c r="AX16" s="31">
        <f>AV16*AW16*1.12*1.18</f>
        <v>227.77776</v>
      </c>
      <c r="AY16" s="129"/>
      <c r="AZ16" s="131"/>
      <c r="BA16" s="131">
        <f>AZ16*0.18</f>
        <v>0</v>
      </c>
      <c r="BB16" s="131">
        <f>SUM(AG16:AU16)</f>
        <v>5109.399735116</v>
      </c>
      <c r="BC16" s="140"/>
      <c r="BD16" s="19">
        <f t="shared" si="10"/>
        <v>-2858.0853601159997</v>
      </c>
      <c r="BE16" s="21">
        <f t="shared" si="9"/>
        <v>-2538.1799999999994</v>
      </c>
    </row>
    <row r="17" spans="1:57" ht="12.75">
      <c r="A17" s="13" t="s">
        <v>48</v>
      </c>
      <c r="B17" s="142">
        <v>726.7</v>
      </c>
      <c r="C17" s="115">
        <f t="shared" si="2"/>
        <v>6285.955000000001</v>
      </c>
      <c r="D17" s="116">
        <f>C17*0.125</f>
        <v>785.7443750000001</v>
      </c>
      <c r="E17" s="101">
        <v>588.29</v>
      </c>
      <c r="F17" s="101">
        <v>11.88</v>
      </c>
      <c r="G17" s="101">
        <v>794.21</v>
      </c>
      <c r="H17" s="101">
        <v>16.04</v>
      </c>
      <c r="I17" s="101">
        <v>1279.42</v>
      </c>
      <c r="J17" s="101">
        <v>25.84</v>
      </c>
      <c r="K17" s="101">
        <v>882.44</v>
      </c>
      <c r="L17" s="101">
        <v>17.82</v>
      </c>
      <c r="M17" s="102">
        <v>470.64</v>
      </c>
      <c r="N17" s="143">
        <v>9.5</v>
      </c>
      <c r="O17" s="123">
        <v>0</v>
      </c>
      <c r="P17" s="123">
        <v>0</v>
      </c>
      <c r="Q17" s="101">
        <v>0</v>
      </c>
      <c r="R17" s="123">
        <v>0</v>
      </c>
      <c r="S17" s="100">
        <f aca="true" t="shared" si="11" ref="S17:S25">E17+G17+I17+K17+M17+O17+Q17</f>
        <v>4015</v>
      </c>
      <c r="T17" s="117">
        <f aca="true" t="shared" si="12" ref="T17:T25">P17+N17+L17+J17+H17+F17+R17</f>
        <v>81.07999999999998</v>
      </c>
      <c r="U17" s="100">
        <v>83.28</v>
      </c>
      <c r="V17" s="100">
        <v>112.43</v>
      </c>
      <c r="W17" s="100">
        <v>181.13</v>
      </c>
      <c r="X17" s="100">
        <v>124.92</v>
      </c>
      <c r="Y17" s="100">
        <v>66.63</v>
      </c>
      <c r="Z17" s="100">
        <v>0</v>
      </c>
      <c r="AA17" s="100">
        <v>0</v>
      </c>
      <c r="AB17" s="119">
        <f aca="true" t="shared" si="13" ref="AB17:AB22">SUM(U17:AA17)</f>
        <v>568.3900000000001</v>
      </c>
      <c r="AC17" s="120">
        <f aca="true" t="shared" si="14" ref="AC17:AC22">D17+T17+AB17</f>
        <v>1435.2143750000002</v>
      </c>
      <c r="AD17" s="121">
        <f aca="true" t="shared" si="15" ref="AD17:AD25">P17+Z17</f>
        <v>0</v>
      </c>
      <c r="AE17" s="121">
        <f aca="true" t="shared" si="16" ref="AE17:AE25">R17+AA17</f>
        <v>0</v>
      </c>
      <c r="AF17" s="121"/>
      <c r="AG17" s="31">
        <f>0.6*B17*0.9</f>
        <v>392.41800000000006</v>
      </c>
      <c r="AH17" s="31">
        <f>B17*0.2*0.9234</f>
        <v>134.206956</v>
      </c>
      <c r="AI17" s="31">
        <f>0.85*B17*0.8934</f>
        <v>551.848713</v>
      </c>
      <c r="AJ17" s="31">
        <f t="shared" si="3"/>
        <v>99.33276833999999</v>
      </c>
      <c r="AK17" s="31">
        <f>0.83*B17*0.8498</f>
        <v>512.5662178</v>
      </c>
      <c r="AL17" s="31">
        <f t="shared" si="4"/>
        <v>92.261919204</v>
      </c>
      <c r="AM17" s="31">
        <f>(1.91)*B17*0.8498</f>
        <v>1179.5198506000002</v>
      </c>
      <c r="AN17" s="31">
        <f t="shared" si="5"/>
        <v>212.313573108</v>
      </c>
      <c r="AO17" s="31"/>
      <c r="AP17" s="31">
        <f t="shared" si="6"/>
        <v>0</v>
      </c>
      <c r="AQ17" s="126"/>
      <c r="AR17" s="126">
        <f t="shared" si="7"/>
        <v>0</v>
      </c>
      <c r="AS17" s="104">
        <v>3363.43</v>
      </c>
      <c r="AT17" s="104"/>
      <c r="AU17" s="104">
        <f t="shared" si="8"/>
        <v>605.4173999999999</v>
      </c>
      <c r="AV17" s="127">
        <v>307</v>
      </c>
      <c r="AW17" s="128">
        <v>0.45</v>
      </c>
      <c r="AX17" s="31">
        <f aca="true" t="shared" si="17" ref="AX17:AX25">AV17*AW17*1.12*1.18</f>
        <v>182.57904</v>
      </c>
      <c r="AY17" s="135"/>
      <c r="AZ17" s="129"/>
      <c r="BA17" s="131">
        <f aca="true" t="shared" si="18" ref="BA17:BA25">AZ17*0.18</f>
        <v>0</v>
      </c>
      <c r="BB17" s="19">
        <f>SUM(AG17:BA17)-AV17-AW17+AX14+AX15+AX16</f>
        <v>8097.840998052</v>
      </c>
      <c r="BC17" s="140"/>
      <c r="BD17" s="19">
        <f>AC17+AF17-BB17-BC17</f>
        <v>-6662.626623052</v>
      </c>
      <c r="BE17" s="21">
        <f t="shared" si="9"/>
        <v>-3446.6099999999997</v>
      </c>
    </row>
    <row r="18" spans="1:57" ht="12.75">
      <c r="A18" s="13" t="s">
        <v>49</v>
      </c>
      <c r="B18" s="141">
        <v>726.7</v>
      </c>
      <c r="C18" s="115">
        <f t="shared" si="2"/>
        <v>6285.955000000001</v>
      </c>
      <c r="D18" s="132">
        <f aca="true" t="shared" si="19" ref="D18:D24">C18-E18-F18-G18-H18-I18-J18-K18-L18-M18-N18</f>
        <v>1288.2650000000008</v>
      </c>
      <c r="E18" s="101">
        <v>643.3</v>
      </c>
      <c r="F18" s="101">
        <v>13.37</v>
      </c>
      <c r="G18" s="101">
        <v>871.88</v>
      </c>
      <c r="H18" s="101">
        <v>18.12</v>
      </c>
      <c r="I18" s="101">
        <v>1693.96</v>
      </c>
      <c r="J18" s="101">
        <v>35.19</v>
      </c>
      <c r="K18" s="101">
        <v>1172.2</v>
      </c>
      <c r="L18" s="101">
        <v>24.35</v>
      </c>
      <c r="M18" s="102">
        <v>514.63</v>
      </c>
      <c r="N18" s="143">
        <v>10.69</v>
      </c>
      <c r="O18" s="123">
        <v>0</v>
      </c>
      <c r="P18" s="123">
        <v>0</v>
      </c>
      <c r="Q18" s="101">
        <v>0</v>
      </c>
      <c r="R18" s="123">
        <v>0</v>
      </c>
      <c r="S18" s="100">
        <f t="shared" si="11"/>
        <v>4895.97</v>
      </c>
      <c r="T18" s="117">
        <f t="shared" si="12"/>
        <v>101.72</v>
      </c>
      <c r="U18" s="101">
        <v>192.27</v>
      </c>
      <c r="V18" s="101">
        <v>259.57</v>
      </c>
      <c r="W18" s="101">
        <v>418.11</v>
      </c>
      <c r="X18" s="101">
        <v>288.38</v>
      </c>
      <c r="Y18" s="101">
        <v>153.79</v>
      </c>
      <c r="Z18" s="101">
        <v>0</v>
      </c>
      <c r="AA18" s="123">
        <v>0</v>
      </c>
      <c r="AB18" s="119">
        <f t="shared" si="13"/>
        <v>1312.12</v>
      </c>
      <c r="AC18" s="120">
        <f t="shared" si="14"/>
        <v>2702.1050000000005</v>
      </c>
      <c r="AD18" s="121">
        <f t="shared" si="15"/>
        <v>0</v>
      </c>
      <c r="AE18" s="121">
        <f t="shared" si="16"/>
        <v>0</v>
      </c>
      <c r="AF18" s="121"/>
      <c r="AG18" s="31">
        <f aca="true" t="shared" si="20" ref="AG18:AG25">0.6*B18</f>
        <v>436.02000000000004</v>
      </c>
      <c r="AH18" s="31">
        <f>B18*0.2*1.01</f>
        <v>146.7934</v>
      </c>
      <c r="AI18" s="31">
        <f>0.85*B18</f>
        <v>617.695</v>
      </c>
      <c r="AJ18" s="31">
        <f t="shared" si="3"/>
        <v>111.1851</v>
      </c>
      <c r="AK18" s="31">
        <f>0.83*B18</f>
        <v>603.1610000000001</v>
      </c>
      <c r="AL18" s="31">
        <f t="shared" si="4"/>
        <v>108.56898000000001</v>
      </c>
      <c r="AM18" s="31">
        <f>(1.91)*B18</f>
        <v>1387.997</v>
      </c>
      <c r="AN18" s="31">
        <f t="shared" si="5"/>
        <v>249.83946</v>
      </c>
      <c r="AO18" s="31"/>
      <c r="AP18" s="31">
        <f t="shared" si="6"/>
        <v>0</v>
      </c>
      <c r="AQ18" s="126"/>
      <c r="AR18" s="126">
        <f t="shared" si="7"/>
        <v>0</v>
      </c>
      <c r="AS18" s="104">
        <v>0</v>
      </c>
      <c r="AT18" s="104"/>
      <c r="AU18" s="104">
        <f t="shared" si="8"/>
        <v>0</v>
      </c>
      <c r="AV18" s="127">
        <v>263</v>
      </c>
      <c r="AW18" s="128">
        <v>0.45</v>
      </c>
      <c r="AX18" s="31">
        <f t="shared" si="17"/>
        <v>156.41136000000003</v>
      </c>
      <c r="AY18" s="129"/>
      <c r="AZ18" s="131"/>
      <c r="BA18" s="131">
        <f t="shared" si="18"/>
        <v>0</v>
      </c>
      <c r="BB18" s="131">
        <f>SUM(AG18:BA18)-AV18-AW18</f>
        <v>3817.6713000000004</v>
      </c>
      <c r="BC18" s="140"/>
      <c r="BD18" s="19">
        <f t="shared" si="10"/>
        <v>-1115.5663</v>
      </c>
      <c r="BE18" s="21">
        <f t="shared" si="9"/>
        <v>-3583.8500000000004</v>
      </c>
    </row>
    <row r="19" spans="1:57" ht="12.75">
      <c r="A19" s="13" t="s">
        <v>50</v>
      </c>
      <c r="B19" s="141">
        <v>726.7</v>
      </c>
      <c r="C19" s="115">
        <f t="shared" si="2"/>
        <v>6285.955000000001</v>
      </c>
      <c r="D19" s="132">
        <f t="shared" si="19"/>
        <v>1276.7450000000008</v>
      </c>
      <c r="E19" s="101">
        <v>644.84</v>
      </c>
      <c r="F19" s="101">
        <v>13.37</v>
      </c>
      <c r="G19" s="101">
        <v>873.88</v>
      </c>
      <c r="H19" s="101">
        <v>18.12</v>
      </c>
      <c r="I19" s="101">
        <v>1697.96</v>
      </c>
      <c r="J19" s="101">
        <v>35.19</v>
      </c>
      <c r="K19" s="101">
        <v>1174.96</v>
      </c>
      <c r="L19" s="101">
        <v>24.35</v>
      </c>
      <c r="M19" s="102">
        <v>515.85</v>
      </c>
      <c r="N19" s="143">
        <v>10.69</v>
      </c>
      <c r="O19" s="123">
        <v>0</v>
      </c>
      <c r="P19" s="123">
        <v>0</v>
      </c>
      <c r="Q19" s="101">
        <v>0</v>
      </c>
      <c r="R19" s="123">
        <v>0</v>
      </c>
      <c r="S19" s="100">
        <f t="shared" si="11"/>
        <v>4907.490000000001</v>
      </c>
      <c r="T19" s="117">
        <f t="shared" si="12"/>
        <v>101.72</v>
      </c>
      <c r="U19" s="101">
        <v>125.71</v>
      </c>
      <c r="V19" s="101">
        <v>170.04</v>
      </c>
      <c r="W19" s="101">
        <v>301.85</v>
      </c>
      <c r="X19" s="101">
        <v>208.55</v>
      </c>
      <c r="Y19" s="101">
        <v>100.55</v>
      </c>
      <c r="Z19" s="101">
        <v>0</v>
      </c>
      <c r="AA19" s="123">
        <v>0</v>
      </c>
      <c r="AB19" s="119">
        <f t="shared" si="13"/>
        <v>906.7</v>
      </c>
      <c r="AC19" s="120">
        <f t="shared" si="14"/>
        <v>2285.165000000001</v>
      </c>
      <c r="AD19" s="121">
        <f t="shared" si="15"/>
        <v>0</v>
      </c>
      <c r="AE19" s="121">
        <f t="shared" si="16"/>
        <v>0</v>
      </c>
      <c r="AF19" s="121"/>
      <c r="AG19" s="31">
        <f t="shared" si="20"/>
        <v>436.02000000000004</v>
      </c>
      <c r="AH19" s="31">
        <f>B19*0.2*1.01045</f>
        <v>146.85880300000002</v>
      </c>
      <c r="AI19" s="31">
        <f>0.85*B19</f>
        <v>617.695</v>
      </c>
      <c r="AJ19" s="31">
        <f t="shared" si="3"/>
        <v>111.1851</v>
      </c>
      <c r="AK19" s="31">
        <f>0.83*B19</f>
        <v>603.1610000000001</v>
      </c>
      <c r="AL19" s="31">
        <f t="shared" si="4"/>
        <v>108.56898000000001</v>
      </c>
      <c r="AM19" s="31">
        <f>(1.91)*B19</f>
        <v>1387.997</v>
      </c>
      <c r="AN19" s="31">
        <f t="shared" si="5"/>
        <v>249.83946</v>
      </c>
      <c r="AO19" s="31"/>
      <c r="AP19" s="31">
        <f t="shared" si="6"/>
        <v>0</v>
      </c>
      <c r="AQ19" s="126"/>
      <c r="AR19" s="126">
        <f t="shared" si="7"/>
        <v>0</v>
      </c>
      <c r="AS19" s="104">
        <v>4043.95</v>
      </c>
      <c r="AT19" s="104"/>
      <c r="AU19" s="104">
        <f t="shared" si="8"/>
        <v>727.911</v>
      </c>
      <c r="AV19" s="127">
        <v>233</v>
      </c>
      <c r="AW19" s="128">
        <v>0.45</v>
      </c>
      <c r="AX19" s="31">
        <f t="shared" si="17"/>
        <v>138.56976</v>
      </c>
      <c r="AY19" s="129"/>
      <c r="AZ19" s="131"/>
      <c r="BA19" s="131">
        <f t="shared" si="18"/>
        <v>0</v>
      </c>
      <c r="BB19" s="131">
        <f>SUM(AG19:BA19)-AV19-AW19</f>
        <v>8571.756103</v>
      </c>
      <c r="BC19" s="140"/>
      <c r="BD19" s="19">
        <f t="shared" si="10"/>
        <v>-6286.591102999999</v>
      </c>
      <c r="BE19" s="21">
        <f t="shared" si="9"/>
        <v>-4000.790000000001</v>
      </c>
    </row>
    <row r="20" spans="1:57" ht="12.75">
      <c r="A20" s="13" t="s">
        <v>51</v>
      </c>
      <c r="B20" s="118">
        <v>726.7</v>
      </c>
      <c r="C20" s="115">
        <f t="shared" si="2"/>
        <v>6285.955000000001</v>
      </c>
      <c r="D20" s="132">
        <f t="shared" si="19"/>
        <v>1288.2650000000008</v>
      </c>
      <c r="E20" s="101">
        <v>643.3</v>
      </c>
      <c r="F20" s="101">
        <v>13.37</v>
      </c>
      <c r="G20" s="101">
        <v>871.88</v>
      </c>
      <c r="H20" s="101">
        <v>18.12</v>
      </c>
      <c r="I20" s="101">
        <v>1693.96</v>
      </c>
      <c r="J20" s="101">
        <v>35.19</v>
      </c>
      <c r="K20" s="101">
        <v>1172.19</v>
      </c>
      <c r="L20" s="101">
        <v>24.35</v>
      </c>
      <c r="M20" s="102">
        <v>514.64</v>
      </c>
      <c r="N20" s="143">
        <v>10.69</v>
      </c>
      <c r="O20" s="123">
        <v>0</v>
      </c>
      <c r="P20" s="123">
        <v>0</v>
      </c>
      <c r="Q20" s="101">
        <v>0</v>
      </c>
      <c r="R20" s="123">
        <v>0</v>
      </c>
      <c r="S20" s="100">
        <f t="shared" si="11"/>
        <v>4895.97</v>
      </c>
      <c r="T20" s="117">
        <f t="shared" si="12"/>
        <v>101.72</v>
      </c>
      <c r="U20" s="101">
        <v>178.44</v>
      </c>
      <c r="V20" s="101">
        <v>241.7</v>
      </c>
      <c r="W20" s="101">
        <v>455.94</v>
      </c>
      <c r="X20" s="101">
        <v>315.35</v>
      </c>
      <c r="Y20" s="101">
        <v>142.77</v>
      </c>
      <c r="Z20" s="101">
        <v>0</v>
      </c>
      <c r="AA20" s="123">
        <v>0</v>
      </c>
      <c r="AB20" s="119">
        <f t="shared" si="13"/>
        <v>1334.1999999999998</v>
      </c>
      <c r="AC20" s="120">
        <f t="shared" si="14"/>
        <v>2724.1850000000004</v>
      </c>
      <c r="AD20" s="121">
        <f t="shared" si="15"/>
        <v>0</v>
      </c>
      <c r="AE20" s="121">
        <f t="shared" si="16"/>
        <v>0</v>
      </c>
      <c r="AF20" s="121"/>
      <c r="AG20" s="31">
        <f t="shared" si="20"/>
        <v>436.02000000000004</v>
      </c>
      <c r="AH20" s="31">
        <f>B20*0.2*0.99426</f>
        <v>144.50574840000002</v>
      </c>
      <c r="AI20" s="31">
        <f>0.85*B20*0.9857</f>
        <v>608.8619615</v>
      </c>
      <c r="AJ20" s="31">
        <f t="shared" si="3"/>
        <v>109.59515307</v>
      </c>
      <c r="AK20" s="31">
        <f>0.83*B20*0.9905</f>
        <v>597.4309705000001</v>
      </c>
      <c r="AL20" s="31">
        <f t="shared" si="4"/>
        <v>107.53757469</v>
      </c>
      <c r="AM20" s="31">
        <f>(1.91)*B20*0.9905</f>
        <v>1374.8110285000002</v>
      </c>
      <c r="AN20" s="31">
        <f t="shared" si="5"/>
        <v>247.46598513000004</v>
      </c>
      <c r="AO20" s="31"/>
      <c r="AP20" s="31">
        <f t="shared" si="6"/>
        <v>0</v>
      </c>
      <c r="AQ20" s="126"/>
      <c r="AR20" s="126">
        <f t="shared" si="7"/>
        <v>0</v>
      </c>
      <c r="AS20" s="104"/>
      <c r="AT20" s="104"/>
      <c r="AU20" s="104">
        <f t="shared" si="8"/>
        <v>0</v>
      </c>
      <c r="AV20" s="127">
        <v>248</v>
      </c>
      <c r="AW20" s="128">
        <v>0.45</v>
      </c>
      <c r="AX20" s="31">
        <f t="shared" si="17"/>
        <v>147.49056000000002</v>
      </c>
      <c r="AY20" s="129"/>
      <c r="AZ20" s="131"/>
      <c r="BA20" s="131">
        <f t="shared" si="18"/>
        <v>0</v>
      </c>
      <c r="BB20" s="131">
        <f>SUM(AG20:BA20)-AV20-AW20</f>
        <v>3773.7189817900007</v>
      </c>
      <c r="BC20" s="140"/>
      <c r="BD20" s="19">
        <f t="shared" si="10"/>
        <v>-1049.5339817900003</v>
      </c>
      <c r="BE20" s="21">
        <f t="shared" si="9"/>
        <v>-3561.7700000000004</v>
      </c>
    </row>
    <row r="21" spans="1:57" ht="12.75">
      <c r="A21" s="13" t="s">
        <v>52</v>
      </c>
      <c r="B21" s="99">
        <v>726.7</v>
      </c>
      <c r="C21" s="115">
        <f>B21*8.65</f>
        <v>6285.955000000001</v>
      </c>
      <c r="D21" s="132">
        <f t="shared" si="19"/>
        <v>1288.2650000000008</v>
      </c>
      <c r="E21" s="101">
        <v>643.3</v>
      </c>
      <c r="F21" s="101">
        <v>13.37</v>
      </c>
      <c r="G21" s="101">
        <v>871.88</v>
      </c>
      <c r="H21" s="101">
        <v>18.12</v>
      </c>
      <c r="I21" s="101">
        <v>1693.96</v>
      </c>
      <c r="J21" s="101">
        <v>35.19</v>
      </c>
      <c r="K21" s="101">
        <v>1172.2</v>
      </c>
      <c r="L21" s="101">
        <v>24.35</v>
      </c>
      <c r="M21" s="102">
        <v>514.63</v>
      </c>
      <c r="N21" s="143">
        <v>10.69</v>
      </c>
      <c r="O21" s="123">
        <v>0</v>
      </c>
      <c r="P21" s="123">
        <v>0</v>
      </c>
      <c r="Q21" s="101">
        <v>0</v>
      </c>
      <c r="R21" s="101">
        <v>0</v>
      </c>
      <c r="S21" s="100">
        <f t="shared" si="11"/>
        <v>4895.97</v>
      </c>
      <c r="T21" s="117">
        <f t="shared" si="12"/>
        <v>101.72</v>
      </c>
      <c r="U21" s="101">
        <v>295.02</v>
      </c>
      <c r="V21" s="101">
        <v>399.02</v>
      </c>
      <c r="W21" s="101">
        <v>705.18</v>
      </c>
      <c r="X21" s="101">
        <v>487.12</v>
      </c>
      <c r="Y21" s="101">
        <v>236.03</v>
      </c>
      <c r="Z21" s="101">
        <v>0</v>
      </c>
      <c r="AA21" s="123">
        <v>0</v>
      </c>
      <c r="AB21" s="119">
        <f t="shared" si="13"/>
        <v>2122.37</v>
      </c>
      <c r="AC21" s="120">
        <f t="shared" si="14"/>
        <v>3512.3550000000005</v>
      </c>
      <c r="AD21" s="121">
        <f t="shared" si="15"/>
        <v>0</v>
      </c>
      <c r="AE21" s="121">
        <f t="shared" si="16"/>
        <v>0</v>
      </c>
      <c r="AF21" s="121"/>
      <c r="AG21" s="31">
        <f t="shared" si="20"/>
        <v>436.02000000000004</v>
      </c>
      <c r="AH21" s="31">
        <f>B21*0.2*0.99875</f>
        <v>145.15832500000002</v>
      </c>
      <c r="AI21" s="31">
        <f>0.85*B21*0.98526</f>
        <v>608.5901757</v>
      </c>
      <c r="AJ21" s="31">
        <f t="shared" si="3"/>
        <v>109.54623162600001</v>
      </c>
      <c r="AK21" s="31">
        <f>0.83*B21*0.99</f>
        <v>597.1293900000001</v>
      </c>
      <c r="AL21" s="31">
        <f t="shared" si="4"/>
        <v>107.48329020000001</v>
      </c>
      <c r="AM21" s="31">
        <f>(1.91)*B21*0.99</f>
        <v>1374.11703</v>
      </c>
      <c r="AN21" s="31">
        <f t="shared" si="5"/>
        <v>247.34106540000002</v>
      </c>
      <c r="AO21" s="31"/>
      <c r="AP21" s="31">
        <f t="shared" si="6"/>
        <v>0</v>
      </c>
      <c r="AQ21" s="126"/>
      <c r="AR21" s="126">
        <f t="shared" si="7"/>
        <v>0</v>
      </c>
      <c r="AS21" s="104"/>
      <c r="AT21" s="104"/>
      <c r="AU21" s="104">
        <f t="shared" si="8"/>
        <v>0</v>
      </c>
      <c r="AV21" s="127">
        <v>293</v>
      </c>
      <c r="AW21" s="128">
        <v>0.45</v>
      </c>
      <c r="AX21" s="31">
        <f t="shared" si="17"/>
        <v>174.25295999999997</v>
      </c>
      <c r="AY21" s="129"/>
      <c r="AZ21" s="131"/>
      <c r="BA21" s="131">
        <f t="shared" si="18"/>
        <v>0</v>
      </c>
      <c r="BB21" s="131">
        <f>SUM(AG21:BA21)-AV21-AW21</f>
        <v>3799.638467926</v>
      </c>
      <c r="BC21" s="140"/>
      <c r="BD21" s="19">
        <f t="shared" si="10"/>
        <v>-287.2834679259995</v>
      </c>
      <c r="BE21" s="21">
        <f>AB21-S21</f>
        <v>-2773.6000000000004</v>
      </c>
    </row>
    <row r="22" spans="1:57" ht="12.75">
      <c r="A22" s="13" t="s">
        <v>53</v>
      </c>
      <c r="B22" s="99">
        <v>726.7</v>
      </c>
      <c r="C22" s="115">
        <f>B22*8.65</f>
        <v>6285.955000000001</v>
      </c>
      <c r="D22" s="132">
        <f t="shared" si="19"/>
        <v>1299.5950000000012</v>
      </c>
      <c r="E22" s="100">
        <v>641.79</v>
      </c>
      <c r="F22" s="100">
        <v>13.37</v>
      </c>
      <c r="G22" s="100">
        <v>869.91</v>
      </c>
      <c r="H22" s="100">
        <v>18.12</v>
      </c>
      <c r="I22" s="100">
        <v>1690.04</v>
      </c>
      <c r="J22" s="100">
        <v>35.19</v>
      </c>
      <c r="K22" s="100">
        <v>1169.48</v>
      </c>
      <c r="L22" s="100">
        <v>24.35</v>
      </c>
      <c r="M22" s="98">
        <v>513.42</v>
      </c>
      <c r="N22" s="139">
        <v>10.69</v>
      </c>
      <c r="O22" s="106">
        <v>0</v>
      </c>
      <c r="P22" s="106">
        <v>0</v>
      </c>
      <c r="Q22" s="106">
        <v>0</v>
      </c>
      <c r="R22" s="106">
        <v>0</v>
      </c>
      <c r="S22" s="100">
        <f t="shared" si="11"/>
        <v>4884.639999999999</v>
      </c>
      <c r="T22" s="117">
        <f t="shared" si="12"/>
        <v>101.72</v>
      </c>
      <c r="U22" s="100">
        <v>136.46</v>
      </c>
      <c r="V22" s="100">
        <v>184.81</v>
      </c>
      <c r="W22" s="100">
        <v>345.08</v>
      </c>
      <c r="X22" s="100">
        <v>238.62</v>
      </c>
      <c r="Y22" s="100">
        <v>109.18</v>
      </c>
      <c r="Z22" s="100">
        <v>0</v>
      </c>
      <c r="AA22" s="106">
        <v>0</v>
      </c>
      <c r="AB22" s="119">
        <f t="shared" si="13"/>
        <v>1014.1499999999999</v>
      </c>
      <c r="AC22" s="120">
        <f t="shared" si="14"/>
        <v>2415.465000000001</v>
      </c>
      <c r="AD22" s="121">
        <f t="shared" si="15"/>
        <v>0</v>
      </c>
      <c r="AE22" s="121">
        <f t="shared" si="16"/>
        <v>0</v>
      </c>
      <c r="AF22" s="121"/>
      <c r="AG22" s="31">
        <f t="shared" si="20"/>
        <v>436.02000000000004</v>
      </c>
      <c r="AH22" s="31">
        <f>B22*0.2*0.9997</f>
        <v>145.296398</v>
      </c>
      <c r="AI22" s="31">
        <f>0.85*B22*0.98509</f>
        <v>608.48516755</v>
      </c>
      <c r="AJ22" s="31">
        <f t="shared" si="3"/>
        <v>109.527330159</v>
      </c>
      <c r="AK22" s="31">
        <f>0.83*B22*0.98981</f>
        <v>597.01478941</v>
      </c>
      <c r="AL22" s="31">
        <f t="shared" si="4"/>
        <v>107.4626620938</v>
      </c>
      <c r="AM22" s="31">
        <f>(1.91)*B22*0.9898</f>
        <v>1373.8394306</v>
      </c>
      <c r="AN22" s="31">
        <f t="shared" si="5"/>
        <v>247.291097508</v>
      </c>
      <c r="AO22" s="31"/>
      <c r="AP22" s="31">
        <f t="shared" si="6"/>
        <v>0</v>
      </c>
      <c r="AQ22" s="126"/>
      <c r="AR22" s="126">
        <f t="shared" si="7"/>
        <v>0</v>
      </c>
      <c r="AS22" s="104"/>
      <c r="AT22" s="104"/>
      <c r="AU22" s="104">
        <f t="shared" si="8"/>
        <v>0</v>
      </c>
      <c r="AV22" s="127">
        <v>349</v>
      </c>
      <c r="AW22" s="128">
        <v>0.45</v>
      </c>
      <c r="AX22" s="31">
        <f t="shared" si="17"/>
        <v>207.55728000000005</v>
      </c>
      <c r="AY22" s="129"/>
      <c r="AZ22" s="131"/>
      <c r="BA22" s="131">
        <f t="shared" si="18"/>
        <v>0</v>
      </c>
      <c r="BB22" s="131">
        <f>SUM(AG22:BA22)-AV22-AW22</f>
        <v>3832.4941553208</v>
      </c>
      <c r="BC22" s="140"/>
      <c r="BD22" s="19">
        <f t="shared" si="10"/>
        <v>-1417.029155320799</v>
      </c>
      <c r="BE22" s="21">
        <f t="shared" si="9"/>
        <v>-3870.49</v>
      </c>
    </row>
    <row r="23" spans="1:57" ht="12.75">
      <c r="A23" s="32" t="s">
        <v>41</v>
      </c>
      <c r="B23" s="99">
        <v>726.7</v>
      </c>
      <c r="C23" s="133">
        <f>B23*8.65</f>
        <v>6285.955000000001</v>
      </c>
      <c r="D23" s="132">
        <f t="shared" si="19"/>
        <v>1306.295000000001</v>
      </c>
      <c r="E23" s="105">
        <f>641.79-0.98</f>
        <v>640.81</v>
      </c>
      <c r="F23" s="100">
        <v>13.37</v>
      </c>
      <c r="G23" s="100">
        <f>869.91-1.34</f>
        <v>868.5699999999999</v>
      </c>
      <c r="H23" s="100">
        <v>18.12</v>
      </c>
      <c r="I23" s="100">
        <f>1690.04-2.13</f>
        <v>1687.9099999999999</v>
      </c>
      <c r="J23" s="100">
        <v>35.19</v>
      </c>
      <c r="K23" s="100">
        <f>1169.48-1.47</f>
        <v>1168.01</v>
      </c>
      <c r="L23" s="100">
        <v>24.35</v>
      </c>
      <c r="M23" s="100">
        <f>513.42-0.78</f>
        <v>512.64</v>
      </c>
      <c r="N23" s="106">
        <v>10.69</v>
      </c>
      <c r="O23" s="106">
        <v>0</v>
      </c>
      <c r="P23" s="106">
        <v>0</v>
      </c>
      <c r="Q23" s="100">
        <v>0</v>
      </c>
      <c r="R23" s="100">
        <v>0</v>
      </c>
      <c r="S23" s="100">
        <f t="shared" si="11"/>
        <v>4877.9400000000005</v>
      </c>
      <c r="T23" s="117">
        <f t="shared" si="12"/>
        <v>101.72</v>
      </c>
      <c r="U23" s="107">
        <f>160.59+94.84</f>
        <v>255.43</v>
      </c>
      <c r="V23" s="100">
        <f>217.56+128.45</f>
        <v>346.01</v>
      </c>
      <c r="W23" s="100">
        <f>416.84+240.33</f>
        <v>657.17</v>
      </c>
      <c r="X23" s="100">
        <f>288.37+166.2</f>
        <v>454.57</v>
      </c>
      <c r="Y23" s="100">
        <f>128.46+75.88</f>
        <v>204.34</v>
      </c>
      <c r="Z23" s="106">
        <v>0</v>
      </c>
      <c r="AA23" s="106">
        <v>0</v>
      </c>
      <c r="AB23" s="106">
        <f>SUM(U23:AA23)</f>
        <v>1917.52</v>
      </c>
      <c r="AC23" s="120">
        <f>AB23+T23+D23</f>
        <v>3325.5350000000008</v>
      </c>
      <c r="AD23" s="121">
        <f t="shared" si="15"/>
        <v>0</v>
      </c>
      <c r="AE23" s="121">
        <f t="shared" si="16"/>
        <v>0</v>
      </c>
      <c r="AF23" s="121"/>
      <c r="AG23" s="31">
        <f t="shared" si="20"/>
        <v>436.02000000000004</v>
      </c>
      <c r="AH23" s="31">
        <f>B23*0.2</f>
        <v>145.34</v>
      </c>
      <c r="AI23" s="31">
        <f>0.847*B23</f>
        <v>615.5149</v>
      </c>
      <c r="AJ23" s="31">
        <f t="shared" si="3"/>
        <v>110.792682</v>
      </c>
      <c r="AK23" s="31">
        <f>(0.83*B23)</f>
        <v>603.1610000000001</v>
      </c>
      <c r="AL23" s="31">
        <f t="shared" si="4"/>
        <v>108.56898000000001</v>
      </c>
      <c r="AM23" s="31">
        <f>(2.25/1.18)*B23</f>
        <v>1385.656779661017</v>
      </c>
      <c r="AN23" s="31">
        <f t="shared" si="5"/>
        <v>249.41822033898305</v>
      </c>
      <c r="AO23" s="31"/>
      <c r="AP23" s="31">
        <f t="shared" si="6"/>
        <v>0</v>
      </c>
      <c r="AQ23" s="126"/>
      <c r="AR23" s="126">
        <f t="shared" si="7"/>
        <v>0</v>
      </c>
      <c r="AS23" s="104">
        <v>292.58</v>
      </c>
      <c r="AT23" s="104"/>
      <c r="AU23" s="104">
        <f t="shared" si="8"/>
        <v>52.66439999999999</v>
      </c>
      <c r="AV23" s="127">
        <v>425</v>
      </c>
      <c r="AW23" s="128">
        <v>0.45</v>
      </c>
      <c r="AX23" s="31">
        <f t="shared" si="17"/>
        <v>252.756</v>
      </c>
      <c r="AY23" s="129"/>
      <c r="AZ23" s="130"/>
      <c r="BA23" s="131">
        <f t="shared" si="18"/>
        <v>0</v>
      </c>
      <c r="BB23" s="131">
        <f>SUM(AG23:AU23)+AX23+AY23+AZ23+BA23</f>
        <v>4252.472962000001</v>
      </c>
      <c r="BC23" s="140"/>
      <c r="BD23" s="19">
        <f>AC23+AF23-BB23-BC23</f>
        <v>-926.937962</v>
      </c>
      <c r="BE23" s="21">
        <f t="shared" si="9"/>
        <v>-2960.4200000000005</v>
      </c>
    </row>
    <row r="24" spans="1:57" ht="12.75">
      <c r="A24" s="13" t="s">
        <v>42</v>
      </c>
      <c r="B24" s="99">
        <v>726.7</v>
      </c>
      <c r="C24" s="133">
        <f>B24*8.65</f>
        <v>6285.955000000001</v>
      </c>
      <c r="D24" s="132">
        <f t="shared" si="19"/>
        <v>1299.585000000001</v>
      </c>
      <c r="E24" s="100">
        <v>641.79</v>
      </c>
      <c r="F24" s="100">
        <v>13.37</v>
      </c>
      <c r="G24" s="100">
        <v>869.91</v>
      </c>
      <c r="H24" s="100">
        <v>18.12</v>
      </c>
      <c r="I24" s="100">
        <v>1690.05</v>
      </c>
      <c r="J24" s="100">
        <v>35.19</v>
      </c>
      <c r="K24" s="100">
        <v>1169.48</v>
      </c>
      <c r="L24" s="100">
        <v>24.35</v>
      </c>
      <c r="M24" s="98">
        <v>513.42</v>
      </c>
      <c r="N24" s="139">
        <v>10.69</v>
      </c>
      <c r="O24" s="106">
        <v>0</v>
      </c>
      <c r="P24" s="106">
        <v>0</v>
      </c>
      <c r="Q24" s="106">
        <v>0</v>
      </c>
      <c r="R24" s="106">
        <v>0</v>
      </c>
      <c r="S24" s="100">
        <f t="shared" si="11"/>
        <v>4884.65</v>
      </c>
      <c r="T24" s="117">
        <f t="shared" si="12"/>
        <v>101.72</v>
      </c>
      <c r="U24" s="100">
        <v>153.67</v>
      </c>
      <c r="V24" s="100">
        <v>208.11</v>
      </c>
      <c r="W24" s="100">
        <v>387.03</v>
      </c>
      <c r="X24" s="100">
        <v>267.55</v>
      </c>
      <c r="Y24" s="100">
        <v>122.95</v>
      </c>
      <c r="Z24" s="100">
        <v>0</v>
      </c>
      <c r="AA24" s="106">
        <v>0</v>
      </c>
      <c r="AB24" s="106">
        <f>SUM(U24:AA24)</f>
        <v>1139.31</v>
      </c>
      <c r="AC24" s="120">
        <f>D24+T24+AB24</f>
        <v>2540.6150000000007</v>
      </c>
      <c r="AD24" s="121">
        <f t="shared" si="15"/>
        <v>0</v>
      </c>
      <c r="AE24" s="121">
        <f t="shared" si="16"/>
        <v>0</v>
      </c>
      <c r="AF24" s="121"/>
      <c r="AG24" s="31">
        <f t="shared" si="20"/>
        <v>436.02000000000004</v>
      </c>
      <c r="AH24" s="31">
        <f>B24*0.2</f>
        <v>145.34</v>
      </c>
      <c r="AI24" s="31">
        <f>0.85*B24</f>
        <v>617.695</v>
      </c>
      <c r="AJ24" s="31">
        <f t="shared" si="3"/>
        <v>111.1851</v>
      </c>
      <c r="AK24" s="31">
        <f>(0.83*B24)</f>
        <v>603.1610000000001</v>
      </c>
      <c r="AL24" s="31">
        <f t="shared" si="4"/>
        <v>108.56898000000001</v>
      </c>
      <c r="AM24" s="31">
        <f>(1.91)*B24</f>
        <v>1387.997</v>
      </c>
      <c r="AN24" s="31">
        <f t="shared" si="5"/>
        <v>249.83946</v>
      </c>
      <c r="AO24" s="31"/>
      <c r="AP24" s="31">
        <f t="shared" si="6"/>
        <v>0</v>
      </c>
      <c r="AQ24" s="126"/>
      <c r="AR24" s="126">
        <f t="shared" si="7"/>
        <v>0</v>
      </c>
      <c r="AS24" s="104">
        <v>775</v>
      </c>
      <c r="AT24" s="104"/>
      <c r="AU24" s="104">
        <f t="shared" si="8"/>
        <v>139.5</v>
      </c>
      <c r="AV24" s="127">
        <v>470</v>
      </c>
      <c r="AW24" s="128">
        <v>0.45</v>
      </c>
      <c r="AX24" s="31">
        <f t="shared" si="17"/>
        <v>279.5184</v>
      </c>
      <c r="AY24" s="129"/>
      <c r="AZ24" s="131"/>
      <c r="BA24" s="131">
        <f t="shared" si="18"/>
        <v>0</v>
      </c>
      <c r="BB24" s="131">
        <f>SUM(AG24:AU24)+AX24+AY24+AZ24+BA24</f>
        <v>4853.82494</v>
      </c>
      <c r="BC24" s="138"/>
      <c r="BD24" s="19">
        <f>AC24+AF24-BB24-BC24</f>
        <v>-2313.2099399999997</v>
      </c>
      <c r="BE24" s="21">
        <f t="shared" si="9"/>
        <v>-3745.3399999999997</v>
      </c>
    </row>
    <row r="25" spans="1:57" ht="12.75">
      <c r="A25" s="13" t="s">
        <v>43</v>
      </c>
      <c r="B25" s="99">
        <v>726.7</v>
      </c>
      <c r="C25" s="133">
        <f>B25*8.65</f>
        <v>6285.955000000001</v>
      </c>
      <c r="D25" s="132">
        <f>C25-E25-F25-G25-H25-I25-J25-K25-L25-M25-N25</f>
        <v>1299.5950000000012</v>
      </c>
      <c r="E25" s="100">
        <v>641.79</v>
      </c>
      <c r="F25" s="100">
        <v>13.37</v>
      </c>
      <c r="G25" s="100">
        <v>869.91</v>
      </c>
      <c r="H25" s="100">
        <v>18.12</v>
      </c>
      <c r="I25" s="100">
        <v>1690.04</v>
      </c>
      <c r="J25" s="100">
        <v>35.19</v>
      </c>
      <c r="K25" s="100">
        <v>1169.47</v>
      </c>
      <c r="L25" s="100">
        <v>24.35</v>
      </c>
      <c r="M25" s="98">
        <v>513.43</v>
      </c>
      <c r="N25" s="139">
        <v>10.69</v>
      </c>
      <c r="O25" s="106">
        <v>0</v>
      </c>
      <c r="P25" s="106">
        <v>0</v>
      </c>
      <c r="Q25" s="106"/>
      <c r="R25" s="106"/>
      <c r="S25" s="100">
        <f t="shared" si="11"/>
        <v>4884.64</v>
      </c>
      <c r="T25" s="117">
        <f t="shared" si="12"/>
        <v>101.72</v>
      </c>
      <c r="U25" s="100">
        <v>169.38</v>
      </c>
      <c r="V25" s="100">
        <v>229.37</v>
      </c>
      <c r="W25" s="100">
        <v>428.49</v>
      </c>
      <c r="X25" s="100">
        <v>296.25</v>
      </c>
      <c r="Y25" s="100">
        <v>135.49</v>
      </c>
      <c r="Z25" s="100">
        <v>0</v>
      </c>
      <c r="AA25" s="106">
        <v>0</v>
      </c>
      <c r="AB25" s="106">
        <f>SUM(U25:AA25)</f>
        <v>1258.98</v>
      </c>
      <c r="AC25" s="120">
        <f>D25+T25+AB25</f>
        <v>2660.295000000001</v>
      </c>
      <c r="AD25" s="121">
        <f t="shared" si="15"/>
        <v>0</v>
      </c>
      <c r="AE25" s="121">
        <f t="shared" si="16"/>
        <v>0</v>
      </c>
      <c r="AF25" s="121"/>
      <c r="AG25" s="31">
        <f t="shared" si="20"/>
        <v>436.02000000000004</v>
      </c>
      <c r="AH25" s="31">
        <f>B25*0.2</f>
        <v>145.34</v>
      </c>
      <c r="AI25" s="31">
        <f>0.85*B25</f>
        <v>617.695</v>
      </c>
      <c r="AJ25" s="31">
        <f t="shared" si="3"/>
        <v>111.1851</v>
      </c>
      <c r="AK25" s="31">
        <f>(0.83*B25)</f>
        <v>603.1610000000001</v>
      </c>
      <c r="AL25" s="31">
        <f t="shared" si="4"/>
        <v>108.56898000000001</v>
      </c>
      <c r="AM25" s="31">
        <f>(1.91)*B25</f>
        <v>1387.997</v>
      </c>
      <c r="AN25" s="31">
        <f t="shared" si="5"/>
        <v>249.83946</v>
      </c>
      <c r="AO25" s="31"/>
      <c r="AP25" s="31">
        <f t="shared" si="6"/>
        <v>0</v>
      </c>
      <c r="AQ25" s="126"/>
      <c r="AR25" s="126">
        <f t="shared" si="7"/>
        <v>0</v>
      </c>
      <c r="AS25" s="104">
        <v>8117</v>
      </c>
      <c r="AT25" s="104"/>
      <c r="AU25" s="104">
        <f t="shared" si="8"/>
        <v>1461.06</v>
      </c>
      <c r="AV25" s="127">
        <v>514</v>
      </c>
      <c r="AW25" s="128">
        <v>0.45</v>
      </c>
      <c r="AX25" s="31">
        <f t="shared" si="17"/>
        <v>305.68608</v>
      </c>
      <c r="AY25" s="129"/>
      <c r="AZ25" s="131"/>
      <c r="BA25" s="131">
        <f t="shared" si="18"/>
        <v>0</v>
      </c>
      <c r="BB25" s="131">
        <f>SUM(AG25:BA25)-AV25-AW25</f>
        <v>13543.55262</v>
      </c>
      <c r="BC25" s="138"/>
      <c r="BD25" s="19">
        <f>AC25+AF25-BB25-BC25</f>
        <v>-10883.25762</v>
      </c>
      <c r="BE25" s="21">
        <f t="shared" si="9"/>
        <v>-3625.6600000000003</v>
      </c>
    </row>
    <row r="26" spans="1:57" s="28" customFormat="1" ht="12.75">
      <c r="A26" s="22" t="s">
        <v>5</v>
      </c>
      <c r="B26" s="23"/>
      <c r="C26" s="23">
        <f aca="true" t="shared" si="21" ref="C26:BB26">SUM(C14:C25)</f>
        <v>75431.46</v>
      </c>
      <c r="D26" s="23">
        <f t="shared" si="21"/>
        <v>13489.587500000007</v>
      </c>
      <c r="E26" s="24">
        <f t="shared" si="21"/>
        <v>7453.49</v>
      </c>
      <c r="F26" s="24">
        <f t="shared" si="21"/>
        <v>154.48000000000002</v>
      </c>
      <c r="G26" s="24">
        <f t="shared" si="21"/>
        <v>10089.880000000001</v>
      </c>
      <c r="H26" s="24">
        <f t="shared" si="21"/>
        <v>209.12000000000003</v>
      </c>
      <c r="I26" s="24">
        <f t="shared" si="21"/>
        <v>18567.27</v>
      </c>
      <c r="J26" s="24">
        <f t="shared" si="21"/>
        <v>384.88</v>
      </c>
      <c r="K26" s="24">
        <f t="shared" si="21"/>
        <v>12836.85</v>
      </c>
      <c r="L26" s="24">
        <f t="shared" si="21"/>
        <v>266.08</v>
      </c>
      <c r="M26" s="24">
        <f t="shared" si="21"/>
        <v>5962.790000000001</v>
      </c>
      <c r="N26" s="24">
        <f t="shared" si="21"/>
        <v>123.51999999999998</v>
      </c>
      <c r="O26" s="24">
        <f t="shared" si="21"/>
        <v>0</v>
      </c>
      <c r="P26" s="24">
        <f t="shared" si="21"/>
        <v>0</v>
      </c>
      <c r="Q26" s="24">
        <f t="shared" si="21"/>
        <v>0</v>
      </c>
      <c r="R26" s="24">
        <f t="shared" si="21"/>
        <v>0</v>
      </c>
      <c r="S26" s="24">
        <f t="shared" si="21"/>
        <v>54910.280000000006</v>
      </c>
      <c r="T26" s="24">
        <f t="shared" si="21"/>
        <v>1138.0800000000002</v>
      </c>
      <c r="U26" s="25">
        <f t="shared" si="21"/>
        <v>1951.31</v>
      </c>
      <c r="V26" s="25">
        <f t="shared" si="21"/>
        <v>2639.31</v>
      </c>
      <c r="W26" s="25">
        <f t="shared" si="21"/>
        <v>4666.5</v>
      </c>
      <c r="X26" s="25">
        <f t="shared" si="21"/>
        <v>3223.76</v>
      </c>
      <c r="Y26" s="25">
        <f t="shared" si="21"/>
        <v>1561.04</v>
      </c>
      <c r="Z26" s="25">
        <f t="shared" si="21"/>
        <v>0</v>
      </c>
      <c r="AA26" s="25">
        <f t="shared" si="21"/>
        <v>0</v>
      </c>
      <c r="AB26" s="25">
        <f t="shared" si="21"/>
        <v>14041.919999999998</v>
      </c>
      <c r="AC26" s="25">
        <f t="shared" si="21"/>
        <v>28669.587500000005</v>
      </c>
      <c r="AD26" s="110">
        <f t="shared" si="21"/>
        <v>0</v>
      </c>
      <c r="AE26" s="110">
        <f t="shared" si="21"/>
        <v>0</v>
      </c>
      <c r="AF26" s="110"/>
      <c r="AG26" s="26">
        <f t="shared" si="21"/>
        <v>5057.832000000001</v>
      </c>
      <c r="AH26" s="26">
        <f t="shared" si="21"/>
        <v>1693.3650603999997</v>
      </c>
      <c r="AI26" s="26">
        <f t="shared" si="21"/>
        <v>7070.99446025</v>
      </c>
      <c r="AJ26" s="26">
        <f t="shared" si="21"/>
        <v>1272.779002845</v>
      </c>
      <c r="AK26" s="26">
        <f t="shared" si="21"/>
        <v>6873.085942710001</v>
      </c>
      <c r="AL26" s="26">
        <f t="shared" si="21"/>
        <v>1237.1554696878002</v>
      </c>
      <c r="AM26" s="26">
        <f t="shared" si="21"/>
        <v>15814.163194061017</v>
      </c>
      <c r="AN26" s="26">
        <f t="shared" si="21"/>
        <v>2846.5493749309835</v>
      </c>
      <c r="AO26" s="26">
        <f t="shared" si="21"/>
        <v>0</v>
      </c>
      <c r="AP26" s="26">
        <f t="shared" si="21"/>
        <v>0</v>
      </c>
      <c r="AQ26" s="26"/>
      <c r="AR26" s="26"/>
      <c r="AS26" s="94">
        <f t="shared" si="21"/>
        <v>18509.96</v>
      </c>
      <c r="AT26" s="94"/>
      <c r="AU26" s="94">
        <f t="shared" si="21"/>
        <v>3331.7927999999997</v>
      </c>
      <c r="AV26" s="26"/>
      <c r="AW26" s="26"/>
      <c r="AX26" s="26">
        <f t="shared" si="21"/>
        <v>2616.768</v>
      </c>
      <c r="AY26" s="26">
        <f t="shared" si="21"/>
        <v>0</v>
      </c>
      <c r="AZ26" s="26">
        <f t="shared" si="21"/>
        <v>0</v>
      </c>
      <c r="BA26" s="26">
        <f t="shared" si="21"/>
        <v>0</v>
      </c>
      <c r="BB26" s="26">
        <f t="shared" si="21"/>
        <v>66324.4453048848</v>
      </c>
      <c r="BC26" s="26">
        <f>SUM(BC14:BC25)</f>
        <v>0</v>
      </c>
      <c r="BD26" s="26">
        <f>SUM(BD14:BD25)</f>
        <v>-37654.8578048848</v>
      </c>
      <c r="BE26" s="27">
        <f>SUM(BE14:BE25)</f>
        <v>-40868.36</v>
      </c>
    </row>
    <row r="27" spans="1:57" s="28" customFormat="1" ht="13.5" thickBot="1">
      <c r="A27" s="146"/>
      <c r="B27" s="147"/>
      <c r="C27" s="147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E27" s="150"/>
      <c r="AF27" s="150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  <c r="AT27" s="152"/>
      <c r="AU27" s="152"/>
      <c r="AV27" s="151"/>
      <c r="AW27" s="151"/>
      <c r="AX27" s="151"/>
      <c r="AY27" s="151"/>
      <c r="AZ27" s="151"/>
      <c r="BA27" s="151"/>
      <c r="BB27" s="151"/>
      <c r="BC27" s="151"/>
      <c r="BD27" s="153"/>
      <c r="BE27" s="154"/>
    </row>
    <row r="28" spans="1:57" s="28" customFormat="1" ht="13.5" thickBot="1">
      <c r="A28" s="156" t="s">
        <v>54</v>
      </c>
      <c r="B28" s="71"/>
      <c r="C28" s="71">
        <f>C12+C26</f>
        <v>92413.14000000001</v>
      </c>
      <c r="D28" s="71">
        <f aca="true" t="shared" si="22" ref="D28:BE28">D12+D26</f>
        <v>17577.134481600006</v>
      </c>
      <c r="E28" s="71">
        <f t="shared" si="22"/>
        <v>9285.05</v>
      </c>
      <c r="F28" s="71">
        <f t="shared" si="22"/>
        <v>190.12</v>
      </c>
      <c r="G28" s="71">
        <f t="shared" si="22"/>
        <v>12562.560000000001</v>
      </c>
      <c r="H28" s="71">
        <f t="shared" si="22"/>
        <v>257.24</v>
      </c>
      <c r="I28" s="71">
        <f t="shared" si="22"/>
        <v>22550.59</v>
      </c>
      <c r="J28" s="71">
        <f t="shared" si="22"/>
        <v>462.4</v>
      </c>
      <c r="K28" s="71">
        <f t="shared" si="22"/>
        <v>15584.2</v>
      </c>
      <c r="L28" s="71">
        <f t="shared" si="22"/>
        <v>319.53999999999996</v>
      </c>
      <c r="M28" s="71">
        <f t="shared" si="22"/>
        <v>7428.110000000001</v>
      </c>
      <c r="N28" s="71">
        <f t="shared" si="22"/>
        <v>152.01999999999998</v>
      </c>
      <c r="O28" s="71">
        <f t="shared" si="22"/>
        <v>0</v>
      </c>
      <c r="P28" s="71">
        <f t="shared" si="22"/>
        <v>0</v>
      </c>
      <c r="Q28" s="71">
        <f t="shared" si="22"/>
        <v>0</v>
      </c>
      <c r="R28" s="71">
        <f t="shared" si="22"/>
        <v>0</v>
      </c>
      <c r="S28" s="71">
        <f t="shared" si="22"/>
        <v>67410.51000000001</v>
      </c>
      <c r="T28" s="71">
        <f t="shared" si="22"/>
        <v>1381.3200000000002</v>
      </c>
      <c r="U28" s="71">
        <f t="shared" si="22"/>
        <v>2105.71</v>
      </c>
      <c r="V28" s="71">
        <f t="shared" si="22"/>
        <v>2847.74</v>
      </c>
      <c r="W28" s="71">
        <f t="shared" si="22"/>
        <v>5002.32</v>
      </c>
      <c r="X28" s="71">
        <f t="shared" si="22"/>
        <v>3455.36</v>
      </c>
      <c r="Y28" s="71">
        <f t="shared" si="22"/>
        <v>1684.57</v>
      </c>
      <c r="Z28" s="71">
        <f t="shared" si="22"/>
        <v>0</v>
      </c>
      <c r="AA28" s="71">
        <f t="shared" si="22"/>
        <v>0</v>
      </c>
      <c r="AB28" s="71">
        <f t="shared" si="22"/>
        <v>15095.699999999999</v>
      </c>
      <c r="AC28" s="157">
        <f t="shared" si="22"/>
        <v>34054.1544816</v>
      </c>
      <c r="AD28" s="157">
        <f t="shared" si="22"/>
        <v>0</v>
      </c>
      <c r="AE28" s="157">
        <f t="shared" si="22"/>
        <v>0</v>
      </c>
      <c r="AF28" s="157"/>
      <c r="AG28" s="71">
        <f t="shared" si="22"/>
        <v>6235.752000000001</v>
      </c>
      <c r="AH28" s="71">
        <f t="shared" si="22"/>
        <v>2097.5879403999998</v>
      </c>
      <c r="AI28" s="71">
        <f t="shared" si="22"/>
        <v>8741.62530825</v>
      </c>
      <c r="AJ28" s="71">
        <f t="shared" si="22"/>
        <v>1573.492555485</v>
      </c>
      <c r="AK28" s="71">
        <f t="shared" si="22"/>
        <v>8817.171703990001</v>
      </c>
      <c r="AL28" s="71">
        <f t="shared" si="22"/>
        <v>1587.0909067182001</v>
      </c>
      <c r="AM28" s="71">
        <f t="shared" si="22"/>
        <v>19384.551467181016</v>
      </c>
      <c r="AN28" s="71">
        <f t="shared" si="22"/>
        <v>3489.219264092583</v>
      </c>
      <c r="AO28" s="71">
        <f t="shared" si="22"/>
        <v>0</v>
      </c>
      <c r="AP28" s="71">
        <f t="shared" si="22"/>
        <v>0</v>
      </c>
      <c r="AQ28" s="71"/>
      <c r="AR28" s="71"/>
      <c r="AS28" s="71">
        <f t="shared" si="22"/>
        <v>19522.96</v>
      </c>
      <c r="AT28" s="71"/>
      <c r="AU28" s="71">
        <f t="shared" si="22"/>
        <v>3514.1328</v>
      </c>
      <c r="AV28" s="71"/>
      <c r="AW28" s="71"/>
      <c r="AX28" s="71">
        <f t="shared" si="22"/>
        <v>2616.768</v>
      </c>
      <c r="AY28" s="71">
        <f t="shared" si="22"/>
        <v>0</v>
      </c>
      <c r="AZ28" s="71">
        <f t="shared" si="22"/>
        <v>0</v>
      </c>
      <c r="BA28" s="71">
        <f t="shared" si="22"/>
        <v>0</v>
      </c>
      <c r="BB28" s="71">
        <f t="shared" si="22"/>
        <v>77580.35194611679</v>
      </c>
      <c r="BC28" s="71">
        <f>BC12+BC26</f>
        <v>0</v>
      </c>
      <c r="BD28" s="71">
        <f>BD12+BD26</f>
        <v>-43526.1974645168</v>
      </c>
      <c r="BE28" s="72">
        <f t="shared" si="22"/>
        <v>-52314.81</v>
      </c>
    </row>
    <row r="29" spans="1:57" ht="12.75">
      <c r="A29" s="8" t="s">
        <v>89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</row>
    <row r="30" spans="1:57" ht="12.75">
      <c r="A30" s="13" t="s">
        <v>45</v>
      </c>
      <c r="B30" s="158">
        <v>726.7</v>
      </c>
      <c r="C30" s="133">
        <f aca="true" t="shared" si="23" ref="C30:C41">B30*8.65</f>
        <v>6285.955000000001</v>
      </c>
      <c r="D30" s="132">
        <f>C30-E30-F30-G30-H30-I30-J30-K30-L30-M30-N30</f>
        <v>1306.0750000000007</v>
      </c>
      <c r="E30" s="159">
        <v>640.81</v>
      </c>
      <c r="F30" s="159">
        <v>13.37</v>
      </c>
      <c r="G30" s="159">
        <v>868.63</v>
      </c>
      <c r="H30" s="159">
        <v>18.12</v>
      </c>
      <c r="I30" s="159">
        <v>1687.98</v>
      </c>
      <c r="J30" s="159">
        <v>35.19</v>
      </c>
      <c r="K30" s="159">
        <v>1168.06</v>
      </c>
      <c r="L30" s="159">
        <v>24.35</v>
      </c>
      <c r="M30" s="160">
        <v>512.68</v>
      </c>
      <c r="N30" s="161">
        <v>10.69</v>
      </c>
      <c r="O30" s="162">
        <v>0</v>
      </c>
      <c r="P30" s="162">
        <v>0</v>
      </c>
      <c r="Q30" s="162"/>
      <c r="R30" s="162"/>
      <c r="S30" s="159">
        <f aca="true" t="shared" si="24" ref="S30:S41">E30+G30+I30+K30+M30+O30+Q30</f>
        <v>4878.16</v>
      </c>
      <c r="T30" s="163">
        <f aca="true" t="shared" si="25" ref="T30:T41">P30+N30+L30+J30+H30+F30+R30</f>
        <v>101.72</v>
      </c>
      <c r="U30" s="159">
        <v>95.06</v>
      </c>
      <c r="V30" s="159">
        <v>128.81</v>
      </c>
      <c r="W30" s="159">
        <v>246.7</v>
      </c>
      <c r="X30" s="159">
        <v>170.67</v>
      </c>
      <c r="Y30" s="159">
        <v>76.05</v>
      </c>
      <c r="Z30" s="159">
        <v>0</v>
      </c>
      <c r="AA30" s="162">
        <v>0</v>
      </c>
      <c r="AB30" s="162">
        <f>SUM(U30:AA30)</f>
        <v>717.29</v>
      </c>
      <c r="AC30" s="164">
        <f aca="true" t="shared" si="26" ref="AC30:AC39">D30+T30+AB30</f>
        <v>2125.085000000001</v>
      </c>
      <c r="AD30" s="165">
        <f aca="true" t="shared" si="27" ref="AD30:AD41">P30+Z30</f>
        <v>0</v>
      </c>
      <c r="AE30" s="165">
        <f aca="true" t="shared" si="28" ref="AE30:AE41">R30+AA30</f>
        <v>0</v>
      </c>
      <c r="AF30" s="165"/>
      <c r="AG30" s="166">
        <f aca="true" t="shared" si="29" ref="AG30:AG41">0.6*B30</f>
        <v>436.02000000000004</v>
      </c>
      <c r="AH30" s="166">
        <f aca="true" t="shared" si="30" ref="AH30:AH41">B30*0.2</f>
        <v>145.34</v>
      </c>
      <c r="AI30" s="166">
        <f aca="true" t="shared" si="31" ref="AI30:AI39">1*B30</f>
        <v>726.7</v>
      </c>
      <c r="AJ30" s="166">
        <v>0</v>
      </c>
      <c r="AK30" s="166">
        <f aca="true" t="shared" si="32" ref="AK30:AK39">0.98*B30</f>
        <v>712.166</v>
      </c>
      <c r="AL30" s="166">
        <v>0</v>
      </c>
      <c r="AM30" s="166">
        <f aca="true" t="shared" si="33" ref="AM30:AM39">2.25*B30</f>
        <v>1635.075</v>
      </c>
      <c r="AN30" s="166">
        <v>0</v>
      </c>
      <c r="AO30" s="166"/>
      <c r="AP30" s="166">
        <v>0</v>
      </c>
      <c r="AQ30" s="167"/>
      <c r="AR30" s="167"/>
      <c r="AS30" s="168">
        <v>0</v>
      </c>
      <c r="AT30" s="168"/>
      <c r="AU30" s="168">
        <f aca="true" t="shared" si="34" ref="AU30:AU39">AT30*0.18</f>
        <v>0</v>
      </c>
      <c r="AV30" s="169">
        <v>508</v>
      </c>
      <c r="AW30" s="170">
        <v>0.45</v>
      </c>
      <c r="AX30" s="166">
        <f aca="true" t="shared" si="35" ref="AX30:AX39">AV30*AW30*1.4</f>
        <v>320.03999999999996</v>
      </c>
      <c r="AY30" s="129"/>
      <c r="AZ30" s="171"/>
      <c r="BA30" s="171">
        <f aca="true" t="shared" si="36" ref="BA30:BA41">AZ30*0.18</f>
        <v>0</v>
      </c>
      <c r="BB30" s="171">
        <f>SUM(AG30:BA30)-AV30-AW30</f>
        <v>3975.3410000000003</v>
      </c>
      <c r="BC30" s="172"/>
      <c r="BD30" s="31">
        <f>AC30+AF30-BB30-BC30</f>
        <v>-1850.2559999999994</v>
      </c>
      <c r="BE30" s="31">
        <f>AB30-S30</f>
        <v>-4160.87</v>
      </c>
    </row>
    <row r="31" spans="1:57" ht="12.75">
      <c r="A31" s="13" t="s">
        <v>46</v>
      </c>
      <c r="B31" s="173">
        <v>726.7</v>
      </c>
      <c r="C31" s="133">
        <f t="shared" si="23"/>
        <v>6285.955000000001</v>
      </c>
      <c r="D31" s="132">
        <f>C31-E31-F31-G31-H31-I31-J31-K31-L31-M31-N31</f>
        <v>1299.5950000000012</v>
      </c>
      <c r="E31" s="174">
        <v>641.79</v>
      </c>
      <c r="F31" s="159">
        <v>13.37</v>
      </c>
      <c r="G31" s="159">
        <v>869.91</v>
      </c>
      <c r="H31" s="159">
        <v>18.12</v>
      </c>
      <c r="I31" s="159">
        <v>1690.04</v>
      </c>
      <c r="J31" s="159">
        <v>35.19</v>
      </c>
      <c r="K31" s="159">
        <v>1169.48</v>
      </c>
      <c r="L31" s="159">
        <v>24.35</v>
      </c>
      <c r="M31" s="160">
        <v>513.42</v>
      </c>
      <c r="N31" s="161">
        <v>10.69</v>
      </c>
      <c r="O31" s="162">
        <v>0</v>
      </c>
      <c r="P31" s="162">
        <v>0</v>
      </c>
      <c r="Q31" s="162">
        <v>0</v>
      </c>
      <c r="R31" s="162">
        <v>0</v>
      </c>
      <c r="S31" s="159">
        <f t="shared" si="24"/>
        <v>4884.639999999999</v>
      </c>
      <c r="T31" s="163">
        <f t="shared" si="25"/>
        <v>101.72</v>
      </c>
      <c r="U31" s="159">
        <v>88.95</v>
      </c>
      <c r="V31" s="159">
        <v>120.53</v>
      </c>
      <c r="W31" s="159">
        <v>229.63</v>
      </c>
      <c r="X31" s="159">
        <v>158.86</v>
      </c>
      <c r="Y31" s="159">
        <v>71.17</v>
      </c>
      <c r="Z31" s="159">
        <v>0</v>
      </c>
      <c r="AA31" s="162">
        <v>0</v>
      </c>
      <c r="AB31" s="162">
        <f>SUM(U31:AA31)</f>
        <v>669.14</v>
      </c>
      <c r="AC31" s="164">
        <f t="shared" si="26"/>
        <v>2070.4550000000013</v>
      </c>
      <c r="AD31" s="165">
        <f t="shared" si="27"/>
        <v>0</v>
      </c>
      <c r="AE31" s="165">
        <f t="shared" si="28"/>
        <v>0</v>
      </c>
      <c r="AF31" s="165"/>
      <c r="AG31" s="166">
        <f t="shared" si="29"/>
        <v>436.02000000000004</v>
      </c>
      <c r="AH31" s="166">
        <f t="shared" si="30"/>
        <v>145.34</v>
      </c>
      <c r="AI31" s="166">
        <f t="shared" si="31"/>
        <v>726.7</v>
      </c>
      <c r="AJ31" s="166">
        <v>0</v>
      </c>
      <c r="AK31" s="166">
        <f t="shared" si="32"/>
        <v>712.166</v>
      </c>
      <c r="AL31" s="166">
        <v>0</v>
      </c>
      <c r="AM31" s="166">
        <f t="shared" si="33"/>
        <v>1635.075</v>
      </c>
      <c r="AN31" s="166">
        <v>0</v>
      </c>
      <c r="AO31" s="166"/>
      <c r="AP31" s="166"/>
      <c r="AQ31" s="167"/>
      <c r="AR31" s="167"/>
      <c r="AS31" s="168">
        <v>1300</v>
      </c>
      <c r="AT31" s="168"/>
      <c r="AU31" s="168">
        <f t="shared" si="34"/>
        <v>0</v>
      </c>
      <c r="AV31" s="169">
        <v>407</v>
      </c>
      <c r="AW31" s="170">
        <v>0.45</v>
      </c>
      <c r="AX31" s="166">
        <f t="shared" si="35"/>
        <v>256.40999999999997</v>
      </c>
      <c r="AY31" s="129"/>
      <c r="AZ31" s="171"/>
      <c r="BA31" s="171">
        <f t="shared" si="36"/>
        <v>0</v>
      </c>
      <c r="BB31" s="171">
        <f>SUM(AG31:BA31)-AV31-AW31</f>
        <v>5211.711</v>
      </c>
      <c r="BC31" s="172"/>
      <c r="BD31" s="31">
        <f aca="true" t="shared" si="37" ref="BD31:BD41">AC31+AF31-BB31-BC31</f>
        <v>-3141.255999999999</v>
      </c>
      <c r="BE31" s="31">
        <f aca="true" t="shared" si="38" ref="BE31:BE41">AB31-S31</f>
        <v>-4215.499999999999</v>
      </c>
    </row>
    <row r="32" spans="1:57" ht="12.75">
      <c r="A32" s="13" t="s">
        <v>47</v>
      </c>
      <c r="B32" s="158">
        <v>726.7</v>
      </c>
      <c r="C32" s="133">
        <f t="shared" si="23"/>
        <v>6285.955000000001</v>
      </c>
      <c r="D32" s="132">
        <f>C32-E32-F32-G32-H32-I32-J32-K32-L32-M32-N32</f>
        <v>1303.6050000000014</v>
      </c>
      <c r="E32" s="159">
        <v>641.21</v>
      </c>
      <c r="F32" s="159">
        <v>13.37</v>
      </c>
      <c r="G32" s="159">
        <v>869.15</v>
      </c>
      <c r="H32" s="159">
        <v>18.12</v>
      </c>
      <c r="I32" s="159">
        <v>1688.73</v>
      </c>
      <c r="J32" s="159">
        <v>35.19</v>
      </c>
      <c r="K32" s="159">
        <v>1168.58</v>
      </c>
      <c r="L32" s="159">
        <v>24.35</v>
      </c>
      <c r="M32" s="160">
        <v>512.96</v>
      </c>
      <c r="N32" s="161">
        <v>10.69</v>
      </c>
      <c r="O32" s="162">
        <v>0</v>
      </c>
      <c r="P32" s="162">
        <v>0</v>
      </c>
      <c r="Q32" s="162">
        <v>0</v>
      </c>
      <c r="R32" s="162">
        <v>0</v>
      </c>
      <c r="S32" s="159">
        <f t="shared" si="24"/>
        <v>4880.63</v>
      </c>
      <c r="T32" s="163">
        <f t="shared" si="25"/>
        <v>101.72</v>
      </c>
      <c r="U32" s="159">
        <v>455.68</v>
      </c>
      <c r="V32" s="159">
        <v>617.09</v>
      </c>
      <c r="W32" s="159">
        <v>1151.59</v>
      </c>
      <c r="X32" s="159">
        <v>796.32</v>
      </c>
      <c r="Y32" s="159">
        <v>364.57</v>
      </c>
      <c r="Z32" s="159">
        <v>0</v>
      </c>
      <c r="AA32" s="162">
        <v>0</v>
      </c>
      <c r="AB32" s="162">
        <f>SUM(U32:AA32)</f>
        <v>3385.25</v>
      </c>
      <c r="AC32" s="164">
        <f t="shared" si="26"/>
        <v>4790.575000000002</v>
      </c>
      <c r="AD32" s="165">
        <f t="shared" si="27"/>
        <v>0</v>
      </c>
      <c r="AE32" s="165">
        <f t="shared" si="28"/>
        <v>0</v>
      </c>
      <c r="AF32" s="165"/>
      <c r="AG32" s="166">
        <f t="shared" si="29"/>
        <v>436.02000000000004</v>
      </c>
      <c r="AH32" s="166">
        <f t="shared" si="30"/>
        <v>145.34</v>
      </c>
      <c r="AI32" s="166">
        <f t="shared" si="31"/>
        <v>726.7</v>
      </c>
      <c r="AJ32" s="166">
        <v>0</v>
      </c>
      <c r="AK32" s="166">
        <f t="shared" si="32"/>
        <v>712.166</v>
      </c>
      <c r="AL32" s="166">
        <v>0</v>
      </c>
      <c r="AM32" s="166">
        <f t="shared" si="33"/>
        <v>1635.075</v>
      </c>
      <c r="AN32" s="166">
        <v>0</v>
      </c>
      <c r="AO32" s="166"/>
      <c r="AP32" s="166"/>
      <c r="AQ32" s="167"/>
      <c r="AR32" s="167"/>
      <c r="AS32" s="168"/>
      <c r="AT32" s="168"/>
      <c r="AU32" s="168">
        <f t="shared" si="34"/>
        <v>0</v>
      </c>
      <c r="AV32" s="169">
        <v>383</v>
      </c>
      <c r="AW32" s="170">
        <v>0.45</v>
      </c>
      <c r="AX32" s="166">
        <f t="shared" si="35"/>
        <v>241.28999999999996</v>
      </c>
      <c r="AY32" s="129"/>
      <c r="AZ32" s="171"/>
      <c r="BA32" s="171">
        <f t="shared" si="36"/>
        <v>0</v>
      </c>
      <c r="BB32" s="171">
        <f>SUM(AG32:BA32)-AV32-AW32</f>
        <v>3896.5910000000003</v>
      </c>
      <c r="BC32" s="172"/>
      <c r="BD32" s="31">
        <f t="shared" si="37"/>
        <v>893.9840000000013</v>
      </c>
      <c r="BE32" s="31">
        <f t="shared" si="38"/>
        <v>-1495.38</v>
      </c>
    </row>
    <row r="33" spans="1:57" ht="12.75">
      <c r="A33" s="13" t="s">
        <v>48</v>
      </c>
      <c r="B33" s="158">
        <v>726.7</v>
      </c>
      <c r="C33" s="133">
        <f t="shared" si="23"/>
        <v>6285.955000000001</v>
      </c>
      <c r="D33" s="116">
        <f aca="true" t="shared" si="39" ref="D33:D40">C33-E33-F33-G33-H33-I33-J33-K33-L33-M33-N33</f>
        <v>1301.5550000000019</v>
      </c>
      <c r="E33" s="159">
        <v>641.53</v>
      </c>
      <c r="F33" s="159">
        <v>13.37</v>
      </c>
      <c r="G33" s="159">
        <v>869.57</v>
      </c>
      <c r="H33" s="159">
        <v>18.12</v>
      </c>
      <c r="I33" s="159">
        <v>1689.36</v>
      </c>
      <c r="J33" s="159">
        <v>35.19</v>
      </c>
      <c r="K33" s="159">
        <v>1169.01</v>
      </c>
      <c r="L33" s="159">
        <v>24.35</v>
      </c>
      <c r="M33" s="160">
        <v>513.21</v>
      </c>
      <c r="N33" s="161">
        <v>10.69</v>
      </c>
      <c r="O33" s="162">
        <v>0</v>
      </c>
      <c r="P33" s="162">
        <v>0</v>
      </c>
      <c r="Q33" s="162"/>
      <c r="R33" s="162"/>
      <c r="S33" s="159">
        <f t="shared" si="24"/>
        <v>4882.68</v>
      </c>
      <c r="T33" s="163">
        <f t="shared" si="25"/>
        <v>101.72</v>
      </c>
      <c r="U33" s="159">
        <v>83.28</v>
      </c>
      <c r="V33" s="159">
        <v>112.43</v>
      </c>
      <c r="W33" s="159">
        <v>181.13</v>
      </c>
      <c r="X33" s="159">
        <v>124.92</v>
      </c>
      <c r="Y33" s="159">
        <v>66.63</v>
      </c>
      <c r="Z33" s="159">
        <v>0</v>
      </c>
      <c r="AA33" s="162">
        <v>0</v>
      </c>
      <c r="AB33" s="162">
        <f>SUM(U33:AA33)</f>
        <v>568.3900000000001</v>
      </c>
      <c r="AC33" s="164">
        <f t="shared" si="26"/>
        <v>1971.665000000002</v>
      </c>
      <c r="AD33" s="165">
        <f t="shared" si="27"/>
        <v>0</v>
      </c>
      <c r="AE33" s="165">
        <f t="shared" si="28"/>
        <v>0</v>
      </c>
      <c r="AF33" s="165"/>
      <c r="AG33" s="166">
        <f t="shared" si="29"/>
        <v>436.02000000000004</v>
      </c>
      <c r="AH33" s="166">
        <f t="shared" si="30"/>
        <v>145.34</v>
      </c>
      <c r="AI33" s="166">
        <f t="shared" si="31"/>
        <v>726.7</v>
      </c>
      <c r="AJ33" s="166">
        <v>0</v>
      </c>
      <c r="AK33" s="166">
        <f t="shared" si="32"/>
        <v>712.166</v>
      </c>
      <c r="AL33" s="166">
        <v>0</v>
      </c>
      <c r="AM33" s="166">
        <f t="shared" si="33"/>
        <v>1635.075</v>
      </c>
      <c r="AN33" s="166">
        <v>0</v>
      </c>
      <c r="AO33" s="166"/>
      <c r="AP33" s="166"/>
      <c r="AQ33" s="167"/>
      <c r="AR33" s="167"/>
      <c r="AS33" s="168">
        <v>195</v>
      </c>
      <c r="AT33" s="168">
        <f>500</f>
        <v>500</v>
      </c>
      <c r="AU33" s="168">
        <v>0</v>
      </c>
      <c r="AV33" s="169">
        <v>307</v>
      </c>
      <c r="AW33" s="170">
        <v>0.45</v>
      </c>
      <c r="AX33" s="166">
        <f t="shared" si="35"/>
        <v>193.41</v>
      </c>
      <c r="AY33" s="129"/>
      <c r="AZ33" s="171"/>
      <c r="BA33" s="171">
        <f t="shared" si="36"/>
        <v>0</v>
      </c>
      <c r="BB33" s="171">
        <f aca="true" t="shared" si="40" ref="BB33:BB41">SUM(AG33:BA33)-AV33-AW33</f>
        <v>4543.711</v>
      </c>
      <c r="BC33" s="172"/>
      <c r="BD33" s="31">
        <f t="shared" si="37"/>
        <v>-2572.0459999999985</v>
      </c>
      <c r="BE33" s="31">
        <f t="shared" si="38"/>
        <v>-4314.29</v>
      </c>
    </row>
    <row r="34" spans="1:57" ht="12.75">
      <c r="A34" s="13" t="s">
        <v>49</v>
      </c>
      <c r="B34" s="158">
        <v>726.7</v>
      </c>
      <c r="C34" s="133">
        <f t="shared" si="23"/>
        <v>6285.955000000001</v>
      </c>
      <c r="D34" s="132">
        <f t="shared" si="39"/>
        <v>1304.7850000000008</v>
      </c>
      <c r="E34" s="159">
        <v>641.06</v>
      </c>
      <c r="F34" s="159">
        <v>13.37</v>
      </c>
      <c r="G34" s="159">
        <v>868.92</v>
      </c>
      <c r="H34" s="159">
        <v>18.12</v>
      </c>
      <c r="I34" s="159">
        <v>1688.31</v>
      </c>
      <c r="J34" s="159">
        <v>35.19</v>
      </c>
      <c r="K34" s="159">
        <v>1168.32</v>
      </c>
      <c r="L34" s="159">
        <v>24.35</v>
      </c>
      <c r="M34" s="160">
        <v>512.84</v>
      </c>
      <c r="N34" s="161">
        <v>10.69</v>
      </c>
      <c r="O34" s="162">
        <v>0</v>
      </c>
      <c r="P34" s="162">
        <v>0</v>
      </c>
      <c r="Q34" s="162"/>
      <c r="R34" s="162"/>
      <c r="S34" s="159">
        <f t="shared" si="24"/>
        <v>4879.45</v>
      </c>
      <c r="T34" s="163">
        <f t="shared" si="25"/>
        <v>101.72</v>
      </c>
      <c r="U34" s="175">
        <v>205.51</v>
      </c>
      <c r="V34" s="175">
        <v>278.41</v>
      </c>
      <c r="W34" s="175">
        <v>527.17</v>
      </c>
      <c r="X34" s="175">
        <v>364.64</v>
      </c>
      <c r="Y34" s="175">
        <v>164.41</v>
      </c>
      <c r="Z34" s="175">
        <v>0</v>
      </c>
      <c r="AA34" s="176">
        <v>0</v>
      </c>
      <c r="AB34" s="162">
        <f aca="true" t="shared" si="41" ref="AB34:AB39">SUM(U34:AA34)</f>
        <v>1540.14</v>
      </c>
      <c r="AC34" s="164">
        <f t="shared" si="26"/>
        <v>2946.645000000001</v>
      </c>
      <c r="AD34" s="165">
        <f t="shared" si="27"/>
        <v>0</v>
      </c>
      <c r="AE34" s="165">
        <f t="shared" si="28"/>
        <v>0</v>
      </c>
      <c r="AF34" s="165"/>
      <c r="AG34" s="166">
        <f t="shared" si="29"/>
        <v>436.02000000000004</v>
      </c>
      <c r="AH34" s="166">
        <f t="shared" si="30"/>
        <v>145.34</v>
      </c>
      <c r="AI34" s="166">
        <f t="shared" si="31"/>
        <v>726.7</v>
      </c>
      <c r="AJ34" s="166">
        <v>0</v>
      </c>
      <c r="AK34" s="166">
        <f t="shared" si="32"/>
        <v>712.166</v>
      </c>
      <c r="AL34" s="166">
        <v>0</v>
      </c>
      <c r="AM34" s="166">
        <f t="shared" si="33"/>
        <v>1635.075</v>
      </c>
      <c r="AN34" s="166">
        <v>0</v>
      </c>
      <c r="AO34" s="166"/>
      <c r="AP34" s="166"/>
      <c r="AQ34" s="167"/>
      <c r="AR34" s="167"/>
      <c r="AS34" s="168">
        <v>322</v>
      </c>
      <c r="AT34" s="168"/>
      <c r="AU34" s="168">
        <f t="shared" si="34"/>
        <v>0</v>
      </c>
      <c r="AV34" s="169">
        <v>263</v>
      </c>
      <c r="AW34" s="170">
        <v>0.45</v>
      </c>
      <c r="AX34" s="166">
        <f t="shared" si="35"/>
        <v>165.69</v>
      </c>
      <c r="AY34" s="129"/>
      <c r="AZ34" s="171"/>
      <c r="BA34" s="171">
        <f t="shared" si="36"/>
        <v>0</v>
      </c>
      <c r="BB34" s="171">
        <f t="shared" si="40"/>
        <v>4142.991</v>
      </c>
      <c r="BC34" s="172"/>
      <c r="BD34" s="31">
        <f t="shared" si="37"/>
        <v>-1196.345999999999</v>
      </c>
      <c r="BE34" s="31">
        <f t="shared" si="38"/>
        <v>-3339.3099999999995</v>
      </c>
    </row>
    <row r="35" spans="1:57" ht="12.75">
      <c r="A35" s="13" t="s">
        <v>50</v>
      </c>
      <c r="B35" s="158">
        <v>726.7</v>
      </c>
      <c r="C35" s="133">
        <f t="shared" si="23"/>
        <v>6285.955000000001</v>
      </c>
      <c r="D35" s="116">
        <f t="shared" si="39"/>
        <v>1301.595000000001</v>
      </c>
      <c r="E35" s="159">
        <v>641.53</v>
      </c>
      <c r="F35" s="159">
        <v>13.37</v>
      </c>
      <c r="G35" s="159">
        <v>869.56</v>
      </c>
      <c r="H35" s="159">
        <v>18.12</v>
      </c>
      <c r="I35" s="159">
        <v>1689.33</v>
      </c>
      <c r="J35" s="159">
        <v>35.19</v>
      </c>
      <c r="K35" s="159">
        <v>1169.01</v>
      </c>
      <c r="L35" s="159">
        <v>24.35</v>
      </c>
      <c r="M35" s="160">
        <v>513.21</v>
      </c>
      <c r="N35" s="161">
        <v>10.69</v>
      </c>
      <c r="O35" s="162">
        <v>0</v>
      </c>
      <c r="P35" s="162">
        <v>0</v>
      </c>
      <c r="Q35" s="162">
        <v>0</v>
      </c>
      <c r="R35" s="162">
        <v>0</v>
      </c>
      <c r="S35" s="159">
        <f t="shared" si="24"/>
        <v>4882.64</v>
      </c>
      <c r="T35" s="163">
        <f t="shared" si="25"/>
        <v>101.72</v>
      </c>
      <c r="U35" s="159">
        <v>63.46</v>
      </c>
      <c r="V35" s="159">
        <v>85.96</v>
      </c>
      <c r="W35" s="159">
        <v>163.52</v>
      </c>
      <c r="X35" s="159">
        <v>113.11</v>
      </c>
      <c r="Y35" s="159">
        <v>50.76</v>
      </c>
      <c r="Z35" s="159">
        <v>0</v>
      </c>
      <c r="AA35" s="162">
        <v>0</v>
      </c>
      <c r="AB35" s="162">
        <f t="shared" si="41"/>
        <v>476.81</v>
      </c>
      <c r="AC35" s="164">
        <f t="shared" si="26"/>
        <v>1880.125000000001</v>
      </c>
      <c r="AD35" s="165">
        <f t="shared" si="27"/>
        <v>0</v>
      </c>
      <c r="AE35" s="165">
        <f t="shared" si="28"/>
        <v>0</v>
      </c>
      <c r="AF35" s="165"/>
      <c r="AG35" s="166">
        <f t="shared" si="29"/>
        <v>436.02000000000004</v>
      </c>
      <c r="AH35" s="166">
        <f t="shared" si="30"/>
        <v>145.34</v>
      </c>
      <c r="AI35" s="166">
        <f t="shared" si="31"/>
        <v>726.7</v>
      </c>
      <c r="AJ35" s="166">
        <v>0</v>
      </c>
      <c r="AK35" s="166">
        <f t="shared" si="32"/>
        <v>712.166</v>
      </c>
      <c r="AL35" s="166">
        <v>0</v>
      </c>
      <c r="AM35" s="166">
        <f t="shared" si="33"/>
        <v>1635.075</v>
      </c>
      <c r="AN35" s="166">
        <v>0</v>
      </c>
      <c r="AO35" s="166"/>
      <c r="AP35" s="166"/>
      <c r="AQ35" s="167"/>
      <c r="AR35" s="167"/>
      <c r="AS35" s="168"/>
      <c r="AT35" s="168"/>
      <c r="AU35" s="168">
        <f t="shared" si="34"/>
        <v>0</v>
      </c>
      <c r="AV35" s="169">
        <v>233</v>
      </c>
      <c r="AW35" s="170">
        <v>0.45</v>
      </c>
      <c r="AX35" s="166">
        <f t="shared" si="35"/>
        <v>146.79</v>
      </c>
      <c r="AY35" s="129"/>
      <c r="AZ35" s="171"/>
      <c r="BA35" s="171">
        <f t="shared" si="36"/>
        <v>0</v>
      </c>
      <c r="BB35" s="171">
        <f t="shared" si="40"/>
        <v>3802.0910000000003</v>
      </c>
      <c r="BC35" s="172"/>
      <c r="BD35" s="31">
        <f t="shared" si="37"/>
        <v>-1921.9659999999994</v>
      </c>
      <c r="BE35" s="31">
        <f t="shared" si="38"/>
        <v>-4405.83</v>
      </c>
    </row>
    <row r="36" spans="1:57" ht="12.75">
      <c r="A36" s="13" t="s">
        <v>51</v>
      </c>
      <c r="B36" s="158">
        <v>726.7</v>
      </c>
      <c r="C36" s="133">
        <f t="shared" si="23"/>
        <v>6285.955000000001</v>
      </c>
      <c r="D36" s="116">
        <f t="shared" si="39"/>
        <v>1301.5950000000012</v>
      </c>
      <c r="E36" s="174">
        <v>654.9</v>
      </c>
      <c r="F36" s="159">
        <v>0</v>
      </c>
      <c r="G36" s="159">
        <v>887.68</v>
      </c>
      <c r="H36" s="159">
        <v>0</v>
      </c>
      <c r="I36" s="159">
        <v>1724.52</v>
      </c>
      <c r="J36" s="159">
        <v>0</v>
      </c>
      <c r="K36" s="159">
        <v>1193.36</v>
      </c>
      <c r="L36" s="159">
        <v>0</v>
      </c>
      <c r="M36" s="160">
        <v>523.9</v>
      </c>
      <c r="N36" s="161">
        <v>0</v>
      </c>
      <c r="O36" s="162">
        <v>0</v>
      </c>
      <c r="P36" s="162">
        <v>0</v>
      </c>
      <c r="Q36" s="162"/>
      <c r="R36" s="162"/>
      <c r="S36" s="159">
        <f t="shared" si="24"/>
        <v>4984.36</v>
      </c>
      <c r="T36" s="163">
        <f t="shared" si="25"/>
        <v>0</v>
      </c>
      <c r="U36" s="174">
        <v>98.44</v>
      </c>
      <c r="V36" s="159">
        <v>133.35</v>
      </c>
      <c r="W36" s="159">
        <v>253.33</v>
      </c>
      <c r="X36" s="159">
        <v>175.24</v>
      </c>
      <c r="Y36" s="159">
        <v>78.74</v>
      </c>
      <c r="Z36" s="159">
        <v>0</v>
      </c>
      <c r="AA36" s="162">
        <v>0</v>
      </c>
      <c r="AB36" s="162">
        <f t="shared" si="41"/>
        <v>739.1</v>
      </c>
      <c r="AC36" s="164">
        <f t="shared" si="26"/>
        <v>2040.695000000001</v>
      </c>
      <c r="AD36" s="165">
        <f t="shared" si="27"/>
        <v>0</v>
      </c>
      <c r="AE36" s="165">
        <f t="shared" si="28"/>
        <v>0</v>
      </c>
      <c r="AF36" s="165"/>
      <c r="AG36" s="166">
        <f t="shared" si="29"/>
        <v>436.02000000000004</v>
      </c>
      <c r="AH36" s="166">
        <f t="shared" si="30"/>
        <v>145.34</v>
      </c>
      <c r="AI36" s="166">
        <f t="shared" si="31"/>
        <v>726.7</v>
      </c>
      <c r="AJ36" s="166">
        <v>0</v>
      </c>
      <c r="AK36" s="166">
        <f t="shared" si="32"/>
        <v>712.166</v>
      </c>
      <c r="AL36" s="166">
        <v>0</v>
      </c>
      <c r="AM36" s="166">
        <f t="shared" si="33"/>
        <v>1635.075</v>
      </c>
      <c r="AN36" s="166">
        <v>0</v>
      </c>
      <c r="AO36" s="166"/>
      <c r="AP36" s="166"/>
      <c r="AQ36" s="167"/>
      <c r="AR36" s="167"/>
      <c r="AS36" s="168"/>
      <c r="AT36" s="168">
        <f>145.76</f>
        <v>145.76</v>
      </c>
      <c r="AU36" s="168">
        <f t="shared" si="34"/>
        <v>26.2368</v>
      </c>
      <c r="AV36" s="169">
        <v>248</v>
      </c>
      <c r="AW36" s="170">
        <v>0.45</v>
      </c>
      <c r="AX36" s="166">
        <f t="shared" si="35"/>
        <v>156.24</v>
      </c>
      <c r="AY36" s="129"/>
      <c r="AZ36" s="171"/>
      <c r="BA36" s="171">
        <f t="shared" si="36"/>
        <v>0</v>
      </c>
      <c r="BB36" s="171">
        <f t="shared" si="40"/>
        <v>3983.537800000001</v>
      </c>
      <c r="BC36" s="172"/>
      <c r="BD36" s="31">
        <f t="shared" si="37"/>
        <v>-1942.8428</v>
      </c>
      <c r="BE36" s="31">
        <f t="shared" si="38"/>
        <v>-4245.259999999999</v>
      </c>
    </row>
    <row r="37" spans="1:57" ht="12.75">
      <c r="A37" s="13" t="s">
        <v>52</v>
      </c>
      <c r="B37" s="158">
        <v>726.7</v>
      </c>
      <c r="C37" s="133">
        <f t="shared" si="23"/>
        <v>6285.955000000001</v>
      </c>
      <c r="D37" s="116">
        <f t="shared" si="39"/>
        <v>1301.5950000000012</v>
      </c>
      <c r="E37" s="174">
        <v>654.9</v>
      </c>
      <c r="F37" s="159">
        <v>0</v>
      </c>
      <c r="G37" s="159">
        <v>887.68</v>
      </c>
      <c r="H37" s="159">
        <v>0</v>
      </c>
      <c r="I37" s="159">
        <v>1724.52</v>
      </c>
      <c r="J37" s="159">
        <v>0</v>
      </c>
      <c r="K37" s="159">
        <v>1193.36</v>
      </c>
      <c r="L37" s="159">
        <v>0</v>
      </c>
      <c r="M37" s="160">
        <v>523.9</v>
      </c>
      <c r="N37" s="161">
        <v>0</v>
      </c>
      <c r="O37" s="162">
        <v>0</v>
      </c>
      <c r="P37" s="162">
        <v>0</v>
      </c>
      <c r="Q37" s="162"/>
      <c r="R37" s="162"/>
      <c r="S37" s="159">
        <f t="shared" si="24"/>
        <v>4984.36</v>
      </c>
      <c r="T37" s="163">
        <f t="shared" si="25"/>
        <v>0</v>
      </c>
      <c r="U37" s="175">
        <v>447.42</v>
      </c>
      <c r="V37" s="175">
        <v>606.4</v>
      </c>
      <c r="W37" s="175">
        <v>1173.17</v>
      </c>
      <c r="X37" s="175">
        <v>811.76</v>
      </c>
      <c r="Y37" s="175">
        <v>357.96</v>
      </c>
      <c r="Z37" s="175">
        <v>0</v>
      </c>
      <c r="AA37" s="176">
        <v>0</v>
      </c>
      <c r="AB37" s="162">
        <f t="shared" si="41"/>
        <v>3396.71</v>
      </c>
      <c r="AC37" s="164">
        <f t="shared" si="26"/>
        <v>4698.305000000001</v>
      </c>
      <c r="AD37" s="165">
        <f t="shared" si="27"/>
        <v>0</v>
      </c>
      <c r="AE37" s="165">
        <f t="shared" si="28"/>
        <v>0</v>
      </c>
      <c r="AF37" s="165"/>
      <c r="AG37" s="166">
        <f t="shared" si="29"/>
        <v>436.02000000000004</v>
      </c>
      <c r="AH37" s="166">
        <f t="shared" si="30"/>
        <v>145.34</v>
      </c>
      <c r="AI37" s="166">
        <f t="shared" si="31"/>
        <v>726.7</v>
      </c>
      <c r="AJ37" s="166">
        <v>0</v>
      </c>
      <c r="AK37" s="166">
        <f t="shared" si="32"/>
        <v>712.166</v>
      </c>
      <c r="AL37" s="166">
        <v>0</v>
      </c>
      <c r="AM37" s="166">
        <f t="shared" si="33"/>
        <v>1635.075</v>
      </c>
      <c r="AN37" s="166">
        <v>0</v>
      </c>
      <c r="AO37" s="166"/>
      <c r="AP37" s="166"/>
      <c r="AQ37" s="167"/>
      <c r="AR37" s="167"/>
      <c r="AS37" s="168"/>
      <c r="AT37" s="168">
        <f>47.8</f>
        <v>47.8</v>
      </c>
      <c r="AU37" s="168">
        <v>0</v>
      </c>
      <c r="AV37" s="169">
        <v>293</v>
      </c>
      <c r="AW37" s="170">
        <v>0.45</v>
      </c>
      <c r="AX37" s="166">
        <f t="shared" si="35"/>
        <v>184.58999999999997</v>
      </c>
      <c r="AY37" s="129"/>
      <c r="AZ37" s="171"/>
      <c r="BA37" s="171">
        <f t="shared" si="36"/>
        <v>0</v>
      </c>
      <c r="BB37" s="171">
        <f t="shared" si="40"/>
        <v>3887.6910000000007</v>
      </c>
      <c r="BC37" s="172"/>
      <c r="BD37" s="31">
        <f t="shared" si="37"/>
        <v>810.6140000000005</v>
      </c>
      <c r="BE37" s="31">
        <f t="shared" si="38"/>
        <v>-1587.6499999999996</v>
      </c>
    </row>
    <row r="38" spans="1:57" ht="12.75">
      <c r="A38" s="13" t="s">
        <v>53</v>
      </c>
      <c r="B38" s="158">
        <v>726.7</v>
      </c>
      <c r="C38" s="133">
        <f t="shared" si="23"/>
        <v>6285.955000000001</v>
      </c>
      <c r="D38" s="116">
        <f t="shared" si="39"/>
        <v>1297.8950000000007</v>
      </c>
      <c r="E38" s="159">
        <v>655.39</v>
      </c>
      <c r="F38" s="159">
        <v>0</v>
      </c>
      <c r="G38" s="159">
        <v>888.32</v>
      </c>
      <c r="H38" s="159">
        <v>0</v>
      </c>
      <c r="I38" s="159">
        <v>1725.8</v>
      </c>
      <c r="J38" s="159">
        <v>0</v>
      </c>
      <c r="K38" s="159">
        <v>1194.25</v>
      </c>
      <c r="L38" s="159">
        <v>0</v>
      </c>
      <c r="M38" s="160">
        <v>524.3</v>
      </c>
      <c r="N38" s="161">
        <v>0</v>
      </c>
      <c r="O38" s="162">
        <v>0</v>
      </c>
      <c r="P38" s="162">
        <v>0</v>
      </c>
      <c r="Q38" s="162"/>
      <c r="R38" s="162"/>
      <c r="S38" s="159">
        <f t="shared" si="24"/>
        <v>4988.06</v>
      </c>
      <c r="T38" s="163">
        <f t="shared" si="25"/>
        <v>0</v>
      </c>
      <c r="U38" s="159">
        <v>230.05</v>
      </c>
      <c r="V38" s="159">
        <v>311.65</v>
      </c>
      <c r="W38" s="159">
        <v>592.6</v>
      </c>
      <c r="X38" s="159">
        <v>409.92</v>
      </c>
      <c r="Y38" s="159">
        <v>184.01</v>
      </c>
      <c r="Z38" s="159">
        <v>0</v>
      </c>
      <c r="AA38" s="162">
        <v>0</v>
      </c>
      <c r="AB38" s="162">
        <f t="shared" si="41"/>
        <v>1728.2300000000002</v>
      </c>
      <c r="AC38" s="164">
        <f t="shared" si="26"/>
        <v>3026.125000000001</v>
      </c>
      <c r="AD38" s="165">
        <f t="shared" si="27"/>
        <v>0</v>
      </c>
      <c r="AE38" s="165">
        <f t="shared" si="28"/>
        <v>0</v>
      </c>
      <c r="AF38" s="165"/>
      <c r="AG38" s="166">
        <f t="shared" si="29"/>
        <v>436.02000000000004</v>
      </c>
      <c r="AH38" s="166">
        <f t="shared" si="30"/>
        <v>145.34</v>
      </c>
      <c r="AI38" s="166">
        <f t="shared" si="31"/>
        <v>726.7</v>
      </c>
      <c r="AJ38" s="166">
        <v>0</v>
      </c>
      <c r="AK38" s="166">
        <f t="shared" si="32"/>
        <v>712.166</v>
      </c>
      <c r="AL38" s="166">
        <v>0</v>
      </c>
      <c r="AM38" s="166">
        <f t="shared" si="33"/>
        <v>1635.075</v>
      </c>
      <c r="AN38" s="166">
        <v>0</v>
      </c>
      <c r="AO38" s="166"/>
      <c r="AP38" s="166"/>
      <c r="AQ38" s="167"/>
      <c r="AR38" s="167"/>
      <c r="AS38" s="168">
        <v>288</v>
      </c>
      <c r="AT38" s="168"/>
      <c r="AU38" s="177">
        <f t="shared" si="34"/>
        <v>0</v>
      </c>
      <c r="AV38" s="169">
        <v>349</v>
      </c>
      <c r="AW38" s="170">
        <v>0.45</v>
      </c>
      <c r="AX38" s="166">
        <f t="shared" si="35"/>
        <v>219.87</v>
      </c>
      <c r="AY38" s="129"/>
      <c r="AZ38" s="171"/>
      <c r="BA38" s="171">
        <f t="shared" si="36"/>
        <v>0</v>
      </c>
      <c r="BB38" s="171">
        <f t="shared" si="40"/>
        <v>4163.171</v>
      </c>
      <c r="BC38" s="172"/>
      <c r="BD38" s="31">
        <f t="shared" si="37"/>
        <v>-1137.0459999999994</v>
      </c>
      <c r="BE38" s="31">
        <f t="shared" si="38"/>
        <v>-3259.83</v>
      </c>
    </row>
    <row r="39" spans="1:57" ht="12.75">
      <c r="A39" s="32" t="s">
        <v>41</v>
      </c>
      <c r="B39" s="158">
        <v>726.7</v>
      </c>
      <c r="C39" s="133">
        <f t="shared" si="23"/>
        <v>6285.955000000001</v>
      </c>
      <c r="D39" s="116">
        <f t="shared" si="39"/>
        <v>1299.7950000000005</v>
      </c>
      <c r="E39" s="101">
        <v>655.14</v>
      </c>
      <c r="F39" s="101">
        <v>0</v>
      </c>
      <c r="G39" s="101">
        <v>887.99</v>
      </c>
      <c r="H39" s="101">
        <v>0</v>
      </c>
      <c r="I39" s="101">
        <v>1725.15</v>
      </c>
      <c r="J39" s="101">
        <v>0</v>
      </c>
      <c r="K39" s="101">
        <v>1193.79</v>
      </c>
      <c r="L39" s="101">
        <v>0</v>
      </c>
      <c r="M39" s="102">
        <v>524.09</v>
      </c>
      <c r="N39" s="143">
        <v>0</v>
      </c>
      <c r="O39" s="123">
        <v>0</v>
      </c>
      <c r="P39" s="123">
        <v>0</v>
      </c>
      <c r="Q39" s="123"/>
      <c r="R39" s="123"/>
      <c r="S39" s="159">
        <f t="shared" si="24"/>
        <v>4986.16</v>
      </c>
      <c r="T39" s="163">
        <f t="shared" si="25"/>
        <v>0</v>
      </c>
      <c r="U39" s="159">
        <v>347.72</v>
      </c>
      <c r="V39" s="159">
        <v>471.08</v>
      </c>
      <c r="W39" s="159">
        <v>900.79</v>
      </c>
      <c r="X39" s="159">
        <v>623.14</v>
      </c>
      <c r="Y39" s="159">
        <v>278.16</v>
      </c>
      <c r="Z39" s="159">
        <v>0</v>
      </c>
      <c r="AA39" s="162">
        <v>0</v>
      </c>
      <c r="AB39" s="162">
        <f t="shared" si="41"/>
        <v>2620.89</v>
      </c>
      <c r="AC39" s="164">
        <f t="shared" si="26"/>
        <v>3920.6850000000004</v>
      </c>
      <c r="AD39" s="165">
        <f t="shared" si="27"/>
        <v>0</v>
      </c>
      <c r="AE39" s="165">
        <f t="shared" si="28"/>
        <v>0</v>
      </c>
      <c r="AF39" s="165"/>
      <c r="AG39" s="166">
        <f t="shared" si="29"/>
        <v>436.02000000000004</v>
      </c>
      <c r="AH39" s="166">
        <f t="shared" si="30"/>
        <v>145.34</v>
      </c>
      <c r="AI39" s="166">
        <f t="shared" si="31"/>
        <v>726.7</v>
      </c>
      <c r="AJ39" s="166">
        <v>0</v>
      </c>
      <c r="AK39" s="166">
        <f t="shared" si="32"/>
        <v>712.166</v>
      </c>
      <c r="AL39" s="166">
        <v>0</v>
      </c>
      <c r="AM39" s="166">
        <f t="shared" si="33"/>
        <v>1635.075</v>
      </c>
      <c r="AN39" s="166">
        <v>0</v>
      </c>
      <c r="AO39" s="166"/>
      <c r="AP39" s="166"/>
      <c r="AQ39" s="167"/>
      <c r="AR39" s="167"/>
      <c r="AS39" s="168"/>
      <c r="AT39" s="168"/>
      <c r="AU39" s="168">
        <f t="shared" si="34"/>
        <v>0</v>
      </c>
      <c r="AV39" s="169">
        <v>425</v>
      </c>
      <c r="AW39" s="170">
        <v>0.45</v>
      </c>
      <c r="AX39" s="166">
        <f t="shared" si="35"/>
        <v>267.75</v>
      </c>
      <c r="AY39" s="129"/>
      <c r="AZ39" s="171"/>
      <c r="BA39" s="171">
        <f t="shared" si="36"/>
        <v>0</v>
      </c>
      <c r="BB39" s="171">
        <f t="shared" si="40"/>
        <v>3923.0510000000004</v>
      </c>
      <c r="BC39" s="172"/>
      <c r="BD39" s="31">
        <f t="shared" si="37"/>
        <v>-2.3659999999999854</v>
      </c>
      <c r="BE39" s="31">
        <f t="shared" si="38"/>
        <v>-2365.27</v>
      </c>
    </row>
    <row r="40" spans="1:57" ht="12.75">
      <c r="A40" s="13" t="s">
        <v>42</v>
      </c>
      <c r="B40" s="158">
        <v>726.7</v>
      </c>
      <c r="C40" s="133">
        <f t="shared" si="23"/>
        <v>6285.955000000001</v>
      </c>
      <c r="D40" s="116">
        <f t="shared" si="39"/>
        <v>1301.5950000000012</v>
      </c>
      <c r="E40" s="159">
        <v>654.9</v>
      </c>
      <c r="F40" s="159">
        <v>0</v>
      </c>
      <c r="G40" s="159">
        <v>887.68</v>
      </c>
      <c r="H40" s="159">
        <v>0</v>
      </c>
      <c r="I40" s="159">
        <v>1724.52</v>
      </c>
      <c r="J40" s="159">
        <v>0</v>
      </c>
      <c r="K40" s="159">
        <v>1193.36</v>
      </c>
      <c r="L40" s="159">
        <v>0</v>
      </c>
      <c r="M40" s="160">
        <v>523.9</v>
      </c>
      <c r="N40" s="161">
        <v>0</v>
      </c>
      <c r="O40" s="162">
        <v>0</v>
      </c>
      <c r="P40" s="162">
        <v>0</v>
      </c>
      <c r="Q40" s="162"/>
      <c r="R40" s="162"/>
      <c r="S40" s="159">
        <f t="shared" si="24"/>
        <v>4984.36</v>
      </c>
      <c r="T40" s="163">
        <f t="shared" si="25"/>
        <v>0</v>
      </c>
      <c r="U40" s="174">
        <v>114.63</v>
      </c>
      <c r="V40" s="159">
        <v>155.29</v>
      </c>
      <c r="W40" s="159">
        <v>293.43</v>
      </c>
      <c r="X40" s="159">
        <v>202.94</v>
      </c>
      <c r="Y40" s="159">
        <v>91.71</v>
      </c>
      <c r="Z40" s="159">
        <v>0</v>
      </c>
      <c r="AA40" s="162">
        <v>0</v>
      </c>
      <c r="AB40" s="162">
        <f>SUM(U40:AA40)</f>
        <v>858</v>
      </c>
      <c r="AC40" s="164">
        <f>D40+T40+AB40</f>
        <v>2159.595000000001</v>
      </c>
      <c r="AD40" s="165">
        <f t="shared" si="27"/>
        <v>0</v>
      </c>
      <c r="AE40" s="165">
        <f t="shared" si="28"/>
        <v>0</v>
      </c>
      <c r="AF40" s="165"/>
      <c r="AG40" s="166">
        <f t="shared" si="29"/>
        <v>436.02000000000004</v>
      </c>
      <c r="AH40" s="166">
        <f t="shared" si="30"/>
        <v>145.34</v>
      </c>
      <c r="AI40" s="166">
        <f>1*B40</f>
        <v>726.7</v>
      </c>
      <c r="AJ40" s="166">
        <v>0</v>
      </c>
      <c r="AK40" s="166">
        <f>0.98*B40</f>
        <v>712.166</v>
      </c>
      <c r="AL40" s="166">
        <v>0</v>
      </c>
      <c r="AM40" s="166">
        <f>2.25*B40</f>
        <v>1635.075</v>
      </c>
      <c r="AN40" s="166">
        <v>0</v>
      </c>
      <c r="AO40" s="166"/>
      <c r="AP40" s="166"/>
      <c r="AQ40" s="167"/>
      <c r="AR40" s="167"/>
      <c r="AS40" s="168"/>
      <c r="AT40" s="168"/>
      <c r="AU40" s="168">
        <f>AT40*0.18</f>
        <v>0</v>
      </c>
      <c r="AV40" s="169">
        <v>470</v>
      </c>
      <c r="AW40" s="170">
        <v>0.45</v>
      </c>
      <c r="AX40" s="166">
        <f>AV40*AW40*1.4</f>
        <v>296.09999999999997</v>
      </c>
      <c r="AY40" s="129"/>
      <c r="AZ40" s="171"/>
      <c r="BA40" s="171">
        <f t="shared" si="36"/>
        <v>0</v>
      </c>
      <c r="BB40" s="171">
        <f t="shared" si="40"/>
        <v>3951.4010000000007</v>
      </c>
      <c r="BC40" s="172"/>
      <c r="BD40" s="31">
        <f t="shared" si="37"/>
        <v>-1791.8059999999996</v>
      </c>
      <c r="BE40" s="31">
        <f t="shared" si="38"/>
        <v>-4126.36</v>
      </c>
    </row>
    <row r="41" spans="1:57" ht="13.5" thickBot="1">
      <c r="A41" s="52" t="s">
        <v>43</v>
      </c>
      <c r="B41" s="99">
        <v>726.7</v>
      </c>
      <c r="C41" s="133">
        <f t="shared" si="23"/>
        <v>6285.955000000001</v>
      </c>
      <c r="D41" s="188">
        <f>C41-E41-F41-G41-H41-I41-J41-K41-L41-M41-N41+20000</f>
        <v>21301.595</v>
      </c>
      <c r="E41" s="100">
        <v>654.9</v>
      </c>
      <c r="F41" s="100">
        <v>0</v>
      </c>
      <c r="G41" s="100">
        <v>887.68</v>
      </c>
      <c r="H41" s="100">
        <v>0</v>
      </c>
      <c r="I41" s="100">
        <v>1724.52</v>
      </c>
      <c r="J41" s="100">
        <v>0</v>
      </c>
      <c r="K41" s="100">
        <v>1193.36</v>
      </c>
      <c r="L41" s="100">
        <v>0</v>
      </c>
      <c r="M41" s="98">
        <v>523.9</v>
      </c>
      <c r="N41" s="139">
        <v>0</v>
      </c>
      <c r="O41" s="106">
        <v>0</v>
      </c>
      <c r="P41" s="106">
        <v>0</v>
      </c>
      <c r="Q41" s="106"/>
      <c r="R41" s="106"/>
      <c r="S41" s="100">
        <f t="shared" si="24"/>
        <v>4984.36</v>
      </c>
      <c r="T41" s="117">
        <f t="shared" si="25"/>
        <v>0</v>
      </c>
      <c r="U41" s="100">
        <v>186.71</v>
      </c>
      <c r="V41" s="100">
        <v>252.99</v>
      </c>
      <c r="W41" s="100">
        <v>490.51</v>
      </c>
      <c r="X41" s="100">
        <v>339.43</v>
      </c>
      <c r="Y41" s="100">
        <v>149.35</v>
      </c>
      <c r="Z41" s="100">
        <v>0</v>
      </c>
      <c r="AA41" s="106">
        <v>0</v>
      </c>
      <c r="AB41" s="106">
        <f>SUM(U41:AA41)</f>
        <v>1418.99</v>
      </c>
      <c r="AC41" s="120">
        <f>D41+T41+AB41</f>
        <v>22720.585000000003</v>
      </c>
      <c r="AD41" s="121">
        <f t="shared" si="27"/>
        <v>0</v>
      </c>
      <c r="AE41" s="121">
        <f t="shared" si="28"/>
        <v>0</v>
      </c>
      <c r="AF41" s="121"/>
      <c r="AG41" s="31">
        <f t="shared" si="29"/>
        <v>436.02000000000004</v>
      </c>
      <c r="AH41" s="31">
        <f t="shared" si="30"/>
        <v>145.34</v>
      </c>
      <c r="AI41" s="31">
        <f>1*B41</f>
        <v>726.7</v>
      </c>
      <c r="AJ41" s="31">
        <v>0</v>
      </c>
      <c r="AK41" s="31">
        <f>0.98*B41</f>
        <v>712.166</v>
      </c>
      <c r="AL41" s="31">
        <v>0</v>
      </c>
      <c r="AM41" s="31">
        <f>2.25*B41</f>
        <v>1635.075</v>
      </c>
      <c r="AN41" s="31">
        <v>0</v>
      </c>
      <c r="AO41" s="31"/>
      <c r="AP41" s="31"/>
      <c r="AQ41" s="126"/>
      <c r="AR41" s="126"/>
      <c r="AS41" s="104"/>
      <c r="AT41" s="104"/>
      <c r="AU41" s="104">
        <f>AT41*0.18</f>
        <v>0</v>
      </c>
      <c r="AV41" s="127">
        <v>514</v>
      </c>
      <c r="AW41" s="128">
        <v>0.45</v>
      </c>
      <c r="AX41" s="31">
        <f>AV41*AW41*1.4</f>
        <v>323.82</v>
      </c>
      <c r="AY41" s="129"/>
      <c r="AZ41" s="131"/>
      <c r="BA41" s="131">
        <f t="shared" si="36"/>
        <v>0</v>
      </c>
      <c r="BB41" s="131">
        <f t="shared" si="40"/>
        <v>3979.121</v>
      </c>
      <c r="BC41" s="138"/>
      <c r="BD41" s="31">
        <f t="shared" si="37"/>
        <v>18741.464000000004</v>
      </c>
      <c r="BE41" s="31">
        <f t="shared" si="38"/>
        <v>-3565.37</v>
      </c>
    </row>
    <row r="42" spans="1:57" s="28" customFormat="1" ht="13.5" thickBot="1">
      <c r="A42" s="144" t="s">
        <v>5</v>
      </c>
      <c r="B42" s="178"/>
      <c r="C42" s="179">
        <f aca="true" t="shared" si="42" ref="C42:BD42">SUM(C30:C41)</f>
        <v>75431.46</v>
      </c>
      <c r="D42" s="179">
        <f t="shared" si="42"/>
        <v>35621.28000000001</v>
      </c>
      <c r="E42" s="179">
        <f t="shared" si="42"/>
        <v>7778.0599999999995</v>
      </c>
      <c r="F42" s="179">
        <f t="shared" si="42"/>
        <v>80.22</v>
      </c>
      <c r="G42" s="179">
        <f t="shared" si="42"/>
        <v>10542.77</v>
      </c>
      <c r="H42" s="179">
        <f t="shared" si="42"/>
        <v>108.72000000000001</v>
      </c>
      <c r="I42" s="179">
        <f t="shared" si="42"/>
        <v>20482.780000000002</v>
      </c>
      <c r="J42" s="179">
        <f t="shared" si="42"/>
        <v>211.14</v>
      </c>
      <c r="K42" s="179">
        <f t="shared" si="42"/>
        <v>14173.940000000002</v>
      </c>
      <c r="L42" s="179">
        <f t="shared" si="42"/>
        <v>146.1</v>
      </c>
      <c r="M42" s="179">
        <f t="shared" si="42"/>
        <v>6222.3099999999995</v>
      </c>
      <c r="N42" s="179">
        <f t="shared" si="42"/>
        <v>64.14</v>
      </c>
      <c r="O42" s="179">
        <f t="shared" si="42"/>
        <v>0</v>
      </c>
      <c r="P42" s="179">
        <f t="shared" si="42"/>
        <v>0</v>
      </c>
      <c r="Q42" s="179">
        <f t="shared" si="42"/>
        <v>0</v>
      </c>
      <c r="R42" s="179">
        <f t="shared" si="42"/>
        <v>0</v>
      </c>
      <c r="S42" s="179">
        <f t="shared" si="42"/>
        <v>59199.86</v>
      </c>
      <c r="T42" s="179">
        <f t="shared" si="42"/>
        <v>610.32</v>
      </c>
      <c r="U42" s="179">
        <f t="shared" si="42"/>
        <v>2416.9100000000003</v>
      </c>
      <c r="V42" s="179">
        <f t="shared" si="42"/>
        <v>3273.99</v>
      </c>
      <c r="W42" s="179">
        <f t="shared" si="42"/>
        <v>6203.570000000001</v>
      </c>
      <c r="X42" s="179">
        <f t="shared" si="42"/>
        <v>4290.95</v>
      </c>
      <c r="Y42" s="179">
        <f t="shared" si="42"/>
        <v>1933.52</v>
      </c>
      <c r="Z42" s="179">
        <f t="shared" si="42"/>
        <v>0</v>
      </c>
      <c r="AA42" s="179">
        <f t="shared" si="42"/>
        <v>0</v>
      </c>
      <c r="AB42" s="179">
        <f t="shared" si="42"/>
        <v>18118.940000000002</v>
      </c>
      <c r="AC42" s="179">
        <f t="shared" si="42"/>
        <v>54350.540000000015</v>
      </c>
      <c r="AD42" s="179">
        <f t="shared" si="42"/>
        <v>0</v>
      </c>
      <c r="AE42" s="179">
        <f t="shared" si="42"/>
        <v>0</v>
      </c>
      <c r="AF42" s="179">
        <f t="shared" si="42"/>
        <v>0</v>
      </c>
      <c r="AG42" s="179">
        <f t="shared" si="42"/>
        <v>5232.240000000002</v>
      </c>
      <c r="AH42" s="179">
        <f t="shared" si="42"/>
        <v>1744.0799999999997</v>
      </c>
      <c r="AI42" s="179">
        <f t="shared" si="42"/>
        <v>8720.4</v>
      </c>
      <c r="AJ42" s="179">
        <f t="shared" si="42"/>
        <v>0</v>
      </c>
      <c r="AK42" s="179">
        <f t="shared" si="42"/>
        <v>8545.992</v>
      </c>
      <c r="AL42" s="179">
        <f t="shared" si="42"/>
        <v>0</v>
      </c>
      <c r="AM42" s="179">
        <f t="shared" si="42"/>
        <v>19620.900000000005</v>
      </c>
      <c r="AN42" s="179">
        <f t="shared" si="42"/>
        <v>0</v>
      </c>
      <c r="AO42" s="179">
        <f t="shared" si="42"/>
        <v>0</v>
      </c>
      <c r="AP42" s="179">
        <f t="shared" si="42"/>
        <v>0</v>
      </c>
      <c r="AQ42" s="179">
        <f t="shared" si="42"/>
        <v>0</v>
      </c>
      <c r="AR42" s="179">
        <f t="shared" si="42"/>
        <v>0</v>
      </c>
      <c r="AS42" s="179">
        <f t="shared" si="42"/>
        <v>2105</v>
      </c>
      <c r="AT42" s="179">
        <f t="shared" si="42"/>
        <v>693.56</v>
      </c>
      <c r="AU42" s="179">
        <f t="shared" si="42"/>
        <v>26.2368</v>
      </c>
      <c r="AV42" s="179">
        <f t="shared" si="42"/>
        <v>4400</v>
      </c>
      <c r="AW42" s="179">
        <f t="shared" si="42"/>
        <v>5.400000000000001</v>
      </c>
      <c r="AX42" s="179">
        <f t="shared" si="42"/>
        <v>2772</v>
      </c>
      <c r="AY42" s="179">
        <f t="shared" si="42"/>
        <v>0</v>
      </c>
      <c r="AZ42" s="179">
        <f t="shared" si="42"/>
        <v>0</v>
      </c>
      <c r="BA42" s="179">
        <f t="shared" si="42"/>
        <v>0</v>
      </c>
      <c r="BB42" s="179">
        <f t="shared" si="42"/>
        <v>49460.408800000005</v>
      </c>
      <c r="BC42" s="179">
        <f t="shared" si="42"/>
        <v>0</v>
      </c>
      <c r="BD42" s="179">
        <f t="shared" si="42"/>
        <v>4890.131200000011</v>
      </c>
      <c r="BE42" s="179">
        <f>SUM(BE30:BE41)</f>
        <v>-41080.92</v>
      </c>
    </row>
    <row r="43" spans="1:57" s="28" customFormat="1" ht="13.5" thickBot="1">
      <c r="A43" s="54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1"/>
    </row>
    <row r="44" spans="1:57" s="28" customFormat="1" ht="13.5" thickBot="1">
      <c r="A44" s="145" t="s">
        <v>54</v>
      </c>
      <c r="B44" s="182"/>
      <c r="C44" s="183">
        <f>C42+C28</f>
        <v>167844.60000000003</v>
      </c>
      <c r="D44" s="183">
        <f aca="true" t="shared" si="43" ref="D44:BE44">D42+D28</f>
        <v>53198.41448160002</v>
      </c>
      <c r="E44" s="183">
        <f t="shared" si="43"/>
        <v>17063.11</v>
      </c>
      <c r="F44" s="183">
        <f t="shared" si="43"/>
        <v>270.34000000000003</v>
      </c>
      <c r="G44" s="183">
        <f t="shared" si="43"/>
        <v>23105.33</v>
      </c>
      <c r="H44" s="183">
        <f t="shared" si="43"/>
        <v>365.96000000000004</v>
      </c>
      <c r="I44" s="183">
        <f t="shared" si="43"/>
        <v>43033.37</v>
      </c>
      <c r="J44" s="183">
        <f t="shared" si="43"/>
        <v>673.54</v>
      </c>
      <c r="K44" s="183">
        <f t="shared" si="43"/>
        <v>29758.140000000003</v>
      </c>
      <c r="L44" s="183">
        <f t="shared" si="43"/>
        <v>465.64</v>
      </c>
      <c r="M44" s="183">
        <f t="shared" si="43"/>
        <v>13650.42</v>
      </c>
      <c r="N44" s="183">
        <f t="shared" si="43"/>
        <v>216.15999999999997</v>
      </c>
      <c r="O44" s="183">
        <f t="shared" si="43"/>
        <v>0</v>
      </c>
      <c r="P44" s="183">
        <f t="shared" si="43"/>
        <v>0</v>
      </c>
      <c r="Q44" s="183">
        <f t="shared" si="43"/>
        <v>0</v>
      </c>
      <c r="R44" s="183">
        <f t="shared" si="43"/>
        <v>0</v>
      </c>
      <c r="S44" s="183">
        <f t="shared" si="43"/>
        <v>126610.37000000001</v>
      </c>
      <c r="T44" s="183">
        <f t="shared" si="43"/>
        <v>1991.6400000000003</v>
      </c>
      <c r="U44" s="183">
        <f t="shared" si="43"/>
        <v>4522.620000000001</v>
      </c>
      <c r="V44" s="183">
        <f t="shared" si="43"/>
        <v>6121.73</v>
      </c>
      <c r="W44" s="183">
        <f t="shared" si="43"/>
        <v>11205.89</v>
      </c>
      <c r="X44" s="183">
        <f t="shared" si="43"/>
        <v>7746.3099999999995</v>
      </c>
      <c r="Y44" s="183">
        <f t="shared" si="43"/>
        <v>3618.09</v>
      </c>
      <c r="Z44" s="183">
        <f t="shared" si="43"/>
        <v>0</v>
      </c>
      <c r="AA44" s="183">
        <f t="shared" si="43"/>
        <v>0</v>
      </c>
      <c r="AB44" s="183">
        <f t="shared" si="43"/>
        <v>33214.64</v>
      </c>
      <c r="AC44" s="183">
        <f t="shared" si="43"/>
        <v>88404.69448160002</v>
      </c>
      <c r="AD44" s="183">
        <f t="shared" si="43"/>
        <v>0</v>
      </c>
      <c r="AE44" s="183">
        <f t="shared" si="43"/>
        <v>0</v>
      </c>
      <c r="AF44" s="183">
        <f t="shared" si="43"/>
        <v>0</v>
      </c>
      <c r="AG44" s="183">
        <f t="shared" si="43"/>
        <v>11467.992000000002</v>
      </c>
      <c r="AH44" s="183">
        <f t="shared" si="43"/>
        <v>3841.6679403999997</v>
      </c>
      <c r="AI44" s="183">
        <f t="shared" si="43"/>
        <v>17462.02530825</v>
      </c>
      <c r="AJ44" s="183">
        <f t="shared" si="43"/>
        <v>1573.492555485</v>
      </c>
      <c r="AK44" s="183">
        <f t="shared" si="43"/>
        <v>17363.16370399</v>
      </c>
      <c r="AL44" s="183">
        <f t="shared" si="43"/>
        <v>1587.0909067182001</v>
      </c>
      <c r="AM44" s="183">
        <f t="shared" si="43"/>
        <v>39005.45146718102</v>
      </c>
      <c r="AN44" s="183">
        <f t="shared" si="43"/>
        <v>3489.219264092583</v>
      </c>
      <c r="AO44" s="183">
        <f t="shared" si="43"/>
        <v>0</v>
      </c>
      <c r="AP44" s="183">
        <f t="shared" si="43"/>
        <v>0</v>
      </c>
      <c r="AQ44" s="183">
        <f t="shared" si="43"/>
        <v>0</v>
      </c>
      <c r="AR44" s="183">
        <f t="shared" si="43"/>
        <v>0</v>
      </c>
      <c r="AS44" s="183">
        <f t="shared" si="43"/>
        <v>21627.96</v>
      </c>
      <c r="AT44" s="183">
        <f t="shared" si="43"/>
        <v>693.56</v>
      </c>
      <c r="AU44" s="183">
        <f t="shared" si="43"/>
        <v>3540.3696</v>
      </c>
      <c r="AV44" s="183">
        <f t="shared" si="43"/>
        <v>4400</v>
      </c>
      <c r="AW44" s="183">
        <f t="shared" si="43"/>
        <v>5.400000000000001</v>
      </c>
      <c r="AX44" s="183">
        <f t="shared" si="43"/>
        <v>5388.768</v>
      </c>
      <c r="AY44" s="183">
        <f t="shared" si="43"/>
        <v>0</v>
      </c>
      <c r="AZ44" s="183">
        <f t="shared" si="43"/>
        <v>0</v>
      </c>
      <c r="BA44" s="183">
        <f t="shared" si="43"/>
        <v>0</v>
      </c>
      <c r="BB44" s="183">
        <f t="shared" si="43"/>
        <v>127040.7607461168</v>
      </c>
      <c r="BC44" s="183">
        <f t="shared" si="43"/>
        <v>0</v>
      </c>
      <c r="BD44" s="183">
        <f t="shared" si="43"/>
        <v>-38636.06626451679</v>
      </c>
      <c r="BE44" s="183">
        <f t="shared" si="43"/>
        <v>-93395.73</v>
      </c>
    </row>
  </sheetData>
  <sheetProtection/>
  <mergeCells count="66">
    <mergeCell ref="AV5:AX5"/>
    <mergeCell ref="AT5:AT6"/>
    <mergeCell ref="AU5:AU6"/>
    <mergeCell ref="AE3:AE6"/>
    <mergeCell ref="AG3:BB4"/>
    <mergeCell ref="AN5:AN6"/>
    <mergeCell ref="BB5:BB6"/>
    <mergeCell ref="AY5:AY6"/>
    <mergeCell ref="AQ5:AQ6"/>
    <mergeCell ref="AR5:AR6"/>
    <mergeCell ref="AZ5:AZ6"/>
    <mergeCell ref="AO5:AO6"/>
    <mergeCell ref="AP5:AP6"/>
    <mergeCell ref="K5:K6"/>
    <mergeCell ref="L5:L6"/>
    <mergeCell ref="M5:M6"/>
    <mergeCell ref="N5:N6"/>
    <mergeCell ref="AS5:AS6"/>
    <mergeCell ref="P5:P6"/>
    <mergeCell ref="Q5:Q6"/>
    <mergeCell ref="Y5:Y6"/>
    <mergeCell ref="Z5:Z6"/>
    <mergeCell ref="U5:U6"/>
    <mergeCell ref="V5:V6"/>
    <mergeCell ref="W5:W6"/>
    <mergeCell ref="X5:X6"/>
    <mergeCell ref="AG5:AG6"/>
    <mergeCell ref="O4:P4"/>
    <mergeCell ref="Q4:R4"/>
    <mergeCell ref="S3:T4"/>
    <mergeCell ref="U3:AB4"/>
    <mergeCell ref="AC3:AC6"/>
    <mergeCell ref="AD3:AD6"/>
    <mergeCell ref="T5:T6"/>
    <mergeCell ref="R5:R6"/>
    <mergeCell ref="S5:S6"/>
    <mergeCell ref="AL5:AL6"/>
    <mergeCell ref="AM5:AM6"/>
    <mergeCell ref="E5:E6"/>
    <mergeCell ref="F5:F6"/>
    <mergeCell ref="G5:G6"/>
    <mergeCell ref="H5:H6"/>
    <mergeCell ref="I5:I6"/>
    <mergeCell ref="J5:J6"/>
    <mergeCell ref="AA5:AA6"/>
    <mergeCell ref="AB5:AB6"/>
    <mergeCell ref="E4:F4"/>
    <mergeCell ref="G4:H4"/>
    <mergeCell ref="K4:L4"/>
    <mergeCell ref="O5:O6"/>
    <mergeCell ref="BC3:BC6"/>
    <mergeCell ref="BE3:BE6"/>
    <mergeCell ref="AH5:AH6"/>
    <mergeCell ref="AI5:AI6"/>
    <mergeCell ref="AJ5:AJ6"/>
    <mergeCell ref="AK5:AK6"/>
    <mergeCell ref="I4:J4"/>
    <mergeCell ref="M4:N4"/>
    <mergeCell ref="BA5:BA6"/>
    <mergeCell ref="BD3:BD6"/>
    <mergeCell ref="A1:N1"/>
    <mergeCell ref="A3:A6"/>
    <mergeCell ref="B3:B6"/>
    <mergeCell ref="C3:C6"/>
    <mergeCell ref="D3:D6"/>
    <mergeCell ref="E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8">
      <selection activeCell="P35" sqref="P35:P42"/>
    </sheetView>
  </sheetViews>
  <sheetFormatPr defaultColWidth="9.00390625" defaultRowHeight="12.75"/>
  <cols>
    <col min="1" max="1" width="10.125" style="2" bestFit="1" customWidth="1"/>
    <col min="2" max="2" width="8.12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3" t="s">
        <v>55</v>
      </c>
    </row>
    <row r="2" ht="18.75">
      <c r="E2" s="33" t="s">
        <v>56</v>
      </c>
    </row>
    <row r="6" spans="1:15" ht="12.75">
      <c r="A6" s="338" t="s">
        <v>88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2.75">
      <c r="A7" s="349" t="s">
        <v>90</v>
      </c>
      <c r="B7" s="349"/>
      <c r="C7" s="349"/>
      <c r="D7" s="349"/>
      <c r="E7" s="349"/>
      <c r="F7" s="349"/>
      <c r="G7" s="349"/>
      <c r="H7" s="111"/>
      <c r="I7" s="111"/>
      <c r="J7" s="111"/>
      <c r="K7" s="111"/>
      <c r="L7" s="111"/>
      <c r="M7" s="111"/>
      <c r="N7" s="111"/>
      <c r="O7" s="111"/>
    </row>
    <row r="8" spans="1:15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5" ht="13.5" thickBot="1">
      <c r="A9" s="35" t="s">
        <v>57</v>
      </c>
      <c r="D9" s="4"/>
      <c r="E9" s="35">
        <v>8.65</v>
      </c>
    </row>
    <row r="10" spans="1:16" ht="12.75" customHeight="1">
      <c r="A10" s="290" t="s">
        <v>58</v>
      </c>
      <c r="B10" s="340" t="s">
        <v>1</v>
      </c>
      <c r="C10" s="343" t="s">
        <v>59</v>
      </c>
      <c r="D10" s="346" t="s">
        <v>3</v>
      </c>
      <c r="E10" s="325" t="s">
        <v>60</v>
      </c>
      <c r="F10" s="326"/>
      <c r="G10" s="361" t="s">
        <v>75</v>
      </c>
      <c r="H10" s="361"/>
      <c r="I10" s="331" t="s">
        <v>10</v>
      </c>
      <c r="J10" s="318"/>
      <c r="K10" s="318"/>
      <c r="L10" s="318"/>
      <c r="M10" s="318"/>
      <c r="N10" s="332"/>
      <c r="O10" s="335" t="s">
        <v>61</v>
      </c>
      <c r="P10" s="335" t="s">
        <v>12</v>
      </c>
    </row>
    <row r="11" spans="1:16" ht="12.75">
      <c r="A11" s="291"/>
      <c r="B11" s="341"/>
      <c r="C11" s="344"/>
      <c r="D11" s="347"/>
      <c r="E11" s="327"/>
      <c r="F11" s="328"/>
      <c r="G11" s="362"/>
      <c r="H11" s="362"/>
      <c r="I11" s="333"/>
      <c r="J11" s="284"/>
      <c r="K11" s="284"/>
      <c r="L11" s="284"/>
      <c r="M11" s="284"/>
      <c r="N11" s="334"/>
      <c r="O11" s="336"/>
      <c r="P11" s="336"/>
    </row>
    <row r="12" spans="1:16" ht="26.25" customHeight="1">
      <c r="A12" s="291"/>
      <c r="B12" s="341"/>
      <c r="C12" s="344"/>
      <c r="D12" s="347"/>
      <c r="E12" s="355" t="s">
        <v>62</v>
      </c>
      <c r="F12" s="356"/>
      <c r="G12" s="37" t="s">
        <v>63</v>
      </c>
      <c r="H12" s="357" t="s">
        <v>7</v>
      </c>
      <c r="I12" s="359" t="s">
        <v>64</v>
      </c>
      <c r="J12" s="323" t="s">
        <v>32</v>
      </c>
      <c r="K12" s="323" t="s">
        <v>65</v>
      </c>
      <c r="L12" s="323" t="s">
        <v>37</v>
      </c>
      <c r="M12" s="323" t="s">
        <v>66</v>
      </c>
      <c r="N12" s="329" t="s">
        <v>39</v>
      </c>
      <c r="O12" s="336"/>
      <c r="P12" s="336"/>
    </row>
    <row r="13" spans="1:16" ht="66.75" customHeight="1" thickBot="1">
      <c r="A13" s="339"/>
      <c r="B13" s="342"/>
      <c r="C13" s="345"/>
      <c r="D13" s="348"/>
      <c r="E13" s="38" t="s">
        <v>67</v>
      </c>
      <c r="F13" s="39" t="s">
        <v>21</v>
      </c>
      <c r="G13" s="40" t="s">
        <v>76</v>
      </c>
      <c r="H13" s="358"/>
      <c r="I13" s="360"/>
      <c r="J13" s="324"/>
      <c r="K13" s="324"/>
      <c r="L13" s="324"/>
      <c r="M13" s="324"/>
      <c r="N13" s="330"/>
      <c r="O13" s="337"/>
      <c r="P13" s="337"/>
    </row>
    <row r="14" spans="1:16" ht="13.5" thickBot="1">
      <c r="A14" s="41">
        <v>1</v>
      </c>
      <c r="B14" s="42">
        <v>2</v>
      </c>
      <c r="C14" s="41">
        <v>3</v>
      </c>
      <c r="D14" s="42">
        <v>4</v>
      </c>
      <c r="E14" s="41">
        <v>5</v>
      </c>
      <c r="F14" s="42">
        <v>6</v>
      </c>
      <c r="G14" s="41">
        <v>7</v>
      </c>
      <c r="H14" s="42">
        <v>8</v>
      </c>
      <c r="I14" s="41">
        <v>9</v>
      </c>
      <c r="J14" s="42">
        <v>10</v>
      </c>
      <c r="K14" s="41">
        <v>11</v>
      </c>
      <c r="L14" s="42">
        <v>12</v>
      </c>
      <c r="M14" s="41">
        <v>13</v>
      </c>
      <c r="N14" s="42">
        <v>14</v>
      </c>
      <c r="O14" s="41">
        <v>15</v>
      </c>
      <c r="P14" s="43">
        <v>16</v>
      </c>
    </row>
    <row r="15" spans="1:16" ht="12.75" hidden="1">
      <c r="A15" s="8" t="s">
        <v>40</v>
      </c>
      <c r="B15" s="9"/>
      <c r="C15" s="36"/>
      <c r="D15" s="8"/>
      <c r="E15" s="9"/>
      <c r="F15" s="10"/>
      <c r="G15" s="44"/>
      <c r="H15" s="36"/>
      <c r="I15" s="8"/>
      <c r="J15" s="9"/>
      <c r="K15" s="9"/>
      <c r="L15" s="9"/>
      <c r="M15" s="9"/>
      <c r="N15" s="10"/>
      <c r="O15" s="45"/>
      <c r="P15" s="46"/>
    </row>
    <row r="16" spans="1:16" ht="12.75" hidden="1">
      <c r="A16" s="13" t="s">
        <v>41</v>
      </c>
      <c r="B16" s="14">
        <f>Лист1!B9</f>
        <v>654.4</v>
      </c>
      <c r="C16" s="47">
        <f>Лист1!C9</f>
        <v>5660.56</v>
      </c>
      <c r="D16" s="48">
        <f>Лист1!D9</f>
        <v>1363.5156928000001</v>
      </c>
      <c r="E16" s="19">
        <f>Лист1!S9</f>
        <v>4285.25</v>
      </c>
      <c r="F16" s="21">
        <f>Лист1!T9</f>
        <v>81.07999999999998</v>
      </c>
      <c r="G16" s="49">
        <f>Лист1!AB9</f>
        <v>46.260000000000005</v>
      </c>
      <c r="H16" s="49">
        <f>Лист1!AC9</f>
        <v>1490.8556928</v>
      </c>
      <c r="I16" s="50">
        <f>Лист1!AG9</f>
        <v>392.64</v>
      </c>
      <c r="J16" s="19">
        <f>Лист1!AI9+Лист1!AJ9</f>
        <v>657.7531455999999</v>
      </c>
      <c r="K16" s="19">
        <f>Лист1!AH9+Лист1!AK9+Лист1!AL9+Лист1!AM9+Лист1!AN9+Лист1!AO9+Лист1!AP9</f>
        <v>2309.63484464</v>
      </c>
      <c r="L16" s="20">
        <f>Лист1!AS9+Лист1!AU9</f>
        <v>0</v>
      </c>
      <c r="M16" s="20">
        <f>Лист1!AX9</f>
        <v>0</v>
      </c>
      <c r="N16" s="21">
        <f>Лист1!BB9</f>
        <v>3360.02799024</v>
      </c>
      <c r="O16" s="51">
        <f>Лист1!BD9</f>
        <v>-1869.1722974399997</v>
      </c>
      <c r="P16" s="51">
        <f>Лист1!BE9</f>
        <v>-4238.99</v>
      </c>
    </row>
    <row r="17" spans="1:16" ht="12.75" hidden="1">
      <c r="A17" s="13" t="s">
        <v>42</v>
      </c>
      <c r="B17" s="14">
        <f>Лист1!B10</f>
        <v>654.4</v>
      </c>
      <c r="C17" s="47">
        <f>Лист1!C10</f>
        <v>5660.56</v>
      </c>
      <c r="D17" s="48">
        <f>Лист1!D10</f>
        <v>1363.5156928000001</v>
      </c>
      <c r="E17" s="19">
        <f>Лист1!S10</f>
        <v>4292.31</v>
      </c>
      <c r="F17" s="21">
        <f>Лист1!T10</f>
        <v>81.07999999999998</v>
      </c>
      <c r="G17" s="49">
        <f>Лист1!AB10</f>
        <v>419.22999999999996</v>
      </c>
      <c r="H17" s="49">
        <f>Лист1!AC10</f>
        <v>1863.8256928</v>
      </c>
      <c r="I17" s="50">
        <f>Лист1!AG10</f>
        <v>392.64</v>
      </c>
      <c r="J17" s="19">
        <f>Лист1!AI10+Лист1!AJ10</f>
        <v>657.7531455999999</v>
      </c>
      <c r="K17" s="19">
        <f>Лист1!AH10+Лист1!AK10+Лист1!AL10+Лист1!AM10+Лист1!AN10+Лист1!AO10+Лист1!AP10</f>
        <v>2302.66417584</v>
      </c>
      <c r="L17" s="20">
        <f>Лист1!AS10+Лист1!AU10</f>
        <v>0</v>
      </c>
      <c r="M17" s="20">
        <f>Лист1!AX10</f>
        <v>0</v>
      </c>
      <c r="N17" s="21">
        <f>Лист1!BB10</f>
        <v>3353.05732144</v>
      </c>
      <c r="O17" s="51">
        <f>Лист1!BD10</f>
        <v>-1489.23162864</v>
      </c>
      <c r="P17" s="51">
        <f>Лист1!BE10</f>
        <v>-3873.0800000000004</v>
      </c>
    </row>
    <row r="18" spans="1:18" ht="13.5" hidden="1" thickBot="1">
      <c r="A18" s="52" t="s">
        <v>43</v>
      </c>
      <c r="B18" s="78">
        <f>Лист1!B11</f>
        <v>654.4</v>
      </c>
      <c r="C18" s="53">
        <f>Лист1!C11</f>
        <v>5660.56</v>
      </c>
      <c r="D18" s="79">
        <f>Лист1!D11</f>
        <v>1360.5155960000002</v>
      </c>
      <c r="E18" s="80">
        <f>Лист1!S11</f>
        <v>3922.6699999999996</v>
      </c>
      <c r="F18" s="84">
        <f>Лист1!T11</f>
        <v>81.07999999999998</v>
      </c>
      <c r="G18" s="81">
        <f>Лист1!AB11</f>
        <v>588.29</v>
      </c>
      <c r="H18" s="81">
        <f>Лист1!AC11</f>
        <v>2029.885596</v>
      </c>
      <c r="I18" s="82">
        <f>Лист1!AG11</f>
        <v>392.64</v>
      </c>
      <c r="J18" s="80">
        <f>Лист1!AI11+Лист1!AJ11</f>
        <v>655.8381094399999</v>
      </c>
      <c r="K18" s="80">
        <f>Лист1!AH11+Лист1!AK11+Лист1!AL11+Лист1!AM11+Лист1!AN11+Лист1!AO11+Лист1!AP11</f>
        <v>2299.003220112</v>
      </c>
      <c r="L18" s="83">
        <f>Лист1!AS11+Лист1!AU11</f>
        <v>1195.34</v>
      </c>
      <c r="M18" s="83">
        <f>Лист1!AX11</f>
        <v>0</v>
      </c>
      <c r="N18" s="84">
        <f>Лист1!BB11</f>
        <v>4542.821329552</v>
      </c>
      <c r="O18" s="51">
        <f>Лист1!BD11</f>
        <v>-2512.935733552</v>
      </c>
      <c r="P18" s="85">
        <f>Лист1!BE11</f>
        <v>-3334.3799999999997</v>
      </c>
      <c r="Q18" s="1"/>
      <c r="R18" s="1"/>
    </row>
    <row r="19" spans="1:18" s="28" customFormat="1" ht="13.5" hidden="1" thickBot="1">
      <c r="A19" s="54" t="s">
        <v>5</v>
      </c>
      <c r="B19" s="89"/>
      <c r="C19" s="90">
        <f>SUM(C16:C18)</f>
        <v>16981.68</v>
      </c>
      <c r="D19" s="97">
        <f aca="true" t="shared" si="0" ref="D19:P19">SUM(D16:D18)</f>
        <v>4087.5469816000004</v>
      </c>
      <c r="E19" s="90">
        <f t="shared" si="0"/>
        <v>12500.230000000001</v>
      </c>
      <c r="F19" s="91">
        <f t="shared" si="0"/>
        <v>243.23999999999995</v>
      </c>
      <c r="G19" s="96">
        <f t="shared" si="0"/>
        <v>1053.78</v>
      </c>
      <c r="H19" s="90">
        <f t="shared" si="0"/>
        <v>5384.5669816</v>
      </c>
      <c r="I19" s="90">
        <f t="shared" si="0"/>
        <v>1177.92</v>
      </c>
      <c r="J19" s="90">
        <f t="shared" si="0"/>
        <v>1971.3444006399998</v>
      </c>
      <c r="K19" s="90">
        <f t="shared" si="0"/>
        <v>6911.302240592</v>
      </c>
      <c r="L19" s="90">
        <f t="shared" si="0"/>
        <v>1195.34</v>
      </c>
      <c r="M19" s="90">
        <f t="shared" si="0"/>
        <v>0</v>
      </c>
      <c r="N19" s="90">
        <f t="shared" si="0"/>
        <v>11255.906641231999</v>
      </c>
      <c r="O19" s="90">
        <f t="shared" si="0"/>
        <v>-5871.339659632</v>
      </c>
      <c r="P19" s="91">
        <f t="shared" si="0"/>
        <v>-11446.449999999999</v>
      </c>
      <c r="Q19" s="61"/>
      <c r="R19" s="62"/>
    </row>
    <row r="20" spans="1:18" ht="12.75" hidden="1">
      <c r="A20" s="8" t="s">
        <v>44</v>
      </c>
      <c r="B20" s="86"/>
      <c r="C20" s="63"/>
      <c r="D20" s="64"/>
      <c r="E20" s="65"/>
      <c r="F20" s="66"/>
      <c r="G20" s="67"/>
      <c r="H20" s="67"/>
      <c r="I20" s="68"/>
      <c r="J20" s="65"/>
      <c r="K20" s="65"/>
      <c r="L20" s="87"/>
      <c r="M20" s="87"/>
      <c r="N20" s="66"/>
      <c r="O20" s="88"/>
      <c r="P20" s="88"/>
      <c r="Q20" s="1"/>
      <c r="R20" s="1"/>
    </row>
    <row r="21" spans="1:18" ht="12.75" hidden="1">
      <c r="A21" s="13" t="s">
        <v>45</v>
      </c>
      <c r="B21" s="14">
        <f>Лист1!B14</f>
        <v>726.7</v>
      </c>
      <c r="C21" s="47">
        <f>Лист1!C14</f>
        <v>6285.955000000001</v>
      </c>
      <c r="D21" s="48">
        <f>Лист1!D14</f>
        <v>785.7443750000001</v>
      </c>
      <c r="E21" s="19">
        <f>Лист1!S14</f>
        <v>3922.6699999999996</v>
      </c>
      <c r="F21" s="21">
        <f>Лист1!T14</f>
        <v>81.07999999999998</v>
      </c>
      <c r="G21" s="49">
        <f>Лист1!AB14</f>
        <v>616.79</v>
      </c>
      <c r="H21" s="49">
        <f>Лист1!AC14</f>
        <v>1483.614375</v>
      </c>
      <c r="I21" s="50">
        <f>Лист1!AG14</f>
        <v>392.41800000000006</v>
      </c>
      <c r="J21" s="19">
        <f>Лист1!AI14+Лист1!AJ14</f>
        <v>631.9154467</v>
      </c>
      <c r="K21" s="19">
        <f>Лист1!AH14+Лист1!AK14+Лист1!AL14+Лист1!AM14+Лист1!AN14+Лист1!AO14+Лист1!AP14</f>
        <v>2170.331349784</v>
      </c>
      <c r="L21" s="20">
        <f>Лист1!AQ14+Лист1!AR14+Лист1!AS14+Лист1!AU14+Лист1!AZ14+Лист1!BA14</f>
        <v>0</v>
      </c>
      <c r="M21" s="20">
        <f>Лист1!AX14</f>
        <v>302.11776000000003</v>
      </c>
      <c r="N21" s="21">
        <f>Лист1!BB14</f>
        <v>3194.664796484</v>
      </c>
      <c r="O21" s="51">
        <f>Лист1!BD14</f>
        <v>-1711.0504214839998</v>
      </c>
      <c r="P21" s="51">
        <f>Лист1!BE14</f>
        <v>-3305.8799999999997</v>
      </c>
      <c r="Q21" s="1"/>
      <c r="R21" s="1"/>
    </row>
    <row r="22" spans="1:18" ht="12.75" hidden="1">
      <c r="A22" s="13" t="s">
        <v>46</v>
      </c>
      <c r="B22" s="14">
        <f>Лист1!B15</f>
        <v>726.7</v>
      </c>
      <c r="C22" s="47">
        <f>Лист1!C15</f>
        <v>6285.955000000001</v>
      </c>
      <c r="D22" s="48">
        <f>Лист1!D15</f>
        <v>785.7443750000001</v>
      </c>
      <c r="E22" s="19">
        <f>Лист1!S15</f>
        <v>3922.6699999999996</v>
      </c>
      <c r="F22" s="21">
        <f>Лист1!T15</f>
        <v>81.07999999999998</v>
      </c>
      <c r="G22" s="49">
        <f>Лист1!AB15</f>
        <v>466.9</v>
      </c>
      <c r="H22" s="49">
        <f>Лист1!AC15</f>
        <v>1333.7243750000002</v>
      </c>
      <c r="I22" s="50">
        <f>Лист1!AG15</f>
        <v>392.41800000000006</v>
      </c>
      <c r="J22" s="19">
        <f>Лист1!AI15+Лист1!AJ15</f>
        <v>631.9390467</v>
      </c>
      <c r="K22" s="19">
        <f>Лист1!AH15+Лист1!AK15+Лист1!AL15+Лист1!AM15+Лист1!AN15+Лист1!AO15+Лист1!AP15</f>
        <v>2173.393198496</v>
      </c>
      <c r="L22" s="20">
        <f>Лист1!AQ15+Лист1!AR15+Лист1!AS15+Лист1!AU15+Лист1!AZ15+Лист1!BA15</f>
        <v>279.65999999999997</v>
      </c>
      <c r="M22" s="20">
        <f>Лист1!AX15</f>
        <v>242.05104</v>
      </c>
      <c r="N22" s="21">
        <f>Лист1!BB15</f>
        <v>3477.410245196</v>
      </c>
      <c r="O22" s="51">
        <f>Лист1!BD15</f>
        <v>-2143.6858701959995</v>
      </c>
      <c r="P22" s="51">
        <f>Лист1!BE15</f>
        <v>-3455.7699999999995</v>
      </c>
      <c r="Q22" s="1"/>
      <c r="R22" s="1"/>
    </row>
    <row r="23" spans="1:18" ht="12.75" hidden="1">
      <c r="A23" s="13" t="s">
        <v>47</v>
      </c>
      <c r="B23" s="14">
        <f>Лист1!B16</f>
        <v>726.7</v>
      </c>
      <c r="C23" s="47">
        <f>Лист1!C16</f>
        <v>6285.955000000001</v>
      </c>
      <c r="D23" s="48">
        <f>Лист1!D16</f>
        <v>785.7443750000001</v>
      </c>
      <c r="E23" s="19">
        <f>Лист1!S16</f>
        <v>3922.6699999999996</v>
      </c>
      <c r="F23" s="21">
        <f>Лист1!T16</f>
        <v>81.07999999999998</v>
      </c>
      <c r="G23" s="49">
        <f>Лист1!AB16</f>
        <v>1384.49</v>
      </c>
      <c r="H23" s="49">
        <f>Лист1!AC16</f>
        <v>2251.314375</v>
      </c>
      <c r="I23" s="50">
        <f>Лист1!AG16</f>
        <v>392.41800000000006</v>
      </c>
      <c r="J23" s="19">
        <f>Лист1!AI16+Лист1!AJ16</f>
        <v>632.30348675</v>
      </c>
      <c r="K23" s="19">
        <f>Лист1!AH16+Лист1!AK16+Лист1!AL16+Лист1!AM16+Лист1!AN16+Лист1!AO16+Лист1!AP16</f>
        <v>2101.098248366</v>
      </c>
      <c r="L23" s="20">
        <f>Лист1!AQ16+Лист1!AR16+Лист1!AS16+Лист1!AU16+Лист1!AZ16+Лист1!BA16</f>
        <v>1983.58</v>
      </c>
      <c r="M23" s="20">
        <f>Лист1!AX16</f>
        <v>227.77776</v>
      </c>
      <c r="N23" s="21">
        <f>Лист1!BB16</f>
        <v>5109.399735116</v>
      </c>
      <c r="O23" s="51">
        <f>Лист1!BD16</f>
        <v>-2858.0853601159997</v>
      </c>
      <c r="P23" s="51">
        <f>Лист1!BE16</f>
        <v>-2538.1799999999994</v>
      </c>
      <c r="Q23" s="1"/>
      <c r="R23" s="1"/>
    </row>
    <row r="24" spans="1:18" ht="12.75" hidden="1">
      <c r="A24" s="13" t="s">
        <v>48</v>
      </c>
      <c r="B24" s="14">
        <f>Лист1!B17</f>
        <v>726.7</v>
      </c>
      <c r="C24" s="47">
        <f>Лист1!C17</f>
        <v>6285.955000000001</v>
      </c>
      <c r="D24" s="48">
        <f>Лист1!D17</f>
        <v>785.7443750000001</v>
      </c>
      <c r="E24" s="19">
        <f>Лист1!S17</f>
        <v>4015</v>
      </c>
      <c r="F24" s="21">
        <f>Лист1!T17</f>
        <v>81.07999999999998</v>
      </c>
      <c r="G24" s="49">
        <f>Лист1!AB17</f>
        <v>568.3900000000001</v>
      </c>
      <c r="H24" s="49">
        <f>Лист1!AC17</f>
        <v>1435.2143750000002</v>
      </c>
      <c r="I24" s="50">
        <f>Лист1!AG17</f>
        <v>392.41800000000006</v>
      </c>
      <c r="J24" s="19">
        <f>Лист1!AI17+Лист1!AJ17</f>
        <v>651.18148134</v>
      </c>
      <c r="K24" s="19">
        <f>Лист1!AH17+Лист1!AK17+Лист1!AL17+Лист1!AM17+Лист1!AN17+Лист1!AO17+Лист1!AP17</f>
        <v>2130.868516712</v>
      </c>
      <c r="L24" s="20">
        <f>Лист1!AQ17+Лист1!AR17+Лист1!AS17+Лист1!AU17+Лист1!AZ17+Лист1!BA17</f>
        <v>3968.8473999999997</v>
      </c>
      <c r="M24" s="20">
        <f>Лист1!AX17</f>
        <v>182.57904</v>
      </c>
      <c r="N24" s="21">
        <f>Лист1!BB17</f>
        <v>8097.840998052</v>
      </c>
      <c r="O24" s="51">
        <f>Лист1!BD17</f>
        <v>-6662.626623052</v>
      </c>
      <c r="P24" s="51">
        <f>Лист1!BE17</f>
        <v>-3446.6099999999997</v>
      </c>
      <c r="Q24" s="1"/>
      <c r="R24" s="1"/>
    </row>
    <row r="25" spans="1:18" ht="12.75" hidden="1">
      <c r="A25" s="13" t="s">
        <v>49</v>
      </c>
      <c r="B25" s="14">
        <f>Лист1!B18</f>
        <v>726.7</v>
      </c>
      <c r="C25" s="47">
        <f>Лист1!C18</f>
        <v>6285.955000000001</v>
      </c>
      <c r="D25" s="48">
        <f>Лист1!D18</f>
        <v>1288.2650000000008</v>
      </c>
      <c r="E25" s="19">
        <f>Лист1!S18</f>
        <v>4895.97</v>
      </c>
      <c r="F25" s="21">
        <f>Лист1!T18</f>
        <v>101.72</v>
      </c>
      <c r="G25" s="49">
        <f>Лист1!AB18</f>
        <v>1312.12</v>
      </c>
      <c r="H25" s="49">
        <f>Лист1!AC18</f>
        <v>2702.1050000000005</v>
      </c>
      <c r="I25" s="50">
        <f>Лист1!AG18</f>
        <v>436.02000000000004</v>
      </c>
      <c r="J25" s="19">
        <f>Лист1!AI18+Лист1!AJ18</f>
        <v>728.8801000000001</v>
      </c>
      <c r="K25" s="19">
        <f>Лист1!AH18+Лист1!AK18+Лист1!AL18+Лист1!AM18+Лист1!AN18+Лист1!AO18+Лист1!AP18</f>
        <v>2496.35984</v>
      </c>
      <c r="L25" s="20">
        <f>Лист1!AQ18+Лист1!AR18+Лист1!AS18+Лист1!AU18+Лист1!AZ18+Лист1!BA18</f>
        <v>0</v>
      </c>
      <c r="M25" s="20">
        <f>Лист1!AX18</f>
        <v>156.41136000000003</v>
      </c>
      <c r="N25" s="21">
        <f>Лист1!BB18</f>
        <v>3817.6713000000004</v>
      </c>
      <c r="O25" s="51">
        <f>Лист1!BD18</f>
        <v>-1115.5663</v>
      </c>
      <c r="P25" s="51">
        <f>Лист1!BE18</f>
        <v>-3583.8500000000004</v>
      </c>
      <c r="Q25" s="1"/>
      <c r="R25" s="1"/>
    </row>
    <row r="26" spans="1:18" ht="12.75" hidden="1">
      <c r="A26" s="13" t="s">
        <v>50</v>
      </c>
      <c r="B26" s="14">
        <f>Лист1!B19</f>
        <v>726.7</v>
      </c>
      <c r="C26" s="47">
        <f>Лист1!C19</f>
        <v>6285.955000000001</v>
      </c>
      <c r="D26" s="48">
        <f>Лист1!D19</f>
        <v>1276.7450000000008</v>
      </c>
      <c r="E26" s="19">
        <f>Лист1!S19</f>
        <v>4907.490000000001</v>
      </c>
      <c r="F26" s="21">
        <f>Лист1!T19</f>
        <v>101.72</v>
      </c>
      <c r="G26" s="49">
        <f>Лист1!AB19</f>
        <v>906.7</v>
      </c>
      <c r="H26" s="49">
        <f>Лист1!AC19</f>
        <v>2285.165000000001</v>
      </c>
      <c r="I26" s="50">
        <f>Лист1!AG19</f>
        <v>436.02000000000004</v>
      </c>
      <c r="J26" s="19">
        <f>Лист1!AI19+Лист1!AJ19</f>
        <v>728.8801000000001</v>
      </c>
      <c r="K26" s="19">
        <f>Лист1!AH19+Лист1!AK19+Лист1!AL19+Лист1!AM19+Лист1!AN19+Лист1!AO19+Лист1!AP19</f>
        <v>2496.4252430000006</v>
      </c>
      <c r="L26" s="20">
        <f>Лист1!AQ19+Лист1!AR19+Лист1!AS19+Лист1!AU19+Лист1!AZ19+Лист1!BA19</f>
        <v>4771.861</v>
      </c>
      <c r="M26" s="20">
        <f>Лист1!AX19</f>
        <v>138.56976</v>
      </c>
      <c r="N26" s="21">
        <f>Лист1!BB19</f>
        <v>8571.756103</v>
      </c>
      <c r="O26" s="51">
        <f>Лист1!BD19</f>
        <v>-6286.591102999999</v>
      </c>
      <c r="P26" s="51">
        <f>Лист1!BE19</f>
        <v>-4000.790000000001</v>
      </c>
      <c r="Q26" s="1"/>
      <c r="R26" s="1"/>
    </row>
    <row r="27" spans="1:18" ht="12.75" hidden="1">
      <c r="A27" s="13" t="s">
        <v>51</v>
      </c>
      <c r="B27" s="14">
        <f>Лист1!B20</f>
        <v>726.7</v>
      </c>
      <c r="C27" s="47">
        <f>Лист1!C20</f>
        <v>6285.955000000001</v>
      </c>
      <c r="D27" s="48">
        <f>Лист1!D20</f>
        <v>1288.2650000000008</v>
      </c>
      <c r="E27" s="19">
        <f>Лист1!S20</f>
        <v>4895.97</v>
      </c>
      <c r="F27" s="21">
        <f>Лист1!T20</f>
        <v>101.72</v>
      </c>
      <c r="G27" s="49">
        <f>Лист1!AB20</f>
        <v>1334.1999999999998</v>
      </c>
      <c r="H27" s="49">
        <f>Лист1!AC20</f>
        <v>2724.1850000000004</v>
      </c>
      <c r="I27" s="50">
        <f>Лист1!AG20</f>
        <v>436.02000000000004</v>
      </c>
      <c r="J27" s="19">
        <f>Лист1!AI20+Лист1!AJ20</f>
        <v>718.45711457</v>
      </c>
      <c r="K27" s="19">
        <f>Лист1!AH20+Лист1!AK20+Лист1!AL20+Лист1!AM20+Лист1!AN20+Лист1!AO20+Лист1!AP20</f>
        <v>2471.751307220001</v>
      </c>
      <c r="L27" s="20">
        <f>Лист1!AQ20+Лист1!AR20+Лист1!AS20+Лист1!AU20+Лист1!AZ20+Лист1!BA20</f>
        <v>0</v>
      </c>
      <c r="M27" s="20">
        <f>Лист1!AX20</f>
        <v>147.49056000000002</v>
      </c>
      <c r="N27" s="21">
        <f>Лист1!BB20</f>
        <v>3773.7189817900007</v>
      </c>
      <c r="O27" s="51">
        <f>Лист1!BD20</f>
        <v>-1049.5339817900003</v>
      </c>
      <c r="P27" s="51">
        <f>Лист1!BE20</f>
        <v>-3561.7700000000004</v>
      </c>
      <c r="Q27" s="1"/>
      <c r="R27" s="1"/>
    </row>
    <row r="28" spans="1:18" ht="12.75" hidden="1">
      <c r="A28" s="13" t="s">
        <v>52</v>
      </c>
      <c r="B28" s="14">
        <f>Лист1!B21</f>
        <v>726.7</v>
      </c>
      <c r="C28" s="47">
        <f>Лист1!C21</f>
        <v>6285.955000000001</v>
      </c>
      <c r="D28" s="48">
        <f>Лист1!D21</f>
        <v>1288.2650000000008</v>
      </c>
      <c r="E28" s="19">
        <f>Лист1!S21</f>
        <v>4895.97</v>
      </c>
      <c r="F28" s="21">
        <f>Лист1!T21</f>
        <v>101.72</v>
      </c>
      <c r="G28" s="49">
        <f>Лист1!AB21</f>
        <v>2122.37</v>
      </c>
      <c r="H28" s="49">
        <f>Лист1!AC21</f>
        <v>3512.3550000000005</v>
      </c>
      <c r="I28" s="50">
        <f>Лист1!AG21</f>
        <v>436.02000000000004</v>
      </c>
      <c r="J28" s="19">
        <f>Лист1!AI21+Лист1!AJ21</f>
        <v>718.136407326</v>
      </c>
      <c r="K28" s="19">
        <f>Лист1!AH21+Лист1!AK21+Лист1!AL21+Лист1!AM21+Лист1!AN21+Лист1!AO21+Лист1!AP21</f>
        <v>2471.2291006</v>
      </c>
      <c r="L28" s="20">
        <f>Лист1!AQ21+Лист1!AR21+Лист1!AS21+Лист1!AU21+Лист1!AZ21+Лист1!BA21</f>
        <v>0</v>
      </c>
      <c r="M28" s="20">
        <f>Лист1!AX21</f>
        <v>174.25295999999997</v>
      </c>
      <c r="N28" s="21">
        <f>Лист1!BB21</f>
        <v>3799.638467926</v>
      </c>
      <c r="O28" s="51">
        <f>Лист1!BD21</f>
        <v>-287.2834679259995</v>
      </c>
      <c r="P28" s="51">
        <f>Лист1!BE21</f>
        <v>-2773.6000000000004</v>
      </c>
      <c r="Q28" s="1"/>
      <c r="R28" s="1"/>
    </row>
    <row r="29" spans="1:18" ht="12.75" hidden="1">
      <c r="A29" s="13" t="s">
        <v>53</v>
      </c>
      <c r="B29" s="14">
        <f>Лист1!B22</f>
        <v>726.7</v>
      </c>
      <c r="C29" s="47">
        <f>Лист1!C22</f>
        <v>6285.955000000001</v>
      </c>
      <c r="D29" s="48">
        <f>Лист1!D22</f>
        <v>1299.5950000000012</v>
      </c>
      <c r="E29" s="19">
        <f>Лист1!S22</f>
        <v>4884.639999999999</v>
      </c>
      <c r="F29" s="21">
        <f>Лист1!T22</f>
        <v>101.72</v>
      </c>
      <c r="G29" s="49">
        <f>Лист1!AB22</f>
        <v>1014.1499999999999</v>
      </c>
      <c r="H29" s="49">
        <f>Лист1!AC22</f>
        <v>2415.465000000001</v>
      </c>
      <c r="I29" s="50">
        <f>Лист1!AG22</f>
        <v>436.02000000000004</v>
      </c>
      <c r="J29" s="19">
        <f>Лист1!AI22+Лист1!AJ22</f>
        <v>718.0124977090001</v>
      </c>
      <c r="K29" s="19">
        <f>Лист1!AH22+Лист1!AK22+Лист1!AL22+Лист1!AM22+Лист1!AN22+Лист1!AO22+Лист1!AP22</f>
        <v>2470.9043776118</v>
      </c>
      <c r="L29" s="20">
        <f>Лист1!AQ22+Лист1!AR22+Лист1!AS22+Лист1!AU22+Лист1!AZ22+Лист1!BA22</f>
        <v>0</v>
      </c>
      <c r="M29" s="20">
        <f>Лист1!AX22</f>
        <v>207.55728000000005</v>
      </c>
      <c r="N29" s="21">
        <f>Лист1!BB22</f>
        <v>3832.4941553208</v>
      </c>
      <c r="O29" s="51">
        <f>Лист1!BD22</f>
        <v>-1417.029155320799</v>
      </c>
      <c r="P29" s="51">
        <f>Лист1!BE22</f>
        <v>-3870.49</v>
      </c>
      <c r="Q29" s="1"/>
      <c r="R29" s="1"/>
    </row>
    <row r="30" spans="1:18" ht="12.75" hidden="1">
      <c r="A30" s="13" t="s">
        <v>41</v>
      </c>
      <c r="B30" s="14">
        <f>Лист1!B23</f>
        <v>726.7</v>
      </c>
      <c r="C30" s="47">
        <f>Лист1!C23</f>
        <v>6285.955000000001</v>
      </c>
      <c r="D30" s="48">
        <f>Лист1!D23</f>
        <v>1306.295000000001</v>
      </c>
      <c r="E30" s="19">
        <f>Лист1!S23</f>
        <v>4877.9400000000005</v>
      </c>
      <c r="F30" s="21">
        <f>Лист1!T23</f>
        <v>101.72</v>
      </c>
      <c r="G30" s="49">
        <f>Лист1!AB23</f>
        <v>1917.52</v>
      </c>
      <c r="H30" s="49">
        <f>Лист1!AC23</f>
        <v>3325.5350000000008</v>
      </c>
      <c r="I30" s="50">
        <f>Лист1!AG23</f>
        <v>436.02000000000004</v>
      </c>
      <c r="J30" s="19">
        <f>Лист1!AI23+Лист1!AJ23</f>
        <v>726.307582</v>
      </c>
      <c r="K30" s="19">
        <f>Лист1!AH23+Лист1!AK23+Лист1!AL23+Лист1!AM23+Лист1!AN23+Лист1!AO23+Лист1!AP23</f>
        <v>2492.1449800000005</v>
      </c>
      <c r="L30" s="20">
        <f>Лист1!AQ23+Лист1!AR23+Лист1!AS23+Лист1!AU23+Лист1!AZ23+Лист1!BA23</f>
        <v>345.2444</v>
      </c>
      <c r="M30" s="20">
        <f>Лист1!AX23</f>
        <v>252.756</v>
      </c>
      <c r="N30" s="21">
        <f>Лист1!BB23</f>
        <v>4252.472962000001</v>
      </c>
      <c r="O30" s="51">
        <f>Лист1!BD23</f>
        <v>-926.937962</v>
      </c>
      <c r="P30" s="51">
        <f>Лист1!BE23</f>
        <v>-2960.4200000000005</v>
      </c>
      <c r="Q30" s="1"/>
      <c r="R30" s="1"/>
    </row>
    <row r="31" spans="1:18" ht="12.75" hidden="1">
      <c r="A31" s="13" t="s">
        <v>42</v>
      </c>
      <c r="B31" s="14">
        <f>Лист1!B24</f>
        <v>726.7</v>
      </c>
      <c r="C31" s="47">
        <f>Лист1!C24</f>
        <v>6285.955000000001</v>
      </c>
      <c r="D31" s="48">
        <f>Лист1!D24</f>
        <v>1299.585000000001</v>
      </c>
      <c r="E31" s="19">
        <f>Лист1!S24</f>
        <v>4884.65</v>
      </c>
      <c r="F31" s="21">
        <f>Лист1!T24</f>
        <v>101.72</v>
      </c>
      <c r="G31" s="49">
        <f>Лист1!AB24</f>
        <v>1139.31</v>
      </c>
      <c r="H31" s="49">
        <f>Лист1!AC24</f>
        <v>2540.6150000000007</v>
      </c>
      <c r="I31" s="50">
        <f>Лист1!AG24</f>
        <v>436.02000000000004</v>
      </c>
      <c r="J31" s="19">
        <f>Лист1!AI24+Лист1!AJ24</f>
        <v>728.8801000000001</v>
      </c>
      <c r="K31" s="19">
        <f>Лист1!AH24+Лист1!AK24+Лист1!AL24+Лист1!AM24+Лист1!AN24+Лист1!AO24+Лист1!AP24</f>
        <v>2494.90644</v>
      </c>
      <c r="L31" s="20">
        <f>Лист1!AQ24+Лист1!AR24+Лист1!AS24+Лист1!AU24+Лист1!AZ24+Лист1!BA24</f>
        <v>914.5</v>
      </c>
      <c r="M31" s="20">
        <f>Лист1!AX24</f>
        <v>279.5184</v>
      </c>
      <c r="N31" s="21">
        <f>Лист1!BB24</f>
        <v>4853.82494</v>
      </c>
      <c r="O31" s="51">
        <f>Лист1!BD24</f>
        <v>-2313.2099399999997</v>
      </c>
      <c r="P31" s="51">
        <f>Лист1!BE24</f>
        <v>-3745.3399999999997</v>
      </c>
      <c r="Q31" s="1"/>
      <c r="R31" s="1"/>
    </row>
    <row r="32" spans="1:18" ht="13.5" hidden="1" thickBot="1">
      <c r="A32" s="52" t="s">
        <v>43</v>
      </c>
      <c r="B32" s="14">
        <f>Лист1!B25</f>
        <v>726.7</v>
      </c>
      <c r="C32" s="47">
        <f>Лист1!C25</f>
        <v>6285.955000000001</v>
      </c>
      <c r="D32" s="48">
        <f>Лист1!D25</f>
        <v>1299.5950000000012</v>
      </c>
      <c r="E32" s="19">
        <f>Лист1!S25</f>
        <v>4884.64</v>
      </c>
      <c r="F32" s="21">
        <f>Лист1!T25</f>
        <v>101.72</v>
      </c>
      <c r="G32" s="49">
        <f>Лист1!AB25</f>
        <v>1258.98</v>
      </c>
      <c r="H32" s="49">
        <f>Лист1!AC25</f>
        <v>2660.295000000001</v>
      </c>
      <c r="I32" s="50">
        <f>Лист1!AG25</f>
        <v>436.02000000000004</v>
      </c>
      <c r="J32" s="19">
        <f>Лист1!AI25+Лист1!AJ25</f>
        <v>728.8801000000001</v>
      </c>
      <c r="K32" s="19">
        <f>Лист1!AH25+Лист1!AK25+Лист1!AL25+Лист1!AM25+Лист1!AN25+Лист1!AO25+Лист1!AP25</f>
        <v>2494.90644</v>
      </c>
      <c r="L32" s="20">
        <f>Лист1!AQ25+Лист1!AR25+Лист1!AS25+Лист1!AU25+Лист1!AZ25+Лист1!BA25</f>
        <v>9578.06</v>
      </c>
      <c r="M32" s="20">
        <f>Лист1!AX25</f>
        <v>305.68608</v>
      </c>
      <c r="N32" s="21">
        <f>Лист1!BB25</f>
        <v>13543.55262</v>
      </c>
      <c r="O32" s="51">
        <f>Лист1!BD25</f>
        <v>-10883.25762</v>
      </c>
      <c r="P32" s="51">
        <f>Лист1!BE25</f>
        <v>-3625.6600000000003</v>
      </c>
      <c r="Q32" s="1"/>
      <c r="R32" s="1"/>
    </row>
    <row r="33" spans="1:18" s="28" customFormat="1" ht="13.5" hidden="1" thickBot="1">
      <c r="A33" s="54" t="s">
        <v>5</v>
      </c>
      <c r="B33" s="55"/>
      <c r="C33" s="56">
        <f aca="true" t="shared" si="1" ref="C33:P33">SUM(C21:C32)</f>
        <v>75431.46</v>
      </c>
      <c r="D33" s="57">
        <f t="shared" si="1"/>
        <v>13489.587500000007</v>
      </c>
      <c r="E33" s="56">
        <f t="shared" si="1"/>
        <v>54910.280000000006</v>
      </c>
      <c r="F33" s="58">
        <f t="shared" si="1"/>
        <v>1138.0800000000002</v>
      </c>
      <c r="G33" s="59">
        <f t="shared" si="1"/>
        <v>14041.919999999998</v>
      </c>
      <c r="H33" s="56">
        <f t="shared" si="1"/>
        <v>28669.587500000005</v>
      </c>
      <c r="I33" s="57">
        <f t="shared" si="1"/>
        <v>5057.832000000001</v>
      </c>
      <c r="J33" s="56">
        <f t="shared" si="1"/>
        <v>8343.773463095002</v>
      </c>
      <c r="K33" s="56">
        <f>SUM(K21:K32)</f>
        <v>28464.319041789804</v>
      </c>
      <c r="L33" s="56">
        <f t="shared" si="1"/>
        <v>21841.7528</v>
      </c>
      <c r="M33" s="56">
        <f t="shared" si="1"/>
        <v>2616.768</v>
      </c>
      <c r="N33" s="58">
        <f t="shared" si="1"/>
        <v>66324.4453048848</v>
      </c>
      <c r="O33" s="60">
        <f t="shared" si="1"/>
        <v>-37654.8578048848</v>
      </c>
      <c r="P33" s="60">
        <f t="shared" si="1"/>
        <v>-40868.36</v>
      </c>
      <c r="Q33" s="62"/>
      <c r="R33" s="62"/>
    </row>
    <row r="34" spans="1:18" ht="13.5" thickBot="1">
      <c r="A34" s="352" t="s">
        <v>92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69"/>
      <c r="Q34" s="1"/>
      <c r="R34" s="1"/>
    </row>
    <row r="35" spans="1:18" s="28" customFormat="1" ht="13.5" thickBot="1">
      <c r="A35" s="70" t="s">
        <v>54</v>
      </c>
      <c r="B35" s="71"/>
      <c r="C35" s="72">
        <f>C19+C33</f>
        <v>92413.14000000001</v>
      </c>
      <c r="D35" s="73">
        <f aca="true" t="shared" si="2" ref="D35:P35">D19+D33</f>
        <v>17577.134481600006</v>
      </c>
      <c r="E35" s="71">
        <f t="shared" si="2"/>
        <v>67410.51000000001</v>
      </c>
      <c r="F35" s="72">
        <f t="shared" si="2"/>
        <v>1381.3200000000002</v>
      </c>
      <c r="G35" s="73">
        <f t="shared" si="2"/>
        <v>15095.699999999999</v>
      </c>
      <c r="H35" s="72">
        <f t="shared" si="2"/>
        <v>34054.1544816</v>
      </c>
      <c r="I35" s="73">
        <f t="shared" si="2"/>
        <v>6235.752000000001</v>
      </c>
      <c r="J35" s="71">
        <f t="shared" si="2"/>
        <v>10315.117863735002</v>
      </c>
      <c r="K35" s="71">
        <f t="shared" si="2"/>
        <v>35375.621282381806</v>
      </c>
      <c r="L35" s="71">
        <f t="shared" si="2"/>
        <v>23037.0928</v>
      </c>
      <c r="M35" s="71">
        <f t="shared" si="2"/>
        <v>2616.768</v>
      </c>
      <c r="N35" s="74">
        <f t="shared" si="2"/>
        <v>77580.35194611679</v>
      </c>
      <c r="O35" s="75">
        <f t="shared" si="2"/>
        <v>-43526.1974645168</v>
      </c>
      <c r="P35" s="75">
        <f t="shared" si="2"/>
        <v>-52314.81</v>
      </c>
      <c r="Q35" s="76"/>
      <c r="R35" s="62"/>
    </row>
    <row r="36" spans="1:18" ht="12.75">
      <c r="A36" s="8" t="s">
        <v>89</v>
      </c>
      <c r="B36" s="86"/>
      <c r="C36" s="63"/>
      <c r="D36" s="64"/>
      <c r="E36" s="65"/>
      <c r="F36" s="66"/>
      <c r="G36" s="67"/>
      <c r="H36" s="67"/>
      <c r="I36" s="68"/>
      <c r="J36" s="65"/>
      <c r="K36" s="65"/>
      <c r="L36" s="87"/>
      <c r="M36" s="87"/>
      <c r="N36" s="66"/>
      <c r="O36" s="88"/>
      <c r="P36" s="88"/>
      <c r="Q36" s="1"/>
      <c r="R36" s="1"/>
    </row>
    <row r="37" spans="1:18" ht="12.75">
      <c r="A37" s="13" t="s">
        <v>45</v>
      </c>
      <c r="B37" s="14">
        <f>Лист1!B30</f>
        <v>726.7</v>
      </c>
      <c r="C37" s="47">
        <f>Лист1!C30</f>
        <v>6285.955000000001</v>
      </c>
      <c r="D37" s="48">
        <f>Лист1!D30</f>
        <v>1306.0750000000007</v>
      </c>
      <c r="E37" s="19">
        <f>Лист1!S30</f>
        <v>4878.16</v>
      </c>
      <c r="F37" s="21">
        <f>Лист1!T30</f>
        <v>101.72</v>
      </c>
      <c r="G37" s="49">
        <f>Лист1!AB30</f>
        <v>717.29</v>
      </c>
      <c r="H37" s="49">
        <f>Лист1!AC30</f>
        <v>2125.085000000001</v>
      </c>
      <c r="I37" s="50">
        <f>Лист1!AG30</f>
        <v>436.02000000000004</v>
      </c>
      <c r="J37" s="19">
        <f>Лист1!AI30+Лист1!AJ30</f>
        <v>726.7</v>
      </c>
      <c r="K37" s="19">
        <f>Лист1!AH30+Лист1!AK30+Лист1!AL30+Лист1!AM30+Лист1!AN30+Лист1!AO30+Лист1!AP30</f>
        <v>2492.581</v>
      </c>
      <c r="L37" s="20">
        <f>Лист1!AQ30+Лист1!AR30+Лист1!AS30+Лист1!AU30+Лист1!AZ30+Лист1!BA30</f>
        <v>0</v>
      </c>
      <c r="M37" s="20">
        <f>Лист1!AX30</f>
        <v>320.03999999999996</v>
      </c>
      <c r="N37" s="21">
        <f>Лист1!BB30</f>
        <v>3975.3410000000003</v>
      </c>
      <c r="O37" s="51">
        <f>Лист1!BD30</f>
        <v>-1850.2559999999994</v>
      </c>
      <c r="P37" s="51">
        <f>Лист1!BE30</f>
        <v>-4160.87</v>
      </c>
      <c r="Q37" s="1"/>
      <c r="R37" s="1"/>
    </row>
    <row r="38" spans="1:18" ht="12.75">
      <c r="A38" s="13" t="s">
        <v>46</v>
      </c>
      <c r="B38" s="14">
        <f>Лист1!B31</f>
        <v>726.7</v>
      </c>
      <c r="C38" s="47">
        <f>Лист1!C31</f>
        <v>6285.955000000001</v>
      </c>
      <c r="D38" s="48">
        <f>Лист1!D31</f>
        <v>1299.5950000000012</v>
      </c>
      <c r="E38" s="19">
        <f>Лист1!S31</f>
        <v>4884.639999999999</v>
      </c>
      <c r="F38" s="21">
        <f>Лист1!T31</f>
        <v>101.72</v>
      </c>
      <c r="G38" s="49">
        <f>Лист1!AB31</f>
        <v>669.14</v>
      </c>
      <c r="H38" s="49">
        <f>Лист1!AC31</f>
        <v>2070.4550000000013</v>
      </c>
      <c r="I38" s="50">
        <f>Лист1!AG31</f>
        <v>436.02000000000004</v>
      </c>
      <c r="J38" s="19">
        <f>Лист1!AI31+Лист1!AJ31</f>
        <v>726.7</v>
      </c>
      <c r="K38" s="19">
        <f>Лист1!AH31+Лист1!AK31+Лист1!AL31+Лист1!AM31+Лист1!AN31+Лист1!AO31+Лист1!AP31</f>
        <v>2492.581</v>
      </c>
      <c r="L38" s="20">
        <f>Лист1!AQ31+Лист1!AR31+Лист1!AS31+Лист1!AU31+Лист1!AZ31+Лист1!BA31</f>
        <v>1300</v>
      </c>
      <c r="M38" s="20">
        <f>Лист1!AX31</f>
        <v>256.40999999999997</v>
      </c>
      <c r="N38" s="21">
        <f>Лист1!BB31</f>
        <v>5211.711</v>
      </c>
      <c r="O38" s="51">
        <f>Лист1!BD31</f>
        <v>-3141.255999999999</v>
      </c>
      <c r="P38" s="51">
        <f>Лист1!BE31</f>
        <v>-4215.499999999999</v>
      </c>
      <c r="Q38" s="1"/>
      <c r="R38" s="1"/>
    </row>
    <row r="39" spans="1:18" ht="12.75">
      <c r="A39" s="13" t="s">
        <v>47</v>
      </c>
      <c r="B39" s="14">
        <f>Лист1!B32</f>
        <v>726.7</v>
      </c>
      <c r="C39" s="47">
        <f>Лист1!C32</f>
        <v>6285.955000000001</v>
      </c>
      <c r="D39" s="48">
        <f>Лист1!D32</f>
        <v>1303.6050000000014</v>
      </c>
      <c r="E39" s="19">
        <f>Лист1!S32</f>
        <v>4880.63</v>
      </c>
      <c r="F39" s="21">
        <f>Лист1!T32</f>
        <v>101.72</v>
      </c>
      <c r="G39" s="49">
        <f>Лист1!AB32</f>
        <v>3385.25</v>
      </c>
      <c r="H39" s="49">
        <f>Лист1!AC32</f>
        <v>4790.575000000002</v>
      </c>
      <c r="I39" s="50">
        <f>Лист1!AG32</f>
        <v>436.02000000000004</v>
      </c>
      <c r="J39" s="19">
        <f>Лист1!AI32+Лист1!AJ32</f>
        <v>726.7</v>
      </c>
      <c r="K39" s="19">
        <f>Лист1!AH32+Лист1!AK32+Лист1!AL32+Лист1!AM32+Лист1!AN32+Лист1!AO32+Лист1!AP32</f>
        <v>2492.581</v>
      </c>
      <c r="L39" s="20">
        <f>Лист1!AQ32+Лист1!AR32+Лист1!AS32+Лист1!AU32+Лист1!AZ32+Лист1!BA32</f>
        <v>0</v>
      </c>
      <c r="M39" s="20">
        <f>Лист1!AX32</f>
        <v>241.28999999999996</v>
      </c>
      <c r="N39" s="21">
        <f>Лист1!BB32</f>
        <v>3896.5910000000003</v>
      </c>
      <c r="O39" s="51">
        <f>Лист1!BD32</f>
        <v>893.9840000000013</v>
      </c>
      <c r="P39" s="51">
        <f>Лист1!BE32</f>
        <v>-1495.38</v>
      </c>
      <c r="Q39" s="1"/>
      <c r="R39" s="1"/>
    </row>
    <row r="40" spans="1:18" ht="12.75">
      <c r="A40" s="13" t="s">
        <v>48</v>
      </c>
      <c r="B40" s="14">
        <f>Лист1!B33</f>
        <v>726.7</v>
      </c>
      <c r="C40" s="47">
        <f>Лист1!C33</f>
        <v>6285.955000000001</v>
      </c>
      <c r="D40" s="48">
        <f>Лист1!D33</f>
        <v>1301.5550000000019</v>
      </c>
      <c r="E40" s="19">
        <f>Лист1!S33</f>
        <v>4882.68</v>
      </c>
      <c r="F40" s="21">
        <f>Лист1!T33</f>
        <v>101.72</v>
      </c>
      <c r="G40" s="49">
        <f>Лист1!AB33</f>
        <v>568.3900000000001</v>
      </c>
      <c r="H40" s="49">
        <f>Лист1!AC33</f>
        <v>1971.665000000002</v>
      </c>
      <c r="I40" s="50">
        <f>Лист1!AG33</f>
        <v>436.02000000000004</v>
      </c>
      <c r="J40" s="19">
        <f>Лист1!AI33+Лист1!AJ33</f>
        <v>726.7</v>
      </c>
      <c r="K40" s="19">
        <f>Лист1!AH33+Лист1!AK33+Лист1!AL33+Лист1!AM33+Лист1!AN33+Лист1!AO33+Лист1!AP33</f>
        <v>2492.581</v>
      </c>
      <c r="L40" s="20">
        <f>Лист1!AQ33+Лист1!AR33+Лист1!AS33+Лист1!AU33+Лист1!AZ33+Лист1!BA33</f>
        <v>195</v>
      </c>
      <c r="M40" s="20">
        <f>Лист1!AX33</f>
        <v>193.41</v>
      </c>
      <c r="N40" s="21">
        <f>Лист1!BB33</f>
        <v>4543.711</v>
      </c>
      <c r="O40" s="51">
        <f>Лист1!BD33</f>
        <v>-2572.0459999999985</v>
      </c>
      <c r="P40" s="51">
        <f>Лист1!BE33</f>
        <v>-4314.29</v>
      </c>
      <c r="Q40" s="1"/>
      <c r="R40" s="1"/>
    </row>
    <row r="41" spans="1:18" ht="12.75">
      <c r="A41" s="13" t="s">
        <v>49</v>
      </c>
      <c r="B41" s="14">
        <f>Лист1!B34</f>
        <v>726.7</v>
      </c>
      <c r="C41" s="47">
        <f>Лист1!C34</f>
        <v>6285.955000000001</v>
      </c>
      <c r="D41" s="48">
        <f>Лист1!D34</f>
        <v>1304.7850000000008</v>
      </c>
      <c r="E41" s="19">
        <f>Лист1!S34</f>
        <v>4879.45</v>
      </c>
      <c r="F41" s="21">
        <f>Лист1!T34</f>
        <v>101.72</v>
      </c>
      <c r="G41" s="49">
        <f>Лист1!AB34</f>
        <v>1540.14</v>
      </c>
      <c r="H41" s="49">
        <f>Лист1!AC34</f>
        <v>2946.645000000001</v>
      </c>
      <c r="I41" s="50">
        <f>Лист1!AG34</f>
        <v>436.02000000000004</v>
      </c>
      <c r="J41" s="19">
        <f>Лист1!AI34+Лист1!AJ34</f>
        <v>726.7</v>
      </c>
      <c r="K41" s="19">
        <f>Лист1!AH34+Лист1!AK34+Лист1!AL34+Лист1!AM34+Лист1!AN34+Лист1!AO34+Лист1!AP34</f>
        <v>2492.581</v>
      </c>
      <c r="L41" s="20">
        <f>Лист1!AQ34+Лист1!AR34+Лист1!AS34+Лист1!AU34+Лист1!AZ34+Лист1!BA34</f>
        <v>322</v>
      </c>
      <c r="M41" s="20">
        <f>Лист1!AX34</f>
        <v>165.69</v>
      </c>
      <c r="N41" s="21">
        <f>Лист1!BB34</f>
        <v>4142.991</v>
      </c>
      <c r="O41" s="51">
        <f>Лист1!BD34</f>
        <v>-1196.345999999999</v>
      </c>
      <c r="P41" s="51">
        <f>Лист1!BE34</f>
        <v>-3339.3099999999995</v>
      </c>
      <c r="Q41" s="1"/>
      <c r="R41" s="1"/>
    </row>
    <row r="42" spans="1:18" ht="12.75">
      <c r="A42" s="13" t="s">
        <v>50</v>
      </c>
      <c r="B42" s="14">
        <f>Лист1!B35</f>
        <v>726.7</v>
      </c>
      <c r="C42" s="47">
        <f>Лист1!C35</f>
        <v>6285.955000000001</v>
      </c>
      <c r="D42" s="48">
        <f>Лист1!D35</f>
        <v>1301.595000000001</v>
      </c>
      <c r="E42" s="19">
        <f>Лист1!S35</f>
        <v>4882.64</v>
      </c>
      <c r="F42" s="21">
        <f>Лист1!T35</f>
        <v>101.72</v>
      </c>
      <c r="G42" s="49">
        <f>Лист1!AB35</f>
        <v>476.81</v>
      </c>
      <c r="H42" s="49">
        <f>Лист1!AC35</f>
        <v>1880.125000000001</v>
      </c>
      <c r="I42" s="50">
        <f>Лист1!AG35</f>
        <v>436.02000000000004</v>
      </c>
      <c r="J42" s="19">
        <f>Лист1!AI35+Лист1!AJ35</f>
        <v>726.7</v>
      </c>
      <c r="K42" s="19">
        <f>Лист1!AH35+Лист1!AK35+Лист1!AL35+Лист1!AM35+Лист1!AN35+Лист1!AO35+Лист1!AP35</f>
        <v>2492.581</v>
      </c>
      <c r="L42" s="20">
        <f>Лист1!AQ35+Лист1!AR35+Лист1!AS35+Лист1!AU35+Лист1!AZ35+Лист1!BA35</f>
        <v>0</v>
      </c>
      <c r="M42" s="20">
        <f>Лист1!AX35</f>
        <v>146.79</v>
      </c>
      <c r="N42" s="21">
        <f>Лист1!BB35</f>
        <v>3802.0910000000003</v>
      </c>
      <c r="O42" s="51">
        <f>Лист1!BD35</f>
        <v>-1921.9659999999994</v>
      </c>
      <c r="P42" s="51">
        <f>Лист1!BE35</f>
        <v>-4405.83</v>
      </c>
      <c r="Q42" s="1"/>
      <c r="R42" s="1"/>
    </row>
    <row r="43" spans="1:18" ht="12.75">
      <c r="A43" s="13" t="s">
        <v>51</v>
      </c>
      <c r="B43" s="14">
        <f>Лист1!B36</f>
        <v>726.7</v>
      </c>
      <c r="C43" s="47">
        <f>Лист1!C36</f>
        <v>6285.955000000001</v>
      </c>
      <c r="D43" s="48">
        <f>Лист1!D36</f>
        <v>1301.5950000000012</v>
      </c>
      <c r="E43" s="19">
        <f>Лист1!S36</f>
        <v>4984.36</v>
      </c>
      <c r="F43" s="21">
        <f>Лист1!T36</f>
        <v>0</v>
      </c>
      <c r="G43" s="49">
        <f>Лист1!AB36</f>
        <v>739.1</v>
      </c>
      <c r="H43" s="49">
        <f>Лист1!AC36</f>
        <v>2040.695000000001</v>
      </c>
      <c r="I43" s="50">
        <f>Лист1!AG36</f>
        <v>436.02000000000004</v>
      </c>
      <c r="J43" s="19">
        <f>Лист1!AI36+Лист1!AJ36</f>
        <v>726.7</v>
      </c>
      <c r="K43" s="19">
        <f>Лист1!AH36+Лист1!AK36+Лист1!AL36+Лист1!AM36+Лист1!AN36+Лист1!AO36+Лист1!AP36</f>
        <v>2492.581</v>
      </c>
      <c r="L43" s="20">
        <f>Лист1!AQ36+Лист1!AR36+Лист1!AS36+Лист1!AU36+Лист1!AZ36+Лист1!BA36</f>
        <v>26.2368</v>
      </c>
      <c r="M43" s="20">
        <f>Лист1!AX36</f>
        <v>156.24</v>
      </c>
      <c r="N43" s="21">
        <f>Лист1!BB36</f>
        <v>3983.537800000001</v>
      </c>
      <c r="O43" s="51">
        <f>Лист1!BD36</f>
        <v>-1942.8428</v>
      </c>
      <c r="P43" s="51">
        <f>Лист1!BE36</f>
        <v>-4245.259999999999</v>
      </c>
      <c r="Q43" s="1"/>
      <c r="R43" s="1"/>
    </row>
    <row r="44" spans="1:18" ht="12.75">
      <c r="A44" s="13" t="s">
        <v>52</v>
      </c>
      <c r="B44" s="14">
        <f>Лист1!B37</f>
        <v>726.7</v>
      </c>
      <c r="C44" s="47">
        <f>Лист1!C37</f>
        <v>6285.955000000001</v>
      </c>
      <c r="D44" s="48">
        <f>Лист1!D37</f>
        <v>1301.5950000000012</v>
      </c>
      <c r="E44" s="19">
        <f>Лист1!S37</f>
        <v>4984.36</v>
      </c>
      <c r="F44" s="21">
        <f>Лист1!T37</f>
        <v>0</v>
      </c>
      <c r="G44" s="49">
        <f>Лист1!AB37</f>
        <v>3396.71</v>
      </c>
      <c r="H44" s="49">
        <f>Лист1!AC37</f>
        <v>4698.305000000001</v>
      </c>
      <c r="I44" s="50">
        <f>Лист1!AG37</f>
        <v>436.02000000000004</v>
      </c>
      <c r="J44" s="19">
        <f>Лист1!AI37+Лист1!AJ37</f>
        <v>726.7</v>
      </c>
      <c r="K44" s="19">
        <f>Лист1!AH37+Лист1!AK37+Лист1!AL37+Лист1!AM37+Лист1!AN37+Лист1!AO37+Лист1!AP37</f>
        <v>2492.581</v>
      </c>
      <c r="L44" s="20">
        <f>Лист1!AQ37+Лист1!AR37+Лист1!AS37+Лист1!AU37+Лист1!AZ37+Лист1!BA37</f>
        <v>0</v>
      </c>
      <c r="M44" s="20">
        <f>Лист1!AX37</f>
        <v>184.58999999999997</v>
      </c>
      <c r="N44" s="21">
        <f>Лист1!BB37</f>
        <v>3887.6910000000007</v>
      </c>
      <c r="O44" s="51">
        <f>Лист1!BD37</f>
        <v>810.6140000000005</v>
      </c>
      <c r="P44" s="51">
        <f>Лист1!BE37</f>
        <v>-1587.6499999999996</v>
      </c>
      <c r="Q44" s="1"/>
      <c r="R44" s="1"/>
    </row>
    <row r="45" spans="1:18" ht="12.75">
      <c r="A45" s="13" t="s">
        <v>53</v>
      </c>
      <c r="B45" s="14">
        <f>Лист1!B38</f>
        <v>726.7</v>
      </c>
      <c r="C45" s="47">
        <f>Лист1!C38</f>
        <v>6285.955000000001</v>
      </c>
      <c r="D45" s="48">
        <f>Лист1!D38</f>
        <v>1297.8950000000007</v>
      </c>
      <c r="E45" s="19">
        <f>Лист1!S38</f>
        <v>4988.06</v>
      </c>
      <c r="F45" s="21">
        <f>Лист1!T38</f>
        <v>0</v>
      </c>
      <c r="G45" s="49">
        <f>Лист1!AB38</f>
        <v>1728.2300000000002</v>
      </c>
      <c r="H45" s="49">
        <f>Лист1!AC38</f>
        <v>3026.125000000001</v>
      </c>
      <c r="I45" s="50">
        <f>Лист1!AG38</f>
        <v>436.02000000000004</v>
      </c>
      <c r="J45" s="19">
        <f>Лист1!AI38+Лист1!AJ38</f>
        <v>726.7</v>
      </c>
      <c r="K45" s="19">
        <f>Лист1!AH38+Лист1!AK38+Лист1!AL38+Лист1!AM38+Лист1!AN38+Лист1!AO38+Лист1!AP38</f>
        <v>2492.581</v>
      </c>
      <c r="L45" s="20">
        <f>Лист1!AQ38+Лист1!AR38+Лист1!AS38+Лист1!AU38+Лист1!AZ38+Лист1!BA38</f>
        <v>288</v>
      </c>
      <c r="M45" s="20">
        <f>Лист1!AX38</f>
        <v>219.87</v>
      </c>
      <c r="N45" s="21">
        <f>Лист1!BB38</f>
        <v>4163.171</v>
      </c>
      <c r="O45" s="51">
        <f>Лист1!BD38</f>
        <v>-1137.0459999999994</v>
      </c>
      <c r="P45" s="51">
        <f>Лист1!BE38</f>
        <v>-3259.83</v>
      </c>
      <c r="Q45" s="1"/>
      <c r="R45" s="1"/>
    </row>
    <row r="46" spans="1:18" ht="12.75">
      <c r="A46" s="13" t="s">
        <v>41</v>
      </c>
      <c r="B46" s="14">
        <f>Лист1!B39</f>
        <v>726.7</v>
      </c>
      <c r="C46" s="47">
        <f>Лист1!C39</f>
        <v>6285.955000000001</v>
      </c>
      <c r="D46" s="48">
        <f>Лист1!D39</f>
        <v>1299.7950000000005</v>
      </c>
      <c r="E46" s="19">
        <f>Лист1!S39</f>
        <v>4986.16</v>
      </c>
      <c r="F46" s="21">
        <f>Лист1!T39</f>
        <v>0</v>
      </c>
      <c r="G46" s="49">
        <f>Лист1!AB39</f>
        <v>2620.89</v>
      </c>
      <c r="H46" s="49">
        <f>Лист1!AC39</f>
        <v>3920.6850000000004</v>
      </c>
      <c r="I46" s="50">
        <f>Лист1!AG39</f>
        <v>436.02000000000004</v>
      </c>
      <c r="J46" s="19">
        <f>Лист1!AI39+Лист1!AJ39</f>
        <v>726.7</v>
      </c>
      <c r="K46" s="19">
        <f>Лист1!AH39+Лист1!AK39+Лист1!AL39+Лист1!AM39+Лист1!AN39+Лист1!AO39+Лист1!AP39</f>
        <v>2492.581</v>
      </c>
      <c r="L46" s="20">
        <f>Лист1!AQ39+Лист1!AR39+Лист1!AS39+Лист1!AU39+Лист1!AZ39+Лист1!BA39</f>
        <v>0</v>
      </c>
      <c r="M46" s="20">
        <f>Лист1!AX39</f>
        <v>267.75</v>
      </c>
      <c r="N46" s="21">
        <f>Лист1!BB39</f>
        <v>3923.0510000000004</v>
      </c>
      <c r="O46" s="51">
        <f>Лист1!BD39</f>
        <v>-2.3659999999999854</v>
      </c>
      <c r="P46" s="51">
        <f>Лист1!BE39</f>
        <v>-2365.27</v>
      </c>
      <c r="Q46" s="1"/>
      <c r="R46" s="1"/>
    </row>
    <row r="47" spans="1:18" ht="12.75">
      <c r="A47" s="13" t="s">
        <v>42</v>
      </c>
      <c r="B47" s="14">
        <f>Лист1!B40</f>
        <v>726.7</v>
      </c>
      <c r="C47" s="47">
        <f>Лист1!C40</f>
        <v>6285.955000000001</v>
      </c>
      <c r="D47" s="48">
        <f>Лист1!D40</f>
        <v>1301.5950000000012</v>
      </c>
      <c r="E47" s="19">
        <f>Лист1!S40</f>
        <v>4984.36</v>
      </c>
      <c r="F47" s="21">
        <f>Лист1!T40</f>
        <v>0</v>
      </c>
      <c r="G47" s="49">
        <f>Лист1!AB40</f>
        <v>858</v>
      </c>
      <c r="H47" s="49">
        <f>Лист1!AC40</f>
        <v>2159.595000000001</v>
      </c>
      <c r="I47" s="50">
        <f>Лист1!AG40</f>
        <v>436.02000000000004</v>
      </c>
      <c r="J47" s="19">
        <f>Лист1!AI40+Лист1!AJ40</f>
        <v>726.7</v>
      </c>
      <c r="K47" s="19">
        <f>Лист1!AH40+Лист1!AK40+Лист1!AL40+Лист1!AM40+Лист1!AN40+Лист1!AO40+Лист1!AP40</f>
        <v>2492.581</v>
      </c>
      <c r="L47" s="20">
        <f>Лист1!AQ40+Лист1!AR40+Лист1!AS40+Лист1!AU40+Лист1!AZ40+Лист1!BA40</f>
        <v>0</v>
      </c>
      <c r="M47" s="20">
        <f>Лист1!AX40</f>
        <v>296.09999999999997</v>
      </c>
      <c r="N47" s="21">
        <f>Лист1!BB40</f>
        <v>3951.4010000000007</v>
      </c>
      <c r="O47" s="51">
        <f>Лист1!BD40</f>
        <v>-1791.8059999999996</v>
      </c>
      <c r="P47" s="51">
        <f>Лист1!BE40</f>
        <v>-4126.36</v>
      </c>
      <c r="Q47" s="1"/>
      <c r="R47" s="1"/>
    </row>
    <row r="48" spans="1:18" ht="13.5" thickBot="1">
      <c r="A48" s="52" t="s">
        <v>43</v>
      </c>
      <c r="B48" s="14">
        <f>Лист1!B41</f>
        <v>726.7</v>
      </c>
      <c r="C48" s="47">
        <f>Лист1!C41</f>
        <v>6285.955000000001</v>
      </c>
      <c r="D48" s="48">
        <f>Лист1!D41</f>
        <v>21301.595</v>
      </c>
      <c r="E48" s="19">
        <f>Лист1!S41</f>
        <v>4984.36</v>
      </c>
      <c r="F48" s="21">
        <f>Лист1!T41</f>
        <v>0</v>
      </c>
      <c r="G48" s="49">
        <f>Лист1!AB41</f>
        <v>1418.99</v>
      </c>
      <c r="H48" s="49">
        <f>Лист1!AC41</f>
        <v>22720.585000000003</v>
      </c>
      <c r="I48" s="50">
        <f>Лист1!AG41</f>
        <v>436.02000000000004</v>
      </c>
      <c r="J48" s="19">
        <f>Лист1!AI41+Лист1!AJ41</f>
        <v>726.7</v>
      </c>
      <c r="K48" s="19">
        <f>Лист1!AH41+Лист1!AK41+Лист1!AL41+Лист1!AM41+Лист1!AN41+Лист1!AO41+Лист1!AP41</f>
        <v>2492.581</v>
      </c>
      <c r="L48" s="20">
        <f>Лист1!AQ41+Лист1!AR41+Лист1!AS41+Лист1!AU41+Лист1!AZ41+Лист1!BA41</f>
        <v>0</v>
      </c>
      <c r="M48" s="20">
        <f>Лист1!AX41</f>
        <v>323.82</v>
      </c>
      <c r="N48" s="21">
        <f>Лист1!BB41</f>
        <v>3979.121</v>
      </c>
      <c r="O48" s="51">
        <f>Лист1!BD41</f>
        <v>18741.464000000004</v>
      </c>
      <c r="P48" s="51">
        <f>Лист1!BE41</f>
        <v>-3565.37</v>
      </c>
      <c r="Q48" s="1"/>
      <c r="R48" s="1"/>
    </row>
    <row r="49" spans="1:18" s="28" customFormat="1" ht="13.5" thickBot="1">
      <c r="A49" s="54" t="s">
        <v>5</v>
      </c>
      <c r="B49" s="55"/>
      <c r="C49" s="56">
        <f aca="true" t="shared" si="3" ref="C49:J49">SUM(C37:C48)</f>
        <v>75431.46</v>
      </c>
      <c r="D49" s="57">
        <f t="shared" si="3"/>
        <v>35621.28000000001</v>
      </c>
      <c r="E49" s="56">
        <f t="shared" si="3"/>
        <v>59199.86</v>
      </c>
      <c r="F49" s="58">
        <f t="shared" si="3"/>
        <v>610.32</v>
      </c>
      <c r="G49" s="59">
        <f t="shared" si="3"/>
        <v>18118.940000000002</v>
      </c>
      <c r="H49" s="56">
        <f t="shared" si="3"/>
        <v>54350.540000000015</v>
      </c>
      <c r="I49" s="57">
        <f t="shared" si="3"/>
        <v>5232.240000000002</v>
      </c>
      <c r="J49" s="56">
        <f t="shared" si="3"/>
        <v>8720.4</v>
      </c>
      <c r="K49" s="56">
        <f aca="true" t="shared" si="4" ref="K49:P49">SUM(K37:K48)</f>
        <v>29910.971999999994</v>
      </c>
      <c r="L49" s="56">
        <f t="shared" si="4"/>
        <v>2131.2367999999997</v>
      </c>
      <c r="M49" s="56">
        <f t="shared" si="4"/>
        <v>2772</v>
      </c>
      <c r="N49" s="58">
        <f t="shared" si="4"/>
        <v>49460.408800000005</v>
      </c>
      <c r="O49" s="60">
        <f t="shared" si="4"/>
        <v>4890.131200000011</v>
      </c>
      <c r="P49" s="60">
        <f t="shared" si="4"/>
        <v>-41080.92</v>
      </c>
      <c r="Q49" s="62"/>
      <c r="R49" s="62"/>
    </row>
    <row r="50" spans="1:18" ht="13.5" thickBot="1">
      <c r="A50" s="352" t="s">
        <v>68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69"/>
      <c r="Q50" s="1"/>
      <c r="R50" s="1"/>
    </row>
    <row r="51" spans="1:18" s="28" customFormat="1" ht="13.5" thickBot="1">
      <c r="A51" s="70" t="s">
        <v>54</v>
      </c>
      <c r="B51" s="71"/>
      <c r="C51" s="72">
        <f>C35+C49</f>
        <v>167844.60000000003</v>
      </c>
      <c r="D51" s="73">
        <f aca="true" t="shared" si="5" ref="D51:P51">D35+D49</f>
        <v>53198.41448160002</v>
      </c>
      <c r="E51" s="71">
        <f t="shared" si="5"/>
        <v>126610.37000000001</v>
      </c>
      <c r="F51" s="72">
        <f t="shared" si="5"/>
        <v>1991.6400000000003</v>
      </c>
      <c r="G51" s="73">
        <f t="shared" si="5"/>
        <v>33214.64</v>
      </c>
      <c r="H51" s="72">
        <f t="shared" si="5"/>
        <v>88404.69448160002</v>
      </c>
      <c r="I51" s="73">
        <f t="shared" si="5"/>
        <v>11467.992000000002</v>
      </c>
      <c r="J51" s="71">
        <f t="shared" si="5"/>
        <v>19035.517863735004</v>
      </c>
      <c r="K51" s="71">
        <f t="shared" si="5"/>
        <v>65286.5932823818</v>
      </c>
      <c r="L51" s="71">
        <f t="shared" si="5"/>
        <v>25168.329599999997</v>
      </c>
      <c r="M51" s="71">
        <f t="shared" si="5"/>
        <v>5388.768</v>
      </c>
      <c r="N51" s="74">
        <f t="shared" si="5"/>
        <v>127040.7607461168</v>
      </c>
      <c r="O51" s="75">
        <f t="shared" si="5"/>
        <v>-38636.06626451679</v>
      </c>
      <c r="P51" s="75">
        <f t="shared" si="5"/>
        <v>-93395.73</v>
      </c>
      <c r="Q51" s="76"/>
      <c r="R51" s="62"/>
    </row>
    <row r="53" spans="1:18" ht="12.75">
      <c r="A53" s="28" t="s">
        <v>85</v>
      </c>
      <c r="D53" s="184" t="s">
        <v>91</v>
      </c>
      <c r="Q53" s="1"/>
      <c r="R53" s="1"/>
    </row>
    <row r="54" spans="1:18" ht="12.75">
      <c r="A54" s="32" t="s">
        <v>69</v>
      </c>
      <c r="B54" s="32" t="s">
        <v>70</v>
      </c>
      <c r="C54" s="354" t="s">
        <v>71</v>
      </c>
      <c r="D54" s="354"/>
      <c r="Q54" s="1"/>
      <c r="R54" s="1"/>
    </row>
    <row r="55" spans="1:18" ht="12.75">
      <c r="A55" s="134">
        <v>18572.95</v>
      </c>
      <c r="B55" s="134">
        <v>0</v>
      </c>
      <c r="C55" s="350">
        <f>A55-B55</f>
        <v>18572.95</v>
      </c>
      <c r="D55" s="351"/>
      <c r="Q55" s="1"/>
      <c r="R55" s="1"/>
    </row>
    <row r="56" spans="1:18" ht="12.75">
      <c r="A56" s="77"/>
      <c r="Q56" s="1"/>
      <c r="R56" s="1"/>
    </row>
    <row r="57" spans="1:18" ht="12.75">
      <c r="A57" s="77"/>
      <c r="Q57" s="1"/>
      <c r="R57" s="1"/>
    </row>
    <row r="58" spans="1:18" ht="12.75">
      <c r="A58" s="2" t="s">
        <v>72</v>
      </c>
      <c r="G58" s="2" t="s">
        <v>73</v>
      </c>
      <c r="Q58" s="1"/>
      <c r="R58" s="1"/>
    </row>
    <row r="59" ht="12.75">
      <c r="A59" s="1"/>
    </row>
    <row r="60" ht="12.75">
      <c r="A60" s="1" t="s">
        <v>84</v>
      </c>
    </row>
    <row r="61" ht="12.75">
      <c r="A61" s="2" t="s">
        <v>74</v>
      </c>
    </row>
  </sheetData>
  <sheetProtection/>
  <mergeCells count="23">
    <mergeCell ref="C55:D55"/>
    <mergeCell ref="A34:O34"/>
    <mergeCell ref="C54:D54"/>
    <mergeCell ref="A50:O50"/>
    <mergeCell ref="P10:P13"/>
    <mergeCell ref="E12:F12"/>
    <mergeCell ref="H12:H13"/>
    <mergeCell ref="I12:I13"/>
    <mergeCell ref="J12:J13"/>
    <mergeCell ref="G10:H11"/>
    <mergeCell ref="O10:O13"/>
    <mergeCell ref="A6:O6"/>
    <mergeCell ref="A10:A13"/>
    <mergeCell ref="B10:B13"/>
    <mergeCell ref="C10:C13"/>
    <mergeCell ref="D10:D13"/>
    <mergeCell ref="A7:G7"/>
    <mergeCell ref="L12:L13"/>
    <mergeCell ref="E10:F11"/>
    <mergeCell ref="N12:N13"/>
    <mergeCell ref="M12:M13"/>
    <mergeCell ref="K12:K13"/>
    <mergeCell ref="I10:N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1"/>
  <sheetViews>
    <sheetView zoomScalePageLayoutView="0" workbookViewId="0" topLeftCell="A1">
      <pane xSplit="2" ySplit="7" topLeftCell="AK8" activePane="bottomRight" state="frozen"/>
      <selection pane="topLeft" activeCell="I30" sqref="I30:M30"/>
      <selection pane="topRight" activeCell="I30" sqref="I30:M30"/>
      <selection pane="bottomLeft" activeCell="I30" sqref="I30:M30"/>
      <selection pane="bottomRight" activeCell="AU10" sqref="AU10:AW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0.8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58" width="12.75390625" style="2" customWidth="1"/>
    <col min="59" max="59" width="12.125" style="2" customWidth="1"/>
    <col min="60" max="16384" width="9.125" style="2" customWidth="1"/>
  </cols>
  <sheetData>
    <row r="1" spans="1:18" ht="21" customHeight="1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384" t="s">
        <v>0</v>
      </c>
      <c r="B3" s="386" t="s">
        <v>1</v>
      </c>
      <c r="C3" s="388" t="s">
        <v>2</v>
      </c>
      <c r="D3" s="390" t="s">
        <v>3</v>
      </c>
      <c r="E3" s="384" t="s">
        <v>94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26"/>
      <c r="S3" s="384"/>
      <c r="T3" s="392"/>
      <c r="U3" s="384" t="s">
        <v>5</v>
      </c>
      <c r="V3" s="392"/>
      <c r="W3" s="396" t="s">
        <v>6</v>
      </c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8"/>
      <c r="AJ3" s="424" t="s">
        <v>95</v>
      </c>
      <c r="AK3" s="414" t="s">
        <v>10</v>
      </c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6"/>
      <c r="BE3" s="279"/>
      <c r="BF3" s="280"/>
      <c r="BG3" s="281"/>
    </row>
    <row r="4" spans="1:58" ht="51.75" customHeight="1" hidden="1" thickBot="1">
      <c r="A4" s="385"/>
      <c r="B4" s="387"/>
      <c r="C4" s="389"/>
      <c r="D4" s="391"/>
      <c r="E4" s="385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56"/>
      <c r="S4" s="394"/>
      <c r="T4" s="395"/>
      <c r="U4" s="394"/>
      <c r="V4" s="395"/>
      <c r="W4" s="399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1"/>
      <c r="AJ4" s="425"/>
      <c r="AK4" s="417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9"/>
      <c r="BE4" s="226"/>
      <c r="BF4" s="225"/>
    </row>
    <row r="5" spans="1:61" ht="19.5" customHeight="1">
      <c r="A5" s="385"/>
      <c r="B5" s="387"/>
      <c r="C5" s="389"/>
      <c r="D5" s="391"/>
      <c r="E5" s="363" t="s">
        <v>13</v>
      </c>
      <c r="F5" s="364"/>
      <c r="G5" s="363" t="s">
        <v>96</v>
      </c>
      <c r="H5" s="364"/>
      <c r="I5" s="363" t="s">
        <v>14</v>
      </c>
      <c r="J5" s="364"/>
      <c r="K5" s="363" t="s">
        <v>16</v>
      </c>
      <c r="L5" s="364"/>
      <c r="M5" s="363" t="s">
        <v>15</v>
      </c>
      <c r="N5" s="364"/>
      <c r="O5" s="367" t="s">
        <v>17</v>
      </c>
      <c r="P5" s="367"/>
      <c r="Q5" s="363" t="s">
        <v>97</v>
      </c>
      <c r="R5" s="364"/>
      <c r="S5" s="367" t="s">
        <v>98</v>
      </c>
      <c r="T5" s="364"/>
      <c r="U5" s="380" t="s">
        <v>20</v>
      </c>
      <c r="V5" s="422" t="s">
        <v>21</v>
      </c>
      <c r="W5" s="369" t="s">
        <v>22</v>
      </c>
      <c r="X5" s="369" t="s">
        <v>99</v>
      </c>
      <c r="Y5" s="369" t="s">
        <v>23</v>
      </c>
      <c r="Z5" s="369" t="s">
        <v>25</v>
      </c>
      <c r="AA5" s="369" t="s">
        <v>24</v>
      </c>
      <c r="AB5" s="369" t="s">
        <v>26</v>
      </c>
      <c r="AC5" s="369" t="s">
        <v>27</v>
      </c>
      <c r="AD5" s="382" t="s">
        <v>28</v>
      </c>
      <c r="AE5" s="382" t="s">
        <v>100</v>
      </c>
      <c r="AF5" s="376" t="s">
        <v>29</v>
      </c>
      <c r="AG5" s="378" t="s">
        <v>101</v>
      </c>
      <c r="AH5" s="402" t="s">
        <v>8</v>
      </c>
      <c r="AI5" s="404" t="s">
        <v>9</v>
      </c>
      <c r="AJ5" s="425"/>
      <c r="AK5" s="406" t="s">
        <v>102</v>
      </c>
      <c r="AL5" s="408" t="s">
        <v>103</v>
      </c>
      <c r="AM5" s="408" t="s">
        <v>104</v>
      </c>
      <c r="AN5" s="371" t="s">
        <v>105</v>
      </c>
      <c r="AO5" s="408" t="s">
        <v>106</v>
      </c>
      <c r="AP5" s="371" t="s">
        <v>107</v>
      </c>
      <c r="AQ5" s="371" t="s">
        <v>108</v>
      </c>
      <c r="AR5" s="371" t="s">
        <v>121</v>
      </c>
      <c r="AS5" s="371" t="s">
        <v>109</v>
      </c>
      <c r="AT5" s="371" t="s">
        <v>36</v>
      </c>
      <c r="AU5" s="311" t="s">
        <v>110</v>
      </c>
      <c r="AV5" s="321" t="s">
        <v>111</v>
      </c>
      <c r="AW5" s="311" t="s">
        <v>112</v>
      </c>
      <c r="AX5" s="316" t="s">
        <v>113</v>
      </c>
      <c r="AY5" s="185"/>
      <c r="AZ5" s="412" t="s">
        <v>19</v>
      </c>
      <c r="BA5" s="371" t="s">
        <v>38</v>
      </c>
      <c r="BB5" s="371" t="s">
        <v>33</v>
      </c>
      <c r="BC5" s="410" t="s">
        <v>39</v>
      </c>
      <c r="BD5" s="420" t="s">
        <v>87</v>
      </c>
      <c r="BE5" s="371" t="s">
        <v>114</v>
      </c>
      <c r="BF5" s="373" t="s">
        <v>11</v>
      </c>
      <c r="BG5" s="373" t="s">
        <v>12</v>
      </c>
      <c r="BH5" s="189"/>
      <c r="BI5" s="190"/>
    </row>
    <row r="6" spans="1:61" ht="56.25" customHeight="1" thickBot="1">
      <c r="A6" s="385"/>
      <c r="B6" s="387"/>
      <c r="C6" s="389"/>
      <c r="D6" s="391"/>
      <c r="E6" s="365"/>
      <c r="F6" s="366"/>
      <c r="G6" s="365"/>
      <c r="H6" s="366"/>
      <c r="I6" s="365"/>
      <c r="J6" s="366"/>
      <c r="K6" s="365"/>
      <c r="L6" s="366"/>
      <c r="M6" s="365"/>
      <c r="N6" s="366"/>
      <c r="O6" s="375"/>
      <c r="P6" s="375"/>
      <c r="Q6" s="365"/>
      <c r="R6" s="366"/>
      <c r="S6" s="368"/>
      <c r="T6" s="366"/>
      <c r="U6" s="381"/>
      <c r="V6" s="423"/>
      <c r="W6" s="370"/>
      <c r="X6" s="370"/>
      <c r="Y6" s="370"/>
      <c r="Z6" s="370"/>
      <c r="AA6" s="370"/>
      <c r="AB6" s="370"/>
      <c r="AC6" s="370"/>
      <c r="AD6" s="383"/>
      <c r="AE6" s="383"/>
      <c r="AF6" s="377"/>
      <c r="AG6" s="379"/>
      <c r="AH6" s="403"/>
      <c r="AI6" s="405"/>
      <c r="AJ6" s="426"/>
      <c r="AK6" s="407"/>
      <c r="AL6" s="409"/>
      <c r="AM6" s="409"/>
      <c r="AN6" s="372"/>
      <c r="AO6" s="409"/>
      <c r="AP6" s="372"/>
      <c r="AQ6" s="372"/>
      <c r="AR6" s="372"/>
      <c r="AS6" s="372"/>
      <c r="AT6" s="372"/>
      <c r="AU6" s="312"/>
      <c r="AV6" s="322"/>
      <c r="AW6" s="312"/>
      <c r="AX6" s="317"/>
      <c r="AY6" s="186" t="s">
        <v>115</v>
      </c>
      <c r="AZ6" s="413"/>
      <c r="BA6" s="372"/>
      <c r="BB6" s="372"/>
      <c r="BC6" s="411"/>
      <c r="BD6" s="421"/>
      <c r="BE6" s="372"/>
      <c r="BF6" s="374"/>
      <c r="BG6" s="374"/>
      <c r="BH6" s="189"/>
      <c r="BI6" s="190"/>
    </row>
    <row r="7" spans="1:61" ht="19.5" customHeight="1" thickBot="1">
      <c r="A7" s="191">
        <v>1</v>
      </c>
      <c r="B7" s="192">
        <v>2</v>
      </c>
      <c r="C7" s="192">
        <v>3</v>
      </c>
      <c r="D7" s="191">
        <v>4</v>
      </c>
      <c r="E7" s="192">
        <v>5</v>
      </c>
      <c r="F7" s="192">
        <v>6</v>
      </c>
      <c r="G7" s="191">
        <v>7</v>
      </c>
      <c r="H7" s="192">
        <v>8</v>
      </c>
      <c r="I7" s="192">
        <v>9</v>
      </c>
      <c r="J7" s="191">
        <v>10</v>
      </c>
      <c r="K7" s="192">
        <v>11</v>
      </c>
      <c r="L7" s="192">
        <v>12</v>
      </c>
      <c r="M7" s="191">
        <v>13</v>
      </c>
      <c r="N7" s="192">
        <v>14</v>
      </c>
      <c r="O7" s="192">
        <v>15</v>
      </c>
      <c r="P7" s="191">
        <v>16</v>
      </c>
      <c r="Q7" s="192">
        <v>17</v>
      </c>
      <c r="R7" s="192">
        <v>18</v>
      </c>
      <c r="S7" s="191">
        <v>19</v>
      </c>
      <c r="T7" s="192">
        <v>20</v>
      </c>
      <c r="U7" s="192">
        <v>21</v>
      </c>
      <c r="V7" s="191">
        <v>22</v>
      </c>
      <c r="W7" s="192">
        <v>23</v>
      </c>
      <c r="X7" s="191">
        <v>24</v>
      </c>
      <c r="Y7" s="192">
        <v>25</v>
      </c>
      <c r="Z7" s="191">
        <v>26</v>
      </c>
      <c r="AA7" s="192">
        <v>27</v>
      </c>
      <c r="AB7" s="191">
        <v>28</v>
      </c>
      <c r="AC7" s="192">
        <v>29</v>
      </c>
      <c r="AD7" s="191">
        <v>30</v>
      </c>
      <c r="AE7" s="191">
        <v>31</v>
      </c>
      <c r="AF7" s="192">
        <v>32</v>
      </c>
      <c r="AG7" s="191">
        <v>33</v>
      </c>
      <c r="AH7" s="192">
        <v>34</v>
      </c>
      <c r="AI7" s="191">
        <v>35</v>
      </c>
      <c r="AJ7" s="192">
        <v>36</v>
      </c>
      <c r="AK7" s="191">
        <v>37</v>
      </c>
      <c r="AL7" s="192">
        <v>38</v>
      </c>
      <c r="AM7" s="191">
        <v>39</v>
      </c>
      <c r="AN7" s="191">
        <v>40</v>
      </c>
      <c r="AO7" s="192">
        <v>41</v>
      </c>
      <c r="AP7" s="191">
        <v>42</v>
      </c>
      <c r="AQ7" s="192">
        <v>43</v>
      </c>
      <c r="AR7" s="191"/>
      <c r="AS7" s="191">
        <v>44</v>
      </c>
      <c r="AT7" s="192">
        <v>45</v>
      </c>
      <c r="AU7" s="191">
        <v>46</v>
      </c>
      <c r="AV7" s="192">
        <v>47</v>
      </c>
      <c r="AW7" s="191">
        <v>48</v>
      </c>
      <c r="AX7" s="191">
        <v>49</v>
      </c>
      <c r="AY7" s="192"/>
      <c r="AZ7" s="192">
        <v>50</v>
      </c>
      <c r="BA7" s="192">
        <v>51</v>
      </c>
      <c r="BB7" s="192">
        <v>52</v>
      </c>
      <c r="BC7" s="192">
        <v>53</v>
      </c>
      <c r="BD7" s="192">
        <v>54</v>
      </c>
      <c r="BE7" s="192"/>
      <c r="BF7" s="192">
        <v>55</v>
      </c>
      <c r="BG7" s="192">
        <v>56</v>
      </c>
      <c r="BH7" s="190"/>
      <c r="BI7" s="190"/>
    </row>
    <row r="8" spans="1:59" s="28" customFormat="1" ht="13.5" thickBot="1">
      <c r="A8" s="193" t="s">
        <v>54</v>
      </c>
      <c r="B8" s="194"/>
      <c r="C8" s="194">
        <f>Лист1!C44</f>
        <v>167844.60000000003</v>
      </c>
      <c r="D8" s="194">
        <f>Лист1!D44</f>
        <v>53198.41448160002</v>
      </c>
      <c r="E8" s="194">
        <f>Лист1!E44</f>
        <v>17063.11</v>
      </c>
      <c r="F8" s="194">
        <f>Лист1!F44</f>
        <v>270.34000000000003</v>
      </c>
      <c r="G8" s="194">
        <f>0</f>
        <v>0</v>
      </c>
      <c r="H8" s="194">
        <f>0</f>
        <v>0</v>
      </c>
      <c r="I8" s="194">
        <f>Лист1!G44</f>
        <v>23105.33</v>
      </c>
      <c r="J8" s="194">
        <f>Лист1!H44</f>
        <v>365.96000000000004</v>
      </c>
      <c r="K8" s="194">
        <f>Лист1!K44</f>
        <v>29758.140000000003</v>
      </c>
      <c r="L8" s="194">
        <f>Лист1!L44</f>
        <v>465.64</v>
      </c>
      <c r="M8" s="194">
        <f>Лист1!I44</f>
        <v>43033.37</v>
      </c>
      <c r="N8" s="194">
        <f>Лист1!J44</f>
        <v>673.54</v>
      </c>
      <c r="O8" s="194">
        <f>Лист1!M44</f>
        <v>13650.42</v>
      </c>
      <c r="P8" s="194">
        <f>Лист1!N44</f>
        <v>216.15999999999997</v>
      </c>
      <c r="Q8" s="194">
        <f>'[2]Лист1'!O44</f>
        <v>0</v>
      </c>
      <c r="R8" s="194">
        <f>'[2]Лист1'!P44</f>
        <v>0</v>
      </c>
      <c r="S8" s="194">
        <f>'[2]Лист1'!Q44</f>
        <v>0</v>
      </c>
      <c r="T8" s="194">
        <f>'[2]Лист1'!R44</f>
        <v>0</v>
      </c>
      <c r="U8" s="194">
        <f>Лист1!S44</f>
        <v>126610.37000000001</v>
      </c>
      <c r="V8" s="194">
        <f>Лист1!T44</f>
        <v>1991.6400000000003</v>
      </c>
      <c r="W8" s="194">
        <f>Лист1!U44</f>
        <v>4522.620000000001</v>
      </c>
      <c r="X8" s="194">
        <v>0</v>
      </c>
      <c r="Y8" s="194">
        <f>Лист1!V44</f>
        <v>6121.73</v>
      </c>
      <c r="Z8" s="194">
        <f>Лист1!X44</f>
        <v>7746.3099999999995</v>
      </c>
      <c r="AA8" s="194">
        <f>Лист1!W44</f>
        <v>11205.89</v>
      </c>
      <c r="AB8" s="194">
        <f>Лист1!Y44</f>
        <v>3618.09</v>
      </c>
      <c r="AC8" s="194">
        <f>'[1]Лист1'!Z46</f>
        <v>0</v>
      </c>
      <c r="AD8" s="194">
        <f>'[1]Лист1'!AA46</f>
        <v>0</v>
      </c>
      <c r="AF8" s="194">
        <f>Лист1!AB44</f>
        <v>33214.64</v>
      </c>
      <c r="AG8" s="194">
        <f>Лист1!AC44</f>
        <v>88404.69448160002</v>
      </c>
      <c r="AH8" s="194">
        <f>'[1]Лист1'!AD46</f>
        <v>0</v>
      </c>
      <c r="AI8" s="194">
        <f>'[1]Лист1'!AE46</f>
        <v>0</v>
      </c>
      <c r="AJ8" s="194">
        <f>'[1]Лист1'!AF46</f>
        <v>0</v>
      </c>
      <c r="AK8" s="31">
        <f>Лист1!AG44</f>
        <v>11467.992000000002</v>
      </c>
      <c r="AL8" s="31">
        <f>Лист1!AH44</f>
        <v>3841.6679403999997</v>
      </c>
      <c r="AM8" s="194">
        <f>Лист1!AI44+Лист1!AJ44</f>
        <v>19035.517863735</v>
      </c>
      <c r="AN8" s="194">
        <v>0</v>
      </c>
      <c r="AO8" s="194">
        <f>Лист1!AK44+Лист1!AL44</f>
        <v>18950.2546107082</v>
      </c>
      <c r="AP8" s="194">
        <f>Лист1!AM44+Лист1!AN44</f>
        <v>42494.6707312736</v>
      </c>
      <c r="AQ8" s="194">
        <v>0</v>
      </c>
      <c r="AR8" s="194"/>
      <c r="AS8" s="194">
        <v>0</v>
      </c>
      <c r="AT8" s="194">
        <f>'[2]Лист1'!AO44+'[2]Лист1'!AP44</f>
        <v>0</v>
      </c>
      <c r="AU8" s="194">
        <f>Лист1!AS44+Лист1!AU44</f>
        <v>25168.329599999997</v>
      </c>
      <c r="AV8" s="194">
        <f>0</f>
        <v>0</v>
      </c>
      <c r="AW8" s="194">
        <f>Лист1!AT44</f>
        <v>693.56</v>
      </c>
      <c r="AX8" s="194">
        <f>Лист1!AQ44+Лист1!AR44</f>
        <v>0</v>
      </c>
      <c r="AY8" s="195">
        <f>Лист1!AX44</f>
        <v>5388.768</v>
      </c>
      <c r="AZ8" s="195">
        <f>'[1]Лист1'!AY46</f>
        <v>0</v>
      </c>
      <c r="BA8" s="195">
        <f>'[1]Лист1'!AZ46</f>
        <v>0</v>
      </c>
      <c r="BB8" s="195">
        <f>'[1]Лист1'!BA46</f>
        <v>0</v>
      </c>
      <c r="BC8" s="195">
        <f>Лист1!BB44</f>
        <v>127040.7607461168</v>
      </c>
      <c r="BD8" s="195">
        <f>'[1]Лист1'!BC46</f>
        <v>0</v>
      </c>
      <c r="BE8" s="196">
        <f>BC8</f>
        <v>127040.7607461168</v>
      </c>
      <c r="BF8" s="197">
        <f>Лист1!BD44</f>
        <v>-38636.06626451679</v>
      </c>
      <c r="BG8" s="197">
        <f>Лист1!BE44</f>
        <v>-93395.73</v>
      </c>
    </row>
    <row r="9" spans="1:60" ht="12.75">
      <c r="A9" s="5" t="s">
        <v>116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198"/>
      <c r="BF9" s="197"/>
      <c r="BG9" s="199"/>
      <c r="BH9" s="1"/>
    </row>
    <row r="10" spans="1:70" ht="12.75">
      <c r="A10" s="13" t="s">
        <v>45</v>
      </c>
      <c r="B10" s="158">
        <v>726.7</v>
      </c>
      <c r="C10" s="133">
        <f>(B10*0.87)+((B10*5.17*0.9*0.9)+(B10*2.51*0.9*0.9))</f>
        <v>5152.884360000001</v>
      </c>
      <c r="D10" s="116">
        <v>630.3264000000001</v>
      </c>
      <c r="E10" s="162">
        <v>0</v>
      </c>
      <c r="F10" s="162">
        <v>0</v>
      </c>
      <c r="G10" s="159">
        <v>2900.39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1477.2</v>
      </c>
      <c r="N10" s="159">
        <v>0</v>
      </c>
      <c r="O10" s="160">
        <v>633.05</v>
      </c>
      <c r="P10" s="228">
        <v>0</v>
      </c>
      <c r="Q10" s="229">
        <v>0</v>
      </c>
      <c r="R10" s="230">
        <v>0</v>
      </c>
      <c r="S10" s="231">
        <v>0</v>
      </c>
      <c r="T10" s="232">
        <v>0</v>
      </c>
      <c r="U10" s="233">
        <f aca="true" t="shared" si="0" ref="U10:V21">E10+G10+I10+K10+M10+O10+Q10+S10</f>
        <v>5010.64</v>
      </c>
      <c r="V10" s="234">
        <f t="shared" si="0"/>
        <v>0</v>
      </c>
      <c r="W10" s="159">
        <v>210.82</v>
      </c>
      <c r="X10" s="159"/>
      <c r="Y10" s="159">
        <v>285.74</v>
      </c>
      <c r="Z10" s="159">
        <v>381.73</v>
      </c>
      <c r="AA10" s="159">
        <v>551.75</v>
      </c>
      <c r="AB10" s="159">
        <v>168.67</v>
      </c>
      <c r="AC10" s="159">
        <v>0</v>
      </c>
      <c r="AD10" s="162">
        <v>0</v>
      </c>
      <c r="AE10" s="235">
        <v>0</v>
      </c>
      <c r="AF10" s="235">
        <f>SUM(W10:AE10)</f>
        <v>1598.71</v>
      </c>
      <c r="AG10" s="201">
        <f>AF10+V10+D10</f>
        <v>2229.0364</v>
      </c>
      <c r="AH10" s="205">
        <f aca="true" t="shared" si="1" ref="AH10:AI21">AC10</f>
        <v>0</v>
      </c>
      <c r="AI10" s="205">
        <f t="shared" si="1"/>
        <v>0</v>
      </c>
      <c r="AJ10" s="165"/>
      <c r="AK10" s="166">
        <f aca="true" t="shared" si="2" ref="AK10:AK21">0.67*B10</f>
        <v>486.88900000000007</v>
      </c>
      <c r="AL10" s="166">
        <f aca="true" t="shared" si="3" ref="AL10:AL21">B10*0.2</f>
        <v>145.34</v>
      </c>
      <c r="AM10" s="166">
        <f aca="true" t="shared" si="4" ref="AM10:AM21">B10*1</f>
        <v>726.7</v>
      </c>
      <c r="AN10" s="166">
        <f aca="true" t="shared" si="5" ref="AN10:AN21">B10*0.21</f>
        <v>152.607</v>
      </c>
      <c r="AO10" s="166">
        <f>2.02*B10</f>
        <v>1467.9340000000002</v>
      </c>
      <c r="AP10" s="166">
        <f aca="true" t="shared" si="6" ref="AP10:AP21">B10*1.03</f>
        <v>748.5010000000001</v>
      </c>
      <c r="AQ10" s="166">
        <f aca="true" t="shared" si="7" ref="AQ10:AQ21">B10*0.75</f>
        <v>545.0250000000001</v>
      </c>
      <c r="AR10" s="166">
        <f aca="true" t="shared" si="8" ref="AR10:AR21">B10*0.75</f>
        <v>545.0250000000001</v>
      </c>
      <c r="AS10" s="202">
        <v>0</v>
      </c>
      <c r="AT10" s="166"/>
      <c r="AU10" s="168"/>
      <c r="AV10" s="167"/>
      <c r="AW10" s="168"/>
      <c r="AX10" s="168">
        <v>346.5</v>
      </c>
      <c r="AY10" s="129"/>
      <c r="AZ10" s="224"/>
      <c r="BA10" s="171"/>
      <c r="BB10" s="171">
        <f>BA10*0.18</f>
        <v>0</v>
      </c>
      <c r="BC10" s="171">
        <f>SUM(AK10:BB10)</f>
        <v>5164.521000000001</v>
      </c>
      <c r="BD10" s="172"/>
      <c r="BE10" s="172">
        <f>BC10</f>
        <v>5164.521000000001</v>
      </c>
      <c r="BF10" s="130">
        <f>AG10-BE10</f>
        <v>-2935.4846000000007</v>
      </c>
      <c r="BG10" s="203">
        <f>AF10-U10</f>
        <v>-3411.9300000000003</v>
      </c>
      <c r="BH10" s="131"/>
      <c r="BI10" s="138"/>
      <c r="BJ10" s="3"/>
      <c r="BK10" s="76"/>
      <c r="BL10" s="204"/>
      <c r="BM10" s="76"/>
      <c r="BN10" s="204"/>
      <c r="BO10" s="76"/>
      <c r="BP10" s="204"/>
      <c r="BQ10" s="76"/>
      <c r="BR10" s="204"/>
    </row>
    <row r="11" spans="1:66" ht="12.75">
      <c r="A11" s="13" t="s">
        <v>46</v>
      </c>
      <c r="B11" s="158">
        <v>726.7</v>
      </c>
      <c r="C11" s="133">
        <f>(B11*0.87)+((B11*5.17*0.9*0.9)+(B11*2.51*0.9*0.9))</f>
        <v>5152.884360000001</v>
      </c>
      <c r="D11" s="116">
        <v>630.3264000000001</v>
      </c>
      <c r="E11" s="162">
        <v>0</v>
      </c>
      <c r="F11" s="162">
        <v>0</v>
      </c>
      <c r="G11" s="159">
        <v>3197.37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1477.2</v>
      </c>
      <c r="N11" s="159">
        <v>0</v>
      </c>
      <c r="O11" s="160">
        <v>633.05</v>
      </c>
      <c r="P11" s="161">
        <v>0</v>
      </c>
      <c r="Q11" s="162">
        <v>0</v>
      </c>
      <c r="R11" s="162">
        <v>0</v>
      </c>
      <c r="S11" s="162">
        <v>0</v>
      </c>
      <c r="T11" s="159">
        <v>0</v>
      </c>
      <c r="U11" s="236">
        <f t="shared" si="0"/>
        <v>5307.62</v>
      </c>
      <c r="V11" s="234">
        <f t="shared" si="0"/>
        <v>0</v>
      </c>
      <c r="W11" s="159">
        <v>47.23</v>
      </c>
      <c r="X11" s="162">
        <v>240.34</v>
      </c>
      <c r="Y11" s="159">
        <v>64</v>
      </c>
      <c r="Z11" s="159">
        <v>86.06</v>
      </c>
      <c r="AA11" s="159">
        <v>240.79</v>
      </c>
      <c r="AB11" s="159">
        <v>87.69</v>
      </c>
      <c r="AC11" s="159">
        <v>0</v>
      </c>
      <c r="AD11" s="162">
        <v>0</v>
      </c>
      <c r="AE11" s="162">
        <v>0</v>
      </c>
      <c r="AF11" s="235">
        <f>SUM(W11:AE11)</f>
        <v>766.1099999999999</v>
      </c>
      <c r="AG11" s="201">
        <f>AF11+V11+D11</f>
        <v>1396.4364</v>
      </c>
      <c r="AH11" s="205">
        <f t="shared" si="1"/>
        <v>0</v>
      </c>
      <c r="AI11" s="205">
        <f t="shared" si="1"/>
        <v>0</v>
      </c>
      <c r="AJ11" s="165"/>
      <c r="AK11" s="166">
        <f t="shared" si="2"/>
        <v>486.88900000000007</v>
      </c>
      <c r="AL11" s="166">
        <f t="shared" si="3"/>
        <v>145.34</v>
      </c>
      <c r="AM11" s="166">
        <f t="shared" si="4"/>
        <v>726.7</v>
      </c>
      <c r="AN11" s="166">
        <f t="shared" si="5"/>
        <v>152.607</v>
      </c>
      <c r="AO11" s="166">
        <f>2.02*B11</f>
        <v>1467.9340000000002</v>
      </c>
      <c r="AP11" s="166">
        <f t="shared" si="6"/>
        <v>748.5010000000001</v>
      </c>
      <c r="AQ11" s="166">
        <f t="shared" si="7"/>
        <v>545.0250000000001</v>
      </c>
      <c r="AR11" s="166">
        <f t="shared" si="8"/>
        <v>545.0250000000001</v>
      </c>
      <c r="AS11" s="202">
        <v>0</v>
      </c>
      <c r="AT11" s="166"/>
      <c r="AU11" s="168"/>
      <c r="AV11" s="167"/>
      <c r="AW11" s="168"/>
      <c r="AX11" s="168">
        <f>33.84</f>
        <v>33.84</v>
      </c>
      <c r="AY11" s="129"/>
      <c r="AZ11" s="224"/>
      <c r="BA11" s="171"/>
      <c r="BB11" s="171">
        <f>BA11*0.18</f>
        <v>0</v>
      </c>
      <c r="BC11" s="171">
        <f>SUM(AK11:BB11)</f>
        <v>4851.861000000001</v>
      </c>
      <c r="BD11" s="172"/>
      <c r="BE11" s="172">
        <f aca="true" t="shared" si="9" ref="BE11:BE21">BC11</f>
        <v>4851.861000000001</v>
      </c>
      <c r="BF11" s="130">
        <f aca="true" t="shared" si="10" ref="BF11:BF21">AG11-BE11</f>
        <v>-3455.4246000000007</v>
      </c>
      <c r="BG11" s="203">
        <f aca="true" t="shared" si="11" ref="BG11:BG21">AF11-U11</f>
        <v>-4541.51</v>
      </c>
      <c r="BH11" s="131"/>
      <c r="BI11" s="278"/>
      <c r="BJ11" s="204"/>
      <c r="BK11" s="204"/>
      <c r="BL11" s="204"/>
      <c r="BM11" s="204"/>
      <c r="BN11" s="1"/>
    </row>
    <row r="12" spans="1:66" ht="12.75">
      <c r="A12" s="13" t="s">
        <v>47</v>
      </c>
      <c r="B12" s="158">
        <v>726.7</v>
      </c>
      <c r="C12" s="133">
        <f>(B12*0.87)+((B12*5.17*0.9*0.9)+(B12*2.51*0.9*0.9))</f>
        <v>5152.884360000001</v>
      </c>
      <c r="D12" s="116">
        <v>630.3264000000001</v>
      </c>
      <c r="E12" s="162">
        <v>0</v>
      </c>
      <c r="F12" s="162">
        <v>0</v>
      </c>
      <c r="G12" s="159">
        <v>3048.88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1477.2</v>
      </c>
      <c r="N12" s="159">
        <v>0</v>
      </c>
      <c r="O12" s="160">
        <v>633.07</v>
      </c>
      <c r="P12" s="237">
        <v>0</v>
      </c>
      <c r="Q12" s="238">
        <v>0</v>
      </c>
      <c r="R12" s="238">
        <v>0</v>
      </c>
      <c r="S12" s="238">
        <v>0</v>
      </c>
      <c r="T12" s="159">
        <v>0</v>
      </c>
      <c r="U12" s="159">
        <f t="shared" si="0"/>
        <v>5159.15</v>
      </c>
      <c r="V12" s="163">
        <f t="shared" si="0"/>
        <v>0</v>
      </c>
      <c r="W12" s="174">
        <v>620.64</v>
      </c>
      <c r="X12" s="162">
        <v>733.29</v>
      </c>
      <c r="Y12" s="159">
        <v>840.69</v>
      </c>
      <c r="Z12" s="159">
        <v>1100.84</v>
      </c>
      <c r="AA12" s="159">
        <v>1884.78</v>
      </c>
      <c r="AB12" s="159">
        <v>629.96</v>
      </c>
      <c r="AC12" s="159">
        <v>0</v>
      </c>
      <c r="AD12" s="162">
        <v>0</v>
      </c>
      <c r="AE12" s="159">
        <v>0</v>
      </c>
      <c r="AF12" s="239">
        <f>SUM(W12:AE12)</f>
        <v>5810.2</v>
      </c>
      <c r="AG12" s="201">
        <f>AF12+V12+D12</f>
        <v>6440.5264</v>
      </c>
      <c r="AH12" s="205">
        <f t="shared" si="1"/>
        <v>0</v>
      </c>
      <c r="AI12" s="205">
        <f t="shared" si="1"/>
        <v>0</v>
      </c>
      <c r="AJ12" s="165"/>
      <c r="AK12" s="166">
        <f t="shared" si="2"/>
        <v>486.88900000000007</v>
      </c>
      <c r="AL12" s="166">
        <f t="shared" si="3"/>
        <v>145.34</v>
      </c>
      <c r="AM12" s="166">
        <f t="shared" si="4"/>
        <v>726.7</v>
      </c>
      <c r="AN12" s="166">
        <f t="shared" si="5"/>
        <v>152.607</v>
      </c>
      <c r="AO12" s="166">
        <f>2.02*B12</f>
        <v>1467.9340000000002</v>
      </c>
      <c r="AP12" s="166">
        <f t="shared" si="6"/>
        <v>748.5010000000001</v>
      </c>
      <c r="AQ12" s="166">
        <f t="shared" si="7"/>
        <v>545.0250000000001</v>
      </c>
      <c r="AR12" s="166">
        <f t="shared" si="8"/>
        <v>545.0250000000001</v>
      </c>
      <c r="AS12" s="202">
        <v>0</v>
      </c>
      <c r="AT12" s="166"/>
      <c r="AU12" s="168"/>
      <c r="AV12" s="240"/>
      <c r="AW12" s="168"/>
      <c r="AX12" s="168"/>
      <c r="AY12" s="129"/>
      <c r="AZ12" s="224"/>
      <c r="BA12" s="171"/>
      <c r="BB12" s="171">
        <f>BA12*0.18</f>
        <v>0</v>
      </c>
      <c r="BC12" s="171">
        <f>SUM(AK12:BB12)</f>
        <v>4818.021000000001</v>
      </c>
      <c r="BD12" s="172"/>
      <c r="BE12" s="172">
        <f t="shared" si="9"/>
        <v>4818.021000000001</v>
      </c>
      <c r="BF12" s="130">
        <f t="shared" si="10"/>
        <v>1622.505399999999</v>
      </c>
      <c r="BG12" s="203">
        <f t="shared" si="11"/>
        <v>651.0500000000002</v>
      </c>
      <c r="BH12" s="131"/>
      <c r="BI12" s="278"/>
      <c r="BJ12" s="204"/>
      <c r="BK12" s="204"/>
      <c r="BL12" s="204"/>
      <c r="BM12" s="204"/>
      <c r="BN12" s="1"/>
    </row>
    <row r="13" spans="1:66" ht="12.75">
      <c r="A13" s="13" t="s">
        <v>48</v>
      </c>
      <c r="B13" s="158">
        <v>726.7</v>
      </c>
      <c r="C13" s="133">
        <f>(B13*0.87)+((B13*5.17*0.9*0.9)+(B13*2.51*0.9*0.9))</f>
        <v>5152.884360000001</v>
      </c>
      <c r="D13" s="241">
        <v>630.3264000000001</v>
      </c>
      <c r="E13" s="231">
        <v>0</v>
      </c>
      <c r="F13" s="162">
        <v>0</v>
      </c>
      <c r="G13" s="159">
        <v>3048.88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1477.2</v>
      </c>
      <c r="N13" s="159">
        <v>0</v>
      </c>
      <c r="O13" s="160">
        <v>633.05</v>
      </c>
      <c r="P13" s="228">
        <v>0</v>
      </c>
      <c r="Q13" s="228">
        <v>0</v>
      </c>
      <c r="R13" s="228">
        <v>0</v>
      </c>
      <c r="S13" s="242">
        <v>0</v>
      </c>
      <c r="T13" s="232">
        <v>0</v>
      </c>
      <c r="U13" s="236">
        <f t="shared" si="0"/>
        <v>5159.13</v>
      </c>
      <c r="V13" s="163">
        <f t="shared" si="0"/>
        <v>0</v>
      </c>
      <c r="W13" s="159">
        <v>200.87</v>
      </c>
      <c r="X13" s="162">
        <v>508.17</v>
      </c>
      <c r="Y13" s="159">
        <v>272.12</v>
      </c>
      <c r="Z13" s="159">
        <v>358.44</v>
      </c>
      <c r="AA13" s="159">
        <v>736.32</v>
      </c>
      <c r="AB13" s="162">
        <v>257.67</v>
      </c>
      <c r="AC13" s="159">
        <v>0</v>
      </c>
      <c r="AD13" s="162">
        <v>0</v>
      </c>
      <c r="AE13" s="162">
        <v>0</v>
      </c>
      <c r="AF13" s="235">
        <f>SUM(W13:AD13)</f>
        <v>2333.59</v>
      </c>
      <c r="AG13" s="243">
        <f>AF13+V13+D13</f>
        <v>2963.9164</v>
      </c>
      <c r="AH13" s="244">
        <f t="shared" si="1"/>
        <v>0</v>
      </c>
      <c r="AI13" s="244">
        <f t="shared" si="1"/>
        <v>0</v>
      </c>
      <c r="AJ13" s="245"/>
      <c r="AK13" s="166">
        <f t="shared" si="2"/>
        <v>486.88900000000007</v>
      </c>
      <c r="AL13" s="166">
        <f t="shared" si="3"/>
        <v>145.34</v>
      </c>
      <c r="AM13" s="166">
        <f t="shared" si="4"/>
        <v>726.7</v>
      </c>
      <c r="AN13" s="166">
        <f t="shared" si="5"/>
        <v>152.607</v>
      </c>
      <c r="AO13" s="166">
        <f>2.02*B13</f>
        <v>1467.9340000000002</v>
      </c>
      <c r="AP13" s="166">
        <f t="shared" si="6"/>
        <v>748.5010000000001</v>
      </c>
      <c r="AQ13" s="166">
        <f t="shared" si="7"/>
        <v>545.0250000000001</v>
      </c>
      <c r="AR13" s="166">
        <f t="shared" si="8"/>
        <v>545.0250000000001</v>
      </c>
      <c r="AS13" s="202"/>
      <c r="AT13" s="246"/>
      <c r="AU13" s="247">
        <v>981</v>
      </c>
      <c r="AV13" s="247"/>
      <c r="AW13" s="247"/>
      <c r="AX13" s="247">
        <f>15+50</f>
        <v>65</v>
      </c>
      <c r="AY13" s="129"/>
      <c r="AZ13" s="129"/>
      <c r="BA13" s="246"/>
      <c r="BB13" s="246"/>
      <c r="BC13" s="238">
        <f>SUM(AK13:BB13)</f>
        <v>5864.021000000001</v>
      </c>
      <c r="BD13" s="248"/>
      <c r="BE13" s="172">
        <f t="shared" si="9"/>
        <v>5864.021000000001</v>
      </c>
      <c r="BF13" s="130">
        <f t="shared" si="10"/>
        <v>-2900.1046000000006</v>
      </c>
      <c r="BG13" s="203">
        <f t="shared" si="11"/>
        <v>-2825.54</v>
      </c>
      <c r="BH13" s="131"/>
      <c r="BI13" s="278"/>
      <c r="BJ13" s="204"/>
      <c r="BK13" s="204"/>
      <c r="BL13" s="204"/>
      <c r="BM13" s="204"/>
      <c r="BN13" s="1"/>
    </row>
    <row r="14" spans="1:66" ht="12.75">
      <c r="A14" s="13" t="s">
        <v>49</v>
      </c>
      <c r="B14" s="206">
        <v>726.7</v>
      </c>
      <c r="C14" s="133">
        <f>(B14*0.87)+((B14*5.17*0.9*0.9)+(B14*2.51*0.9*0.9))</f>
        <v>5152.884360000001</v>
      </c>
      <c r="D14" s="241">
        <v>630.3264000000001</v>
      </c>
      <c r="E14" s="249">
        <v>0</v>
      </c>
      <c r="F14" s="162">
        <v>0</v>
      </c>
      <c r="G14" s="159">
        <v>3048.88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1477.2</v>
      </c>
      <c r="N14" s="159">
        <v>0</v>
      </c>
      <c r="O14" s="160">
        <v>633.05</v>
      </c>
      <c r="P14" s="228">
        <v>0</v>
      </c>
      <c r="Q14" s="238">
        <v>0</v>
      </c>
      <c r="R14" s="250">
        <v>0</v>
      </c>
      <c r="S14" s="238">
        <v>0</v>
      </c>
      <c r="T14" s="162">
        <v>0</v>
      </c>
      <c r="U14" s="231">
        <f t="shared" si="0"/>
        <v>5159.13</v>
      </c>
      <c r="V14" s="251">
        <f>F14+H14+J14+L14+N14++R14+T14</f>
        <v>0</v>
      </c>
      <c r="W14" s="159">
        <v>20.13</v>
      </c>
      <c r="X14" s="162">
        <v>20.59</v>
      </c>
      <c r="Y14" s="159">
        <v>27.26</v>
      </c>
      <c r="Z14" s="159">
        <v>36.54</v>
      </c>
      <c r="AA14" s="159">
        <v>61.33</v>
      </c>
      <c r="AB14" s="159">
        <v>20.38</v>
      </c>
      <c r="AC14" s="159">
        <v>0</v>
      </c>
      <c r="AD14" s="162">
        <v>0</v>
      </c>
      <c r="AE14" s="235">
        <v>0</v>
      </c>
      <c r="AF14" s="252">
        <f>SUM(W14:AE14)</f>
        <v>186.23000000000002</v>
      </c>
      <c r="AG14" s="243">
        <f aca="true" t="shared" si="12" ref="AG14:AG21">D14+V14+AF14</f>
        <v>816.5564000000002</v>
      </c>
      <c r="AH14" s="244">
        <f t="shared" si="1"/>
        <v>0</v>
      </c>
      <c r="AI14" s="244">
        <f t="shared" si="1"/>
        <v>0</v>
      </c>
      <c r="AJ14" s="245"/>
      <c r="AK14" s="166">
        <f t="shared" si="2"/>
        <v>486.88900000000007</v>
      </c>
      <c r="AL14" s="166">
        <f t="shared" si="3"/>
        <v>145.34</v>
      </c>
      <c r="AM14" s="166">
        <f t="shared" si="4"/>
        <v>726.7</v>
      </c>
      <c r="AN14" s="166">
        <f t="shared" si="5"/>
        <v>152.607</v>
      </c>
      <c r="AO14" s="166">
        <f>2.02*B14</f>
        <v>1467.9340000000002</v>
      </c>
      <c r="AP14" s="166">
        <f t="shared" si="6"/>
        <v>748.5010000000001</v>
      </c>
      <c r="AQ14" s="166">
        <f t="shared" si="7"/>
        <v>545.0250000000001</v>
      </c>
      <c r="AR14" s="166">
        <f t="shared" si="8"/>
        <v>545.0250000000001</v>
      </c>
      <c r="AS14" s="202"/>
      <c r="AT14" s="246"/>
      <c r="AU14" s="247">
        <v>3250</v>
      </c>
      <c r="AV14" s="247"/>
      <c r="AW14" s="247">
        <v>7982</v>
      </c>
      <c r="AX14" s="247">
        <f>1410.16+434+300</f>
        <v>2144.16</v>
      </c>
      <c r="AY14" s="129"/>
      <c r="AZ14" s="129"/>
      <c r="BA14" s="246"/>
      <c r="BB14" s="246"/>
      <c r="BC14" s="238">
        <f>SUM(AK14:BB14)</f>
        <v>18194.181</v>
      </c>
      <c r="BD14" s="248"/>
      <c r="BE14" s="172">
        <f t="shared" si="9"/>
        <v>18194.181</v>
      </c>
      <c r="BF14" s="130">
        <f t="shared" si="10"/>
        <v>-17377.6246</v>
      </c>
      <c r="BG14" s="203">
        <f t="shared" si="11"/>
        <v>-4972.9</v>
      </c>
      <c r="BH14" s="131"/>
      <c r="BI14" s="278"/>
      <c r="BJ14" s="204"/>
      <c r="BK14" s="204"/>
      <c r="BL14" s="204"/>
      <c r="BM14" s="204"/>
      <c r="BN14" s="1"/>
    </row>
    <row r="15" spans="1:66" ht="12.75">
      <c r="A15" s="13" t="s">
        <v>50</v>
      </c>
      <c r="B15" s="158">
        <v>726.7</v>
      </c>
      <c r="C15" s="133">
        <f>(B15*0.87)+((B15*5.17*0.9*0.9)+(B15*2.51*0.9*0.9))</f>
        <v>5152.884360000001</v>
      </c>
      <c r="D15" s="241">
        <v>630.3264000000001</v>
      </c>
      <c r="E15" s="207">
        <v>0</v>
      </c>
      <c r="F15" s="207"/>
      <c r="G15" s="207">
        <v>3048.9</v>
      </c>
      <c r="H15" s="207"/>
      <c r="I15" s="253">
        <v>0</v>
      </c>
      <c r="J15" s="253"/>
      <c r="K15" s="253">
        <v>0</v>
      </c>
      <c r="L15" s="253"/>
      <c r="M15" s="253">
        <v>1477.2</v>
      </c>
      <c r="N15" s="253"/>
      <c r="O15" s="253">
        <v>633.04</v>
      </c>
      <c r="P15" s="253"/>
      <c r="Q15" s="253">
        <v>0</v>
      </c>
      <c r="R15" s="254"/>
      <c r="S15" s="254">
        <v>0</v>
      </c>
      <c r="T15" s="253"/>
      <c r="U15" s="255">
        <f t="shared" si="0"/>
        <v>5159.14</v>
      </c>
      <c r="V15" s="256">
        <f t="shared" si="0"/>
        <v>0</v>
      </c>
      <c r="W15" s="209">
        <v>0</v>
      </c>
      <c r="X15" s="207">
        <v>305.84</v>
      </c>
      <c r="Y15" s="207">
        <v>0</v>
      </c>
      <c r="Z15" s="207">
        <v>0</v>
      </c>
      <c r="AA15" s="207">
        <v>148.16</v>
      </c>
      <c r="AB15" s="207">
        <v>63.49</v>
      </c>
      <c r="AC15" s="207">
        <v>0</v>
      </c>
      <c r="AD15" s="207">
        <v>0</v>
      </c>
      <c r="AE15" s="208">
        <v>0</v>
      </c>
      <c r="AF15" s="211">
        <f aca="true" t="shared" si="13" ref="AF15:AF21">SUM(W15:AE15)</f>
        <v>517.49</v>
      </c>
      <c r="AG15" s="243">
        <f t="shared" si="12"/>
        <v>1147.8164000000002</v>
      </c>
      <c r="AH15" s="244">
        <f t="shared" si="1"/>
        <v>0</v>
      </c>
      <c r="AI15" s="244">
        <f t="shared" si="1"/>
        <v>0</v>
      </c>
      <c r="AJ15" s="245"/>
      <c r="AK15" s="166">
        <f t="shared" si="2"/>
        <v>486.88900000000007</v>
      </c>
      <c r="AL15" s="166">
        <f t="shared" si="3"/>
        <v>145.34</v>
      </c>
      <c r="AM15" s="166">
        <f t="shared" si="4"/>
        <v>726.7</v>
      </c>
      <c r="AN15" s="166">
        <f t="shared" si="5"/>
        <v>152.607</v>
      </c>
      <c r="AO15" s="166">
        <f>2.02*B15</f>
        <v>1467.9340000000002</v>
      </c>
      <c r="AP15" s="166">
        <f t="shared" si="6"/>
        <v>748.5010000000001</v>
      </c>
      <c r="AQ15" s="166">
        <f t="shared" si="7"/>
        <v>545.0250000000001</v>
      </c>
      <c r="AR15" s="166">
        <f t="shared" si="8"/>
        <v>545.0250000000001</v>
      </c>
      <c r="AS15" s="166"/>
      <c r="AT15" s="246"/>
      <c r="AU15" s="247"/>
      <c r="AV15" s="247"/>
      <c r="AW15" s="247"/>
      <c r="AX15" s="247"/>
      <c r="AY15" s="166"/>
      <c r="AZ15" s="166"/>
      <c r="BA15" s="246"/>
      <c r="BB15" s="246"/>
      <c r="BC15" s="434">
        <f>SUM(AK15:BB15)</f>
        <v>4818.021000000001</v>
      </c>
      <c r="BD15" s="248"/>
      <c r="BE15" s="172">
        <f t="shared" si="9"/>
        <v>4818.021000000001</v>
      </c>
      <c r="BF15" s="130">
        <f t="shared" si="10"/>
        <v>-3670.2046000000005</v>
      </c>
      <c r="BG15" s="203">
        <f t="shared" si="11"/>
        <v>-4641.650000000001</v>
      </c>
      <c r="BH15" s="131"/>
      <c r="BI15" s="278"/>
      <c r="BJ15" s="204"/>
      <c r="BK15" s="204"/>
      <c r="BL15" s="204"/>
      <c r="BM15" s="204"/>
      <c r="BN15" s="1"/>
    </row>
    <row r="16" spans="1:60" ht="12.75">
      <c r="A16" s="13" t="s">
        <v>51</v>
      </c>
      <c r="B16" s="257">
        <v>726.7</v>
      </c>
      <c r="C16" s="258">
        <f>B16*14.05</f>
        <v>10210.135000000002</v>
      </c>
      <c r="D16" s="259">
        <v>630.3264000000001</v>
      </c>
      <c r="E16" s="260"/>
      <c r="F16" s="260"/>
      <c r="G16" s="260">
        <v>7158.01</v>
      </c>
      <c r="H16" s="260"/>
      <c r="I16" s="260"/>
      <c r="J16" s="260"/>
      <c r="K16" s="260"/>
      <c r="L16" s="260"/>
      <c r="M16" s="260">
        <v>2180.1</v>
      </c>
      <c r="N16" s="260"/>
      <c r="O16" s="260">
        <v>872.04</v>
      </c>
      <c r="P16" s="260"/>
      <c r="Q16" s="260"/>
      <c r="R16" s="260"/>
      <c r="S16" s="261"/>
      <c r="T16" s="262"/>
      <c r="U16" s="210">
        <f t="shared" si="0"/>
        <v>10210.150000000001</v>
      </c>
      <c r="V16" s="263">
        <f t="shared" si="0"/>
        <v>0</v>
      </c>
      <c r="W16" s="264">
        <v>44.54</v>
      </c>
      <c r="X16" s="260">
        <v>1298.35</v>
      </c>
      <c r="Y16" s="260">
        <v>60.39</v>
      </c>
      <c r="Z16" s="260">
        <v>81.98</v>
      </c>
      <c r="AA16" s="260">
        <v>765.55</v>
      </c>
      <c r="AB16" s="260">
        <v>308.89</v>
      </c>
      <c r="AC16" s="265"/>
      <c r="AD16" s="260"/>
      <c r="AE16" s="261"/>
      <c r="AF16" s="266">
        <f t="shared" si="13"/>
        <v>2559.7</v>
      </c>
      <c r="AG16" s="267">
        <f t="shared" si="12"/>
        <v>3190.0263999999997</v>
      </c>
      <c r="AH16" s="268">
        <f t="shared" si="1"/>
        <v>0</v>
      </c>
      <c r="AI16" s="268">
        <f t="shared" si="1"/>
        <v>0</v>
      </c>
      <c r="AJ16" s="269"/>
      <c r="AK16" s="166">
        <f t="shared" si="2"/>
        <v>486.88900000000007</v>
      </c>
      <c r="AL16" s="166">
        <f t="shared" si="3"/>
        <v>145.34</v>
      </c>
      <c r="AM16" s="166">
        <f t="shared" si="4"/>
        <v>726.7</v>
      </c>
      <c r="AN16" s="166">
        <f t="shared" si="5"/>
        <v>152.607</v>
      </c>
      <c r="AO16" s="166">
        <f>2.02*B16</f>
        <v>1467.9340000000002</v>
      </c>
      <c r="AP16" s="166">
        <f t="shared" si="6"/>
        <v>748.5010000000001</v>
      </c>
      <c r="AQ16" s="166">
        <f t="shared" si="7"/>
        <v>545.0250000000001</v>
      </c>
      <c r="AR16" s="166">
        <f t="shared" si="8"/>
        <v>545.0250000000001</v>
      </c>
      <c r="AS16" s="202"/>
      <c r="AT16" s="246"/>
      <c r="AU16" s="270"/>
      <c r="AV16" s="270"/>
      <c r="AW16" s="270"/>
      <c r="AX16" s="270"/>
      <c r="AY16" s="202"/>
      <c r="AZ16" s="202"/>
      <c r="BA16" s="271"/>
      <c r="BB16" s="271"/>
      <c r="BC16" s="435">
        <f>SUM(AK16:BB16)</f>
        <v>4818.021000000001</v>
      </c>
      <c r="BD16" s="272"/>
      <c r="BE16" s="172">
        <f t="shared" si="9"/>
        <v>4818.021000000001</v>
      </c>
      <c r="BF16" s="130">
        <f t="shared" si="10"/>
        <v>-1627.994600000001</v>
      </c>
      <c r="BG16" s="203">
        <f t="shared" si="11"/>
        <v>-7650.450000000002</v>
      </c>
      <c r="BH16" s="131"/>
    </row>
    <row r="17" spans="1:60" ht="12.75">
      <c r="A17" s="13" t="s">
        <v>52</v>
      </c>
      <c r="B17" s="257">
        <v>726.7</v>
      </c>
      <c r="C17" s="258">
        <f>B17*14.05</f>
        <v>10210.135000000002</v>
      </c>
      <c r="D17" s="259">
        <v>630.3264000000001</v>
      </c>
      <c r="E17" s="260"/>
      <c r="F17" s="260"/>
      <c r="G17" s="260">
        <v>7158.01</v>
      </c>
      <c r="H17" s="260"/>
      <c r="I17" s="260"/>
      <c r="J17" s="260"/>
      <c r="K17" s="260"/>
      <c r="L17" s="260"/>
      <c r="M17" s="260">
        <v>2180.1</v>
      </c>
      <c r="N17" s="260"/>
      <c r="O17" s="260">
        <v>872.04</v>
      </c>
      <c r="P17" s="260"/>
      <c r="Q17" s="260"/>
      <c r="R17" s="260"/>
      <c r="S17" s="261"/>
      <c r="T17" s="273"/>
      <c r="U17" s="274">
        <f t="shared" si="0"/>
        <v>10210.150000000001</v>
      </c>
      <c r="V17" s="275">
        <f t="shared" si="0"/>
        <v>0</v>
      </c>
      <c r="W17" s="260">
        <v>67.27</v>
      </c>
      <c r="X17" s="260">
        <v>846.55</v>
      </c>
      <c r="Y17" s="260">
        <v>91.15</v>
      </c>
      <c r="Z17" s="260">
        <v>120.57</v>
      </c>
      <c r="AA17" s="260">
        <v>483.17</v>
      </c>
      <c r="AB17" s="260">
        <v>175.74</v>
      </c>
      <c r="AC17" s="260"/>
      <c r="AD17" s="260"/>
      <c r="AE17" s="261"/>
      <c r="AF17" s="266">
        <f t="shared" si="13"/>
        <v>1784.45</v>
      </c>
      <c r="AG17" s="267">
        <f t="shared" si="12"/>
        <v>2414.7764</v>
      </c>
      <c r="AH17" s="268">
        <f t="shared" si="1"/>
        <v>0</v>
      </c>
      <c r="AI17" s="268">
        <f t="shared" si="1"/>
        <v>0</v>
      </c>
      <c r="AJ17" s="269"/>
      <c r="AK17" s="166">
        <f t="shared" si="2"/>
        <v>486.88900000000007</v>
      </c>
      <c r="AL17" s="166">
        <f t="shared" si="3"/>
        <v>145.34</v>
      </c>
      <c r="AM17" s="166">
        <f t="shared" si="4"/>
        <v>726.7</v>
      </c>
      <c r="AN17" s="166">
        <f t="shared" si="5"/>
        <v>152.607</v>
      </c>
      <c r="AO17" s="166">
        <f>2.02*B17</f>
        <v>1467.9340000000002</v>
      </c>
      <c r="AP17" s="166">
        <f t="shared" si="6"/>
        <v>748.5010000000001</v>
      </c>
      <c r="AQ17" s="166">
        <f t="shared" si="7"/>
        <v>545.0250000000001</v>
      </c>
      <c r="AR17" s="166">
        <f t="shared" si="8"/>
        <v>545.0250000000001</v>
      </c>
      <c r="AS17" s="202"/>
      <c r="AT17" s="246"/>
      <c r="AU17" s="270"/>
      <c r="AV17" s="270"/>
      <c r="AW17" s="270"/>
      <c r="AX17" s="270"/>
      <c r="AY17" s="202"/>
      <c r="AZ17" s="202"/>
      <c r="BA17" s="271"/>
      <c r="BB17" s="271"/>
      <c r="BC17" s="435">
        <f>SUM(AK17:BB17)</f>
        <v>4818.021000000001</v>
      </c>
      <c r="BD17" s="272"/>
      <c r="BE17" s="172">
        <f t="shared" si="9"/>
        <v>4818.021000000001</v>
      </c>
      <c r="BF17" s="130">
        <f t="shared" si="10"/>
        <v>-2403.2446000000004</v>
      </c>
      <c r="BG17" s="203">
        <f t="shared" si="11"/>
        <v>-8425.7</v>
      </c>
      <c r="BH17" s="131"/>
    </row>
    <row r="18" spans="1:60" ht="12.75">
      <c r="A18" s="13" t="s">
        <v>53</v>
      </c>
      <c r="B18" s="158">
        <v>726.7</v>
      </c>
      <c r="C18" s="258">
        <f>B18*14.05</f>
        <v>10210.135000000002</v>
      </c>
      <c r="D18" s="259">
        <v>658.2444000000002</v>
      </c>
      <c r="E18" s="260"/>
      <c r="F18" s="260"/>
      <c r="G18" s="260">
        <v>7158.06</v>
      </c>
      <c r="H18" s="260"/>
      <c r="I18" s="260"/>
      <c r="J18" s="260"/>
      <c r="K18" s="260"/>
      <c r="L18" s="260"/>
      <c r="M18" s="260">
        <v>2180.1</v>
      </c>
      <c r="N18" s="260"/>
      <c r="O18" s="260">
        <v>872.04</v>
      </c>
      <c r="P18" s="260"/>
      <c r="Q18" s="260"/>
      <c r="R18" s="260"/>
      <c r="S18" s="261"/>
      <c r="T18" s="276"/>
      <c r="U18" s="276">
        <f t="shared" si="0"/>
        <v>10210.2</v>
      </c>
      <c r="V18" s="277">
        <f t="shared" si="0"/>
        <v>0</v>
      </c>
      <c r="W18" s="260">
        <v>17.72</v>
      </c>
      <c r="X18" s="260">
        <v>1277.23</v>
      </c>
      <c r="Y18" s="260">
        <v>24.01</v>
      </c>
      <c r="Z18" s="260">
        <v>32.3</v>
      </c>
      <c r="AA18" s="260">
        <v>466.96</v>
      </c>
      <c r="AB18" s="260">
        <v>188.83</v>
      </c>
      <c r="AC18" s="260"/>
      <c r="AD18" s="260"/>
      <c r="AE18" s="261"/>
      <c r="AF18" s="266">
        <f t="shared" si="13"/>
        <v>2007.05</v>
      </c>
      <c r="AG18" s="267">
        <f t="shared" si="12"/>
        <v>2665.2944</v>
      </c>
      <c r="AH18" s="268">
        <f t="shared" si="1"/>
        <v>0</v>
      </c>
      <c r="AI18" s="268">
        <f t="shared" si="1"/>
        <v>0</v>
      </c>
      <c r="AJ18" s="269"/>
      <c r="AK18" s="166">
        <f t="shared" si="2"/>
        <v>486.88900000000007</v>
      </c>
      <c r="AL18" s="166">
        <f t="shared" si="3"/>
        <v>145.34</v>
      </c>
      <c r="AM18" s="166">
        <f t="shared" si="4"/>
        <v>726.7</v>
      </c>
      <c r="AN18" s="166">
        <f t="shared" si="5"/>
        <v>152.607</v>
      </c>
      <c r="AO18" s="166">
        <f>2.02*B18</f>
        <v>1467.9340000000002</v>
      </c>
      <c r="AP18" s="166">
        <f t="shared" si="6"/>
        <v>748.5010000000001</v>
      </c>
      <c r="AQ18" s="166">
        <f t="shared" si="7"/>
        <v>545.0250000000001</v>
      </c>
      <c r="AR18" s="166">
        <f t="shared" si="8"/>
        <v>545.0250000000001</v>
      </c>
      <c r="AS18" s="202"/>
      <c r="AT18" s="246"/>
      <c r="AU18" s="270"/>
      <c r="AV18" s="270"/>
      <c r="AW18" s="270"/>
      <c r="AX18" s="270">
        <f>25</f>
        <v>25</v>
      </c>
      <c r="AY18" s="202"/>
      <c r="AZ18" s="202"/>
      <c r="BA18" s="271"/>
      <c r="BB18" s="271"/>
      <c r="BC18" s="435">
        <f>SUM(AK18:BB18)</f>
        <v>4843.021000000001</v>
      </c>
      <c r="BD18" s="272"/>
      <c r="BE18" s="172">
        <f t="shared" si="9"/>
        <v>4843.021000000001</v>
      </c>
      <c r="BF18" s="130">
        <f t="shared" si="10"/>
        <v>-2177.7266000000004</v>
      </c>
      <c r="BG18" s="203">
        <f t="shared" si="11"/>
        <v>-8203.150000000001</v>
      </c>
      <c r="BH18" s="131"/>
    </row>
    <row r="19" spans="1:60" ht="12.75">
      <c r="A19" s="13" t="s">
        <v>41</v>
      </c>
      <c r="B19" s="158">
        <v>726.7</v>
      </c>
      <c r="C19" s="258">
        <f>B19*14.05</f>
        <v>10210.135000000002</v>
      </c>
      <c r="D19" s="436">
        <v>658.2444000000002</v>
      </c>
      <c r="E19" s="207"/>
      <c r="F19" s="207"/>
      <c r="G19" s="207">
        <v>7158.06</v>
      </c>
      <c r="H19" s="207"/>
      <c r="I19" s="207"/>
      <c r="J19" s="207"/>
      <c r="K19" s="207"/>
      <c r="L19" s="207"/>
      <c r="M19" s="207">
        <v>2180.1</v>
      </c>
      <c r="N19" s="207"/>
      <c r="O19" s="207">
        <v>872.04</v>
      </c>
      <c r="P19" s="207"/>
      <c r="Q19" s="207"/>
      <c r="R19" s="207"/>
      <c r="S19" s="208"/>
      <c r="T19" s="437"/>
      <c r="U19" s="438">
        <f t="shared" si="0"/>
        <v>10210.2</v>
      </c>
      <c r="V19" s="439">
        <f t="shared" si="0"/>
        <v>0</v>
      </c>
      <c r="W19" s="207">
        <v>0</v>
      </c>
      <c r="X19" s="207">
        <v>3589.09</v>
      </c>
      <c r="Y19" s="207">
        <v>0</v>
      </c>
      <c r="Z19" s="207">
        <v>0</v>
      </c>
      <c r="AA19" s="207">
        <v>1093.1</v>
      </c>
      <c r="AB19" s="207">
        <v>437.24</v>
      </c>
      <c r="AC19" s="207"/>
      <c r="AD19" s="207"/>
      <c r="AE19" s="208"/>
      <c r="AF19" s="266">
        <f t="shared" si="13"/>
        <v>5119.43</v>
      </c>
      <c r="AG19" s="267">
        <f t="shared" si="12"/>
        <v>5777.674400000001</v>
      </c>
      <c r="AH19" s="268">
        <f t="shared" si="1"/>
        <v>0</v>
      </c>
      <c r="AI19" s="268">
        <f t="shared" si="1"/>
        <v>0</v>
      </c>
      <c r="AJ19" s="269"/>
      <c r="AK19" s="166">
        <f t="shared" si="2"/>
        <v>486.88900000000007</v>
      </c>
      <c r="AL19" s="166">
        <f t="shared" si="3"/>
        <v>145.34</v>
      </c>
      <c r="AM19" s="166">
        <f t="shared" si="4"/>
        <v>726.7</v>
      </c>
      <c r="AN19" s="166">
        <f t="shared" si="5"/>
        <v>152.607</v>
      </c>
      <c r="AO19" s="166">
        <f>2.02*B19</f>
        <v>1467.9340000000002</v>
      </c>
      <c r="AP19" s="166">
        <f t="shared" si="6"/>
        <v>748.5010000000001</v>
      </c>
      <c r="AQ19" s="166">
        <f t="shared" si="7"/>
        <v>545.0250000000001</v>
      </c>
      <c r="AR19" s="166">
        <f t="shared" si="8"/>
        <v>545.0250000000001</v>
      </c>
      <c r="AS19" s="440">
        <f>B19*1.15</f>
        <v>835.705</v>
      </c>
      <c r="AT19" s="246"/>
      <c r="AU19" s="270"/>
      <c r="AV19" s="270"/>
      <c r="AW19" s="270"/>
      <c r="AX19" s="270"/>
      <c r="AY19" s="202"/>
      <c r="AZ19" s="202"/>
      <c r="BA19" s="271"/>
      <c r="BB19" s="271"/>
      <c r="BC19" s="435">
        <f>SUM(AK19:BB19)</f>
        <v>5653.726000000001</v>
      </c>
      <c r="BD19" s="272"/>
      <c r="BE19" s="172">
        <f t="shared" si="9"/>
        <v>5653.726000000001</v>
      </c>
      <c r="BF19" s="130">
        <f t="shared" si="10"/>
        <v>123.94840000000022</v>
      </c>
      <c r="BG19" s="203">
        <f t="shared" si="11"/>
        <v>-5090.77</v>
      </c>
      <c r="BH19" s="433"/>
    </row>
    <row r="20" spans="1:60" ht="12.75">
      <c r="A20" s="13" t="s">
        <v>42</v>
      </c>
      <c r="B20" s="158">
        <v>726.7</v>
      </c>
      <c r="C20" s="133">
        <f>B20*14.05</f>
        <v>10210.135000000002</v>
      </c>
      <c r="D20" s="441">
        <v>658.2444000000002</v>
      </c>
      <c r="E20" s="207"/>
      <c r="F20" s="207"/>
      <c r="G20" s="207">
        <v>7158.06</v>
      </c>
      <c r="H20" s="207"/>
      <c r="I20" s="207"/>
      <c r="J20" s="207"/>
      <c r="K20" s="207"/>
      <c r="L20" s="207"/>
      <c r="M20" s="207">
        <v>2180.1</v>
      </c>
      <c r="N20" s="207"/>
      <c r="O20" s="207">
        <v>872.04</v>
      </c>
      <c r="P20" s="207"/>
      <c r="Q20" s="207"/>
      <c r="R20" s="207"/>
      <c r="S20" s="208"/>
      <c r="T20" s="437"/>
      <c r="U20" s="438">
        <f t="shared" si="0"/>
        <v>10210.2</v>
      </c>
      <c r="V20" s="439">
        <f t="shared" si="0"/>
        <v>0</v>
      </c>
      <c r="W20" s="207">
        <v>0</v>
      </c>
      <c r="X20" s="207">
        <v>2553.94</v>
      </c>
      <c r="Y20" s="207">
        <v>0</v>
      </c>
      <c r="Z20" s="207">
        <v>0</v>
      </c>
      <c r="AA20" s="207">
        <v>777.84</v>
      </c>
      <c r="AB20" s="207">
        <v>311.14</v>
      </c>
      <c r="AC20" s="207"/>
      <c r="AD20" s="207"/>
      <c r="AE20" s="208"/>
      <c r="AF20" s="266">
        <f t="shared" si="13"/>
        <v>3642.92</v>
      </c>
      <c r="AG20" s="267">
        <f t="shared" si="12"/>
        <v>4301.164400000001</v>
      </c>
      <c r="AH20" s="268">
        <f t="shared" si="1"/>
        <v>0</v>
      </c>
      <c r="AI20" s="268">
        <f t="shared" si="1"/>
        <v>0</v>
      </c>
      <c r="AJ20" s="269"/>
      <c r="AK20" s="166">
        <f t="shared" si="2"/>
        <v>486.88900000000007</v>
      </c>
      <c r="AL20" s="166">
        <f t="shared" si="3"/>
        <v>145.34</v>
      </c>
      <c r="AM20" s="166">
        <f t="shared" si="4"/>
        <v>726.7</v>
      </c>
      <c r="AN20" s="166">
        <f t="shared" si="5"/>
        <v>152.607</v>
      </c>
      <c r="AO20" s="166">
        <f>2.02*B20</f>
        <v>1467.9340000000002</v>
      </c>
      <c r="AP20" s="166">
        <f t="shared" si="6"/>
        <v>748.5010000000001</v>
      </c>
      <c r="AQ20" s="166">
        <f t="shared" si="7"/>
        <v>545.0250000000001</v>
      </c>
      <c r="AR20" s="166">
        <f t="shared" si="8"/>
        <v>545.0250000000001</v>
      </c>
      <c r="AS20" s="440">
        <f>B20*1.15</f>
        <v>835.705</v>
      </c>
      <c r="AT20" s="246"/>
      <c r="AU20" s="270"/>
      <c r="AV20" s="270"/>
      <c r="AW20" s="270"/>
      <c r="AX20" s="270"/>
      <c r="AY20" s="202"/>
      <c r="AZ20" s="202"/>
      <c r="BA20" s="271"/>
      <c r="BB20" s="271"/>
      <c r="BC20" s="435">
        <f>SUM(AK20:BB20)</f>
        <v>5653.726000000001</v>
      </c>
      <c r="BD20" s="272"/>
      <c r="BE20" s="172">
        <f t="shared" si="9"/>
        <v>5653.726000000001</v>
      </c>
      <c r="BF20" s="130">
        <f t="shared" si="10"/>
        <v>-1352.5616</v>
      </c>
      <c r="BG20" s="203">
        <f t="shared" si="11"/>
        <v>-6567.280000000001</v>
      </c>
      <c r="BH20" s="433"/>
    </row>
    <row r="21" spans="1:60" ht="13.5" thickBot="1">
      <c r="A21" s="13" t="s">
        <v>43</v>
      </c>
      <c r="B21" s="158">
        <v>726.7</v>
      </c>
      <c r="C21" s="133">
        <f>B21*14.05</f>
        <v>10210.135000000002</v>
      </c>
      <c r="D21" s="441">
        <v>658.2444000000002</v>
      </c>
      <c r="E21" s="442"/>
      <c r="F21" s="442"/>
      <c r="G21" s="442">
        <v>4181.96</v>
      </c>
      <c r="H21" s="442"/>
      <c r="I21" s="442"/>
      <c r="J21" s="442"/>
      <c r="K21" s="442"/>
      <c r="L21" s="442"/>
      <c r="M21" s="442">
        <v>1869.79</v>
      </c>
      <c r="N21" s="442"/>
      <c r="O21" s="442">
        <v>663.63</v>
      </c>
      <c r="P21" s="442"/>
      <c r="Q21" s="442"/>
      <c r="R21" s="442"/>
      <c r="S21" s="443"/>
      <c r="T21" s="444"/>
      <c r="U21" s="438">
        <f t="shared" si="0"/>
        <v>6715.38</v>
      </c>
      <c r="V21" s="439">
        <f t="shared" si="0"/>
        <v>0</v>
      </c>
      <c r="W21" s="207">
        <v>0</v>
      </c>
      <c r="X21" s="207">
        <v>4743.09</v>
      </c>
      <c r="Y21" s="207">
        <v>0</v>
      </c>
      <c r="Z21" s="207">
        <v>0</v>
      </c>
      <c r="AA21" s="207">
        <v>1608.88</v>
      </c>
      <c r="AB21" s="207">
        <v>620.07</v>
      </c>
      <c r="AC21" s="207"/>
      <c r="AD21" s="207"/>
      <c r="AE21" s="208"/>
      <c r="AF21" s="266">
        <f t="shared" si="13"/>
        <v>6972.04</v>
      </c>
      <c r="AG21" s="267">
        <f t="shared" si="12"/>
        <v>7630.2844000000005</v>
      </c>
      <c r="AH21" s="268">
        <f t="shared" si="1"/>
        <v>0</v>
      </c>
      <c r="AI21" s="268">
        <f t="shared" si="1"/>
        <v>0</v>
      </c>
      <c r="AJ21" s="269"/>
      <c r="AK21" s="166">
        <f t="shared" si="2"/>
        <v>486.88900000000007</v>
      </c>
      <c r="AL21" s="166">
        <f t="shared" si="3"/>
        <v>145.34</v>
      </c>
      <c r="AM21" s="166">
        <f t="shared" si="4"/>
        <v>726.7</v>
      </c>
      <c r="AN21" s="166">
        <f t="shared" si="5"/>
        <v>152.607</v>
      </c>
      <c r="AO21" s="166">
        <f>2.02*B21</f>
        <v>1467.9340000000002</v>
      </c>
      <c r="AP21" s="166">
        <f t="shared" si="6"/>
        <v>748.5010000000001</v>
      </c>
      <c r="AQ21" s="166">
        <f t="shared" si="7"/>
        <v>545.0250000000001</v>
      </c>
      <c r="AR21" s="166">
        <f t="shared" si="8"/>
        <v>545.0250000000001</v>
      </c>
      <c r="AS21" s="440">
        <f>B21*1.15</f>
        <v>835.705</v>
      </c>
      <c r="AT21" s="246"/>
      <c r="AU21" s="270"/>
      <c r="AV21" s="270"/>
      <c r="AW21" s="270"/>
      <c r="AX21" s="270"/>
      <c r="AY21" s="202"/>
      <c r="AZ21" s="202"/>
      <c r="BA21" s="271"/>
      <c r="BB21" s="271"/>
      <c r="BC21" s="435">
        <f>SUM(AK21:BB21)</f>
        <v>5653.726000000001</v>
      </c>
      <c r="BD21" s="272"/>
      <c r="BE21" s="172">
        <f t="shared" si="9"/>
        <v>5653.726000000001</v>
      </c>
      <c r="BF21" s="130">
        <f t="shared" si="10"/>
        <v>1976.5584</v>
      </c>
      <c r="BG21" s="203">
        <f t="shared" si="11"/>
        <v>256.65999999999985</v>
      </c>
      <c r="BH21" s="433"/>
    </row>
    <row r="22" spans="1:61" s="28" customFormat="1" ht="13.5" thickBot="1">
      <c r="A22" s="212" t="s">
        <v>5</v>
      </c>
      <c r="B22" s="180"/>
      <c r="C22" s="213">
        <f aca="true" t="shared" si="14" ref="C22:BF22">SUM(C10:C21)</f>
        <v>92178.11616000003</v>
      </c>
      <c r="D22" s="213">
        <f t="shared" si="14"/>
        <v>7675.588800000002</v>
      </c>
      <c r="E22" s="213">
        <f t="shared" si="14"/>
        <v>0</v>
      </c>
      <c r="F22" s="213">
        <f t="shared" si="14"/>
        <v>0</v>
      </c>
      <c r="G22" s="213">
        <f t="shared" si="14"/>
        <v>58265.46</v>
      </c>
      <c r="H22" s="213">
        <f t="shared" si="14"/>
        <v>0</v>
      </c>
      <c r="I22" s="213">
        <f t="shared" si="14"/>
        <v>0</v>
      </c>
      <c r="J22" s="213">
        <f t="shared" si="14"/>
        <v>0</v>
      </c>
      <c r="K22" s="213">
        <f t="shared" si="14"/>
        <v>0</v>
      </c>
      <c r="L22" s="213">
        <f t="shared" si="14"/>
        <v>0</v>
      </c>
      <c r="M22" s="213">
        <f t="shared" si="14"/>
        <v>21633.49</v>
      </c>
      <c r="N22" s="213">
        <f t="shared" si="14"/>
        <v>0</v>
      </c>
      <c r="O22" s="213">
        <f t="shared" si="14"/>
        <v>8822.14</v>
      </c>
      <c r="P22" s="213">
        <f t="shared" si="14"/>
        <v>0</v>
      </c>
      <c r="Q22" s="213">
        <f t="shared" si="14"/>
        <v>0</v>
      </c>
      <c r="R22" s="213">
        <f t="shared" si="14"/>
        <v>0</v>
      </c>
      <c r="S22" s="213">
        <f t="shared" si="14"/>
        <v>0</v>
      </c>
      <c r="T22" s="213">
        <f t="shared" si="14"/>
        <v>0</v>
      </c>
      <c r="U22" s="213">
        <f t="shared" si="14"/>
        <v>88721.09000000001</v>
      </c>
      <c r="V22" s="213">
        <f t="shared" si="14"/>
        <v>0</v>
      </c>
      <c r="W22" s="213">
        <f t="shared" si="14"/>
        <v>1229.22</v>
      </c>
      <c r="X22" s="213">
        <f t="shared" si="14"/>
        <v>16116.480000000001</v>
      </c>
      <c r="Y22" s="213">
        <f t="shared" si="14"/>
        <v>1665.3600000000004</v>
      </c>
      <c r="Z22" s="213">
        <f t="shared" si="14"/>
        <v>2198.46</v>
      </c>
      <c r="AA22" s="213">
        <f t="shared" si="14"/>
        <v>8818.630000000001</v>
      </c>
      <c r="AB22" s="213">
        <f t="shared" si="14"/>
        <v>3269.77</v>
      </c>
      <c r="AC22" s="213">
        <f t="shared" si="14"/>
        <v>0</v>
      </c>
      <c r="AD22" s="213">
        <f t="shared" si="14"/>
        <v>0</v>
      </c>
      <c r="AE22" s="213">
        <f t="shared" si="14"/>
        <v>0</v>
      </c>
      <c r="AF22" s="213">
        <f t="shared" si="14"/>
        <v>33297.92</v>
      </c>
      <c r="AG22" s="213">
        <f t="shared" si="14"/>
        <v>40973.508799999996</v>
      </c>
      <c r="AH22" s="213">
        <f t="shared" si="14"/>
        <v>0</v>
      </c>
      <c r="AI22" s="213">
        <f t="shared" si="14"/>
        <v>0</v>
      </c>
      <c r="AJ22" s="213">
        <f t="shared" si="14"/>
        <v>0</v>
      </c>
      <c r="AK22" s="213">
        <f t="shared" si="14"/>
        <v>5842.668000000001</v>
      </c>
      <c r="AL22" s="213">
        <f t="shared" si="14"/>
        <v>1744.0799999999997</v>
      </c>
      <c r="AM22" s="213">
        <f t="shared" si="14"/>
        <v>8720.4</v>
      </c>
      <c r="AN22" s="213">
        <f t="shared" si="14"/>
        <v>1831.2839999999999</v>
      </c>
      <c r="AO22" s="213">
        <f t="shared" si="14"/>
        <v>17615.208000000006</v>
      </c>
      <c r="AP22" s="213">
        <f t="shared" si="14"/>
        <v>8982.012</v>
      </c>
      <c r="AQ22" s="213">
        <f t="shared" si="14"/>
        <v>6540.299999999999</v>
      </c>
      <c r="AR22" s="213">
        <f t="shared" si="14"/>
        <v>6540.299999999999</v>
      </c>
      <c r="AS22" s="213">
        <f t="shared" si="14"/>
        <v>2507.1150000000002</v>
      </c>
      <c r="AT22" s="213">
        <f t="shared" si="14"/>
        <v>0</v>
      </c>
      <c r="AU22" s="213">
        <f t="shared" si="14"/>
        <v>4231</v>
      </c>
      <c r="AV22" s="213">
        <f t="shared" si="14"/>
        <v>0</v>
      </c>
      <c r="AW22" s="213">
        <f t="shared" si="14"/>
        <v>7982</v>
      </c>
      <c r="AX22" s="213">
        <f t="shared" si="14"/>
        <v>2614.5</v>
      </c>
      <c r="AY22" s="213">
        <f t="shared" si="14"/>
        <v>0</v>
      </c>
      <c r="AZ22" s="213">
        <f t="shared" si="14"/>
        <v>0</v>
      </c>
      <c r="BA22" s="213">
        <f t="shared" si="14"/>
        <v>0</v>
      </c>
      <c r="BB22" s="213">
        <f t="shared" si="14"/>
        <v>0</v>
      </c>
      <c r="BC22" s="213">
        <f t="shared" si="14"/>
        <v>75150.867</v>
      </c>
      <c r="BD22" s="213">
        <f t="shared" si="14"/>
        <v>0</v>
      </c>
      <c r="BE22" s="213">
        <f t="shared" si="14"/>
        <v>75150.867</v>
      </c>
      <c r="BF22" s="213">
        <f t="shared" si="14"/>
        <v>-34177.3582</v>
      </c>
      <c r="BG22" s="213">
        <f>SUM(BG10:BG21)</f>
        <v>-55423.17</v>
      </c>
      <c r="BH22" s="62"/>
      <c r="BI22" s="62"/>
    </row>
    <row r="23" spans="1:61" s="28" customFormat="1" ht="13.5" thickBot="1">
      <c r="A23" s="214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215"/>
      <c r="BF23" s="182"/>
      <c r="BG23" s="181"/>
      <c r="BI23" s="62"/>
    </row>
    <row r="24" spans="1:59" s="28" customFormat="1" ht="13.5" thickBot="1">
      <c r="A24" s="193" t="s">
        <v>54</v>
      </c>
      <c r="B24" s="182"/>
      <c r="C24" s="183">
        <f aca="true" t="shared" si="15" ref="C24:AD24">C22+C8</f>
        <v>260022.71616000007</v>
      </c>
      <c r="D24" s="183">
        <f t="shared" si="15"/>
        <v>60874.003281600024</v>
      </c>
      <c r="E24" s="183">
        <f t="shared" si="15"/>
        <v>17063.11</v>
      </c>
      <c r="F24" s="183">
        <f t="shared" si="15"/>
        <v>270.34000000000003</v>
      </c>
      <c r="G24" s="183">
        <f t="shared" si="15"/>
        <v>58265.46</v>
      </c>
      <c r="H24" s="183">
        <f t="shared" si="15"/>
        <v>0</v>
      </c>
      <c r="I24" s="183">
        <f t="shared" si="15"/>
        <v>23105.33</v>
      </c>
      <c r="J24" s="183">
        <f t="shared" si="15"/>
        <v>365.96000000000004</v>
      </c>
      <c r="K24" s="183">
        <f t="shared" si="15"/>
        <v>29758.140000000003</v>
      </c>
      <c r="L24" s="183">
        <f t="shared" si="15"/>
        <v>465.64</v>
      </c>
      <c r="M24" s="183">
        <f t="shared" si="15"/>
        <v>64666.86</v>
      </c>
      <c r="N24" s="183">
        <f t="shared" si="15"/>
        <v>673.54</v>
      </c>
      <c r="O24" s="183">
        <f t="shared" si="15"/>
        <v>22472.559999999998</v>
      </c>
      <c r="P24" s="183">
        <f t="shared" si="15"/>
        <v>216.15999999999997</v>
      </c>
      <c r="Q24" s="183">
        <f t="shared" si="15"/>
        <v>0</v>
      </c>
      <c r="R24" s="183">
        <f t="shared" si="15"/>
        <v>0</v>
      </c>
      <c r="S24" s="183">
        <f t="shared" si="15"/>
        <v>0</v>
      </c>
      <c r="T24" s="183">
        <f t="shared" si="15"/>
        <v>0</v>
      </c>
      <c r="U24" s="183">
        <f t="shared" si="15"/>
        <v>215331.46000000002</v>
      </c>
      <c r="V24" s="183">
        <f t="shared" si="15"/>
        <v>1991.6400000000003</v>
      </c>
      <c r="W24" s="183">
        <f t="shared" si="15"/>
        <v>5751.840000000001</v>
      </c>
      <c r="X24" s="183">
        <f t="shared" si="15"/>
        <v>16116.480000000001</v>
      </c>
      <c r="Y24" s="183">
        <f t="shared" si="15"/>
        <v>7787.09</v>
      </c>
      <c r="Z24" s="183">
        <f t="shared" si="15"/>
        <v>9944.77</v>
      </c>
      <c r="AA24" s="183">
        <f t="shared" si="15"/>
        <v>20024.52</v>
      </c>
      <c r="AB24" s="183">
        <f t="shared" si="15"/>
        <v>6887.860000000001</v>
      </c>
      <c r="AC24" s="183">
        <f t="shared" si="15"/>
        <v>0</v>
      </c>
      <c r="AD24" s="183">
        <f t="shared" si="15"/>
        <v>0</v>
      </c>
      <c r="AE24" s="183">
        <f>AE22+AF8</f>
        <v>33214.64</v>
      </c>
      <c r="AF24" s="183">
        <f>AF22+AG8</f>
        <v>121702.61448160002</v>
      </c>
      <c r="AG24" s="183">
        <f aca="true" t="shared" si="16" ref="AG24:BG24">AG22+AG8</f>
        <v>129378.20328160001</v>
      </c>
      <c r="AH24" s="183">
        <f t="shared" si="16"/>
        <v>0</v>
      </c>
      <c r="AI24" s="183">
        <f t="shared" si="16"/>
        <v>0</v>
      </c>
      <c r="AJ24" s="183">
        <f t="shared" si="16"/>
        <v>0</v>
      </c>
      <c r="AK24" s="183">
        <f t="shared" si="16"/>
        <v>17310.660000000003</v>
      </c>
      <c r="AL24" s="183">
        <f t="shared" si="16"/>
        <v>5585.7479404</v>
      </c>
      <c r="AM24" s="183">
        <f t="shared" si="16"/>
        <v>27755.917863734998</v>
      </c>
      <c r="AN24" s="183">
        <f t="shared" si="16"/>
        <v>1831.2839999999999</v>
      </c>
      <c r="AO24" s="183">
        <f t="shared" si="16"/>
        <v>36565.46261070821</v>
      </c>
      <c r="AP24" s="183">
        <f t="shared" si="16"/>
        <v>51476.682731273606</v>
      </c>
      <c r="AQ24" s="183">
        <f t="shared" si="16"/>
        <v>6540.299999999999</v>
      </c>
      <c r="AR24" s="183">
        <f t="shared" si="16"/>
        <v>6540.299999999999</v>
      </c>
      <c r="AS24" s="183">
        <f t="shared" si="16"/>
        <v>2507.1150000000002</v>
      </c>
      <c r="AT24" s="183">
        <f t="shared" si="16"/>
        <v>0</v>
      </c>
      <c r="AU24" s="183">
        <f t="shared" si="16"/>
        <v>29399.329599999997</v>
      </c>
      <c r="AV24" s="183">
        <f t="shared" si="16"/>
        <v>0</v>
      </c>
      <c r="AW24" s="183">
        <f t="shared" si="16"/>
        <v>8675.56</v>
      </c>
      <c r="AX24" s="183">
        <f t="shared" si="16"/>
        <v>2614.5</v>
      </c>
      <c r="AY24" s="183">
        <f t="shared" si="16"/>
        <v>5388.768</v>
      </c>
      <c r="AZ24" s="183">
        <f t="shared" si="16"/>
        <v>0</v>
      </c>
      <c r="BA24" s="183">
        <f t="shared" si="16"/>
        <v>0</v>
      </c>
      <c r="BB24" s="183">
        <f t="shared" si="16"/>
        <v>0</v>
      </c>
      <c r="BC24" s="183">
        <f t="shared" si="16"/>
        <v>202191.62774611678</v>
      </c>
      <c r="BD24" s="183">
        <f t="shared" si="16"/>
        <v>0</v>
      </c>
      <c r="BE24" s="216">
        <f t="shared" si="16"/>
        <v>202191.62774611678</v>
      </c>
      <c r="BF24" s="183">
        <f t="shared" si="16"/>
        <v>-72813.4244645168</v>
      </c>
      <c r="BG24" s="217">
        <f t="shared" si="16"/>
        <v>-148818.9</v>
      </c>
    </row>
    <row r="33" spans="10:11" ht="12.75">
      <c r="J33" s="282">
        <f>'2011 полн'!AL10</f>
        <v>145.34</v>
      </c>
      <c r="K33" s="282">
        <f>'2011 полн'!AL10+'2011 полн'!AM10+'2011 полн'!AN10+'2011 полн'!AO10+'2011 полн'!AP10+'2011 полн'!AQ10+'2011 полн'!AR10+'2011 полн'!AX10</f>
        <v>4677.6320000000005</v>
      </c>
    </row>
    <row r="34" spans="10:11" ht="12.75">
      <c r="J34" s="282">
        <f>'2011 полн'!AL11</f>
        <v>145.34</v>
      </c>
      <c r="K34" s="282">
        <f>'2011 полн'!AL11+'2011 полн'!AM11+'2011 полн'!AN11+'2011 полн'!AO11+'2011 полн'!AP11+'2011 полн'!AQ11+'2011 полн'!AR11+'2011 полн'!AX11</f>
        <v>4364.972000000001</v>
      </c>
    </row>
    <row r="35" spans="10:11" ht="12.75">
      <c r="J35" s="282">
        <f>'2011 полн'!AL12</f>
        <v>145.34</v>
      </c>
      <c r="K35" s="282">
        <f>'2011 полн'!AL12+'2011 полн'!AM12+'2011 полн'!AN12+'2011 полн'!AO12+'2011 полн'!AP12+'2011 полн'!AQ12+'2011 полн'!AR12+'2011 полн'!AX12</f>
        <v>4331.1320000000005</v>
      </c>
    </row>
    <row r="36" spans="10:11" ht="12.75">
      <c r="J36" s="282">
        <f>'2011 полн'!AL13</f>
        <v>145.34</v>
      </c>
      <c r="K36" s="282">
        <f>'2011 полн'!AL13+'2011 полн'!AM13+'2011 полн'!AN13+'2011 полн'!AO13+'2011 полн'!AP13+'2011 полн'!AQ13+'2011 полн'!AR13+'2011 полн'!AX13</f>
        <v>4396.1320000000005</v>
      </c>
    </row>
    <row r="37" spans="10:11" ht="12.75">
      <c r="J37" s="282">
        <f>'2011 полн'!AL14</f>
        <v>145.34</v>
      </c>
      <c r="K37" s="282">
        <f>'2011 полн'!AL14+'2011 полн'!AM14+'2011 полн'!AN14+'2011 полн'!AO14+'2011 полн'!AP14+'2011 полн'!AQ14+'2011 полн'!AR14+'2011 полн'!AX14</f>
        <v>6475.292</v>
      </c>
    </row>
    <row r="38" spans="10:11" ht="12.75">
      <c r="J38" s="282">
        <f>'2011 полн'!AL15</f>
        <v>145.34</v>
      </c>
      <c r="K38" s="282">
        <f>'2011 полн'!AL15+'2011 полн'!AM15+'2011 полн'!AN15+'2011 полн'!AO15+'2011 полн'!AP15+'2011 полн'!AQ15+'2011 полн'!AR15+'2011 полн'!AX15</f>
        <v>4331.1320000000005</v>
      </c>
    </row>
    <row r="39" spans="10:11" ht="12.75">
      <c r="J39" s="282">
        <f>'2011 полн'!AL16</f>
        <v>145.34</v>
      </c>
      <c r="K39" s="282">
        <f>'2011 полн'!AL16+'2011 полн'!AM16+'2011 полн'!AN16+'2011 полн'!AO16+'2011 полн'!AP16+'2011 полн'!AQ16+'2011 полн'!AR16+'2011 полн'!AX16</f>
        <v>4331.1320000000005</v>
      </c>
    </row>
    <row r="40" spans="10:11" ht="12.75">
      <c r="J40" s="282">
        <f>'2011 полн'!AL17</f>
        <v>145.34</v>
      </c>
      <c r="K40" s="282">
        <f>'2011 полн'!AL17+'2011 полн'!AM17+'2011 полн'!AN17+'2011 полн'!AO17+'2011 полн'!AP17+'2011 полн'!AQ17+'2011 полн'!AR17+'2011 полн'!AX17</f>
        <v>4331.1320000000005</v>
      </c>
    </row>
    <row r="41" spans="10:11" ht="12.75">
      <c r="J41" s="282">
        <f>'2011 полн'!AL18</f>
        <v>145.34</v>
      </c>
      <c r="K41" s="282">
        <f>'2011 полн'!AL18+'2011 полн'!AM18+'2011 полн'!AN18+'2011 полн'!AO18+'2011 полн'!AP18+'2011 полн'!AQ18+'2011 полн'!AR18+'2011 полн'!AX18</f>
        <v>4356.1320000000005</v>
      </c>
    </row>
  </sheetData>
  <sheetProtection/>
  <mergeCells count="56">
    <mergeCell ref="AJ3:AJ6"/>
    <mergeCell ref="BE5:BE6"/>
    <mergeCell ref="AX5:AX6"/>
    <mergeCell ref="Z5:Z6"/>
    <mergeCell ref="AA5:AA6"/>
    <mergeCell ref="V5:V6"/>
    <mergeCell ref="W5:W6"/>
    <mergeCell ref="X5:X6"/>
    <mergeCell ref="Y5:Y6"/>
    <mergeCell ref="AN5:AN6"/>
    <mergeCell ref="AO5:AO6"/>
    <mergeCell ref="AK3:BD4"/>
    <mergeCell ref="AW5:AW6"/>
    <mergeCell ref="BB5:BB6"/>
    <mergeCell ref="AQ5:AQ6"/>
    <mergeCell ref="AS5:AS6"/>
    <mergeCell ref="AU5:AU6"/>
    <mergeCell ref="BA5:BA6"/>
    <mergeCell ref="BD5:BD6"/>
    <mergeCell ref="AK5:AK6"/>
    <mergeCell ref="AL5:AL6"/>
    <mergeCell ref="AM5:AM6"/>
    <mergeCell ref="AP5:AP6"/>
    <mergeCell ref="AT5:AT6"/>
    <mergeCell ref="BC5:BC6"/>
    <mergeCell ref="AV5:AV6"/>
    <mergeCell ref="AZ5:AZ6"/>
    <mergeCell ref="AE5:AE6"/>
    <mergeCell ref="E3:R4"/>
    <mergeCell ref="U3:V4"/>
    <mergeCell ref="W3:AI4"/>
    <mergeCell ref="S3:T4"/>
    <mergeCell ref="AH5:AH6"/>
    <mergeCell ref="AI5:AI6"/>
    <mergeCell ref="AD5:AD6"/>
    <mergeCell ref="A1:N1"/>
    <mergeCell ref="A3:A6"/>
    <mergeCell ref="B3:B6"/>
    <mergeCell ref="C3:C6"/>
    <mergeCell ref="D3:D6"/>
    <mergeCell ref="E5:F6"/>
    <mergeCell ref="G5:H6"/>
    <mergeCell ref="I5:J6"/>
    <mergeCell ref="K5:L6"/>
    <mergeCell ref="M5:N6"/>
    <mergeCell ref="O5:P6"/>
    <mergeCell ref="Q5:R6"/>
    <mergeCell ref="S5:T6"/>
    <mergeCell ref="AC5:AC6"/>
    <mergeCell ref="AR5:AR6"/>
    <mergeCell ref="BF5:BF6"/>
    <mergeCell ref="BG5:BG6"/>
    <mergeCell ref="AF5:AF6"/>
    <mergeCell ref="AG5:AG6"/>
    <mergeCell ref="U5:U6"/>
    <mergeCell ref="AB5:A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5" sqref="A5:IV5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9.00390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1.25390625" style="2" customWidth="1"/>
    <col min="17" max="16384" width="9.125" style="2" customWidth="1"/>
  </cols>
  <sheetData>
    <row r="1" spans="2:8" ht="20.25" customHeight="1">
      <c r="B1" s="431" t="s">
        <v>55</v>
      </c>
      <c r="C1" s="431"/>
      <c r="D1" s="431"/>
      <c r="E1" s="431"/>
      <c r="F1" s="431"/>
      <c r="G1" s="431"/>
      <c r="H1" s="431"/>
    </row>
    <row r="2" spans="2:8" ht="21" customHeight="1">
      <c r="B2" s="431" t="s">
        <v>56</v>
      </c>
      <c r="C2" s="431"/>
      <c r="D2" s="431"/>
      <c r="E2" s="431"/>
      <c r="F2" s="431"/>
      <c r="G2" s="431"/>
      <c r="H2" s="431"/>
    </row>
    <row r="5" spans="1:15" ht="12.75">
      <c r="A5" s="338" t="s">
        <v>120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2.75">
      <c r="A6" s="349" t="s">
        <v>123</v>
      </c>
      <c r="B6" s="349"/>
      <c r="C6" s="349"/>
      <c r="D6" s="349"/>
      <c r="E6" s="349"/>
      <c r="F6" s="349"/>
      <c r="G6" s="349"/>
      <c r="H6" s="111"/>
      <c r="I6" s="111"/>
      <c r="J6" s="111"/>
      <c r="K6" s="111"/>
      <c r="L6" s="111"/>
      <c r="M6" s="111"/>
      <c r="N6" s="111"/>
      <c r="O6" s="111"/>
    </row>
    <row r="7" spans="1:6" ht="13.5" thickBot="1">
      <c r="A7" s="432" t="s">
        <v>57</v>
      </c>
      <c r="B7" s="432"/>
      <c r="C7" s="432"/>
      <c r="D7" s="432"/>
      <c r="E7" s="432">
        <v>8.55</v>
      </c>
      <c r="F7" s="432"/>
    </row>
    <row r="8" spans="1:16" ht="12.75" customHeight="1">
      <c r="A8" s="290" t="s">
        <v>58</v>
      </c>
      <c r="B8" s="340" t="s">
        <v>1</v>
      </c>
      <c r="C8" s="343" t="s">
        <v>59</v>
      </c>
      <c r="D8" s="346" t="s">
        <v>3</v>
      </c>
      <c r="E8" s="325" t="s">
        <v>60</v>
      </c>
      <c r="F8" s="326"/>
      <c r="G8" s="427" t="s">
        <v>117</v>
      </c>
      <c r="H8" s="428"/>
      <c r="I8" s="331" t="s">
        <v>10</v>
      </c>
      <c r="J8" s="318"/>
      <c r="K8" s="318"/>
      <c r="L8" s="318"/>
      <c r="M8" s="318"/>
      <c r="N8" s="332"/>
      <c r="O8" s="335" t="s">
        <v>61</v>
      </c>
      <c r="P8" s="335" t="s">
        <v>12</v>
      </c>
    </row>
    <row r="9" spans="1:16" ht="12.75">
      <c r="A9" s="291"/>
      <c r="B9" s="341"/>
      <c r="C9" s="344"/>
      <c r="D9" s="347"/>
      <c r="E9" s="327"/>
      <c r="F9" s="328"/>
      <c r="G9" s="429"/>
      <c r="H9" s="430"/>
      <c r="I9" s="333"/>
      <c r="J9" s="284"/>
      <c r="K9" s="284"/>
      <c r="L9" s="284"/>
      <c r="M9" s="284"/>
      <c r="N9" s="334"/>
      <c r="O9" s="336"/>
      <c r="P9" s="336"/>
    </row>
    <row r="10" spans="1:16" ht="26.25" customHeight="1">
      <c r="A10" s="291"/>
      <c r="B10" s="341"/>
      <c r="C10" s="344"/>
      <c r="D10" s="347"/>
      <c r="E10" s="355" t="s">
        <v>62</v>
      </c>
      <c r="F10" s="356"/>
      <c r="G10" s="218" t="s">
        <v>63</v>
      </c>
      <c r="H10" s="329" t="s">
        <v>7</v>
      </c>
      <c r="I10" s="359" t="s">
        <v>64</v>
      </c>
      <c r="J10" s="323" t="s">
        <v>118</v>
      </c>
      <c r="K10" s="323" t="s">
        <v>65</v>
      </c>
      <c r="L10" s="323" t="s">
        <v>37</v>
      </c>
      <c r="M10" s="323" t="s">
        <v>66</v>
      </c>
      <c r="N10" s="329" t="s">
        <v>39</v>
      </c>
      <c r="O10" s="336"/>
      <c r="P10" s="336"/>
    </row>
    <row r="11" spans="1:16" ht="66.75" customHeight="1" thickBot="1">
      <c r="A11" s="339"/>
      <c r="B11" s="342"/>
      <c r="C11" s="345"/>
      <c r="D11" s="348"/>
      <c r="E11" s="38" t="s">
        <v>67</v>
      </c>
      <c r="F11" s="39" t="s">
        <v>21</v>
      </c>
      <c r="G11" s="187" t="s">
        <v>119</v>
      </c>
      <c r="H11" s="330"/>
      <c r="I11" s="360"/>
      <c r="J11" s="324"/>
      <c r="K11" s="324"/>
      <c r="L11" s="324"/>
      <c r="M11" s="324"/>
      <c r="N11" s="330"/>
      <c r="O11" s="337"/>
      <c r="P11" s="337"/>
    </row>
    <row r="12" spans="1:16" ht="13.5" thickBot="1">
      <c r="A12" s="41">
        <v>1</v>
      </c>
      <c r="B12" s="42">
        <v>2</v>
      </c>
      <c r="C12" s="41">
        <v>3</v>
      </c>
      <c r="D12" s="42">
        <v>4</v>
      </c>
      <c r="E12" s="41">
        <v>5</v>
      </c>
      <c r="F12" s="42">
        <v>6</v>
      </c>
      <c r="G12" s="41">
        <v>7</v>
      </c>
      <c r="H12" s="42">
        <v>8</v>
      </c>
      <c r="I12" s="41">
        <v>9</v>
      </c>
      <c r="J12" s="42">
        <v>10</v>
      </c>
      <c r="K12" s="41">
        <v>11</v>
      </c>
      <c r="L12" s="42">
        <v>12</v>
      </c>
      <c r="M12" s="41">
        <v>13</v>
      </c>
      <c r="N12" s="42">
        <v>14</v>
      </c>
      <c r="O12" s="41">
        <v>15</v>
      </c>
      <c r="P12" s="42">
        <v>16</v>
      </c>
    </row>
    <row r="13" spans="1:18" ht="13.5" hidden="1" thickBot="1">
      <c r="A13" s="8" t="s">
        <v>44</v>
      </c>
      <c r="B13" s="219"/>
      <c r="C13" s="63"/>
      <c r="D13" s="64"/>
      <c r="E13" s="65"/>
      <c r="F13" s="66"/>
      <c r="G13" s="68"/>
      <c r="H13" s="66"/>
      <c r="I13" s="68"/>
      <c r="J13" s="19"/>
      <c r="K13" s="19"/>
      <c r="L13" s="20"/>
      <c r="M13" s="220"/>
      <c r="N13" s="21"/>
      <c r="O13" s="51"/>
      <c r="P13" s="51"/>
      <c r="Q13" s="1"/>
      <c r="R13" s="1"/>
    </row>
    <row r="14" spans="1:18" ht="13.5" hidden="1" thickBot="1">
      <c r="A14" s="13" t="s">
        <v>45</v>
      </c>
      <c r="B14" s="221">
        <f>'[4]Лист1'!B8</f>
        <v>0</v>
      </c>
      <c r="C14" s="47">
        <f aca="true" t="shared" si="0" ref="C14:C25">B14*8.65</f>
        <v>0</v>
      </c>
      <c r="D14" s="48">
        <f>'[4]Лист1'!D8</f>
        <v>0</v>
      </c>
      <c r="E14" s="19">
        <f>'[4]Лист1'!S8</f>
        <v>0</v>
      </c>
      <c r="F14" s="21">
        <f>'[4]Лист1'!T8</f>
        <v>0</v>
      </c>
      <c r="G14" s="50">
        <f>'[4]Лист1'!AB8</f>
        <v>0</v>
      </c>
      <c r="H14" s="21">
        <f>'[4]Лист1'!AC8</f>
        <v>0</v>
      </c>
      <c r="I14" s="50">
        <f>'[4]Лист1'!AG8</f>
        <v>0</v>
      </c>
      <c r="J14" s="19">
        <f>'[4]Лист1'!AI8+'[4]Лист1'!AJ8</f>
        <v>0</v>
      </c>
      <c r="K14" s="19">
        <f>'[4]Лист1'!AH8+'[4]Лист1'!AK8+'[4]Лист1'!AL8+'[4]Лист1'!AM8+'[4]Лист1'!AN8+'[4]Лист1'!AO8+'[4]Лист1'!AP8+'[4]Лист1'!AQ8+'[4]Лист1'!AR8</f>
        <v>0</v>
      </c>
      <c r="L14" s="20">
        <f>'[4]Лист1'!AS8+'[4]Лист1'!AT8+'[4]Лист1'!AU8+'[4]Лист1'!AZ8+'[4]Лист1'!BA8</f>
        <v>0</v>
      </c>
      <c r="M14" s="20">
        <f>'[4]Лист1'!AX8</f>
        <v>0</v>
      </c>
      <c r="N14" s="21">
        <f>'[4]Лист1'!BB8</f>
        <v>0</v>
      </c>
      <c r="O14" s="51">
        <f>'[4]Лист1'!BD8</f>
        <v>0</v>
      </c>
      <c r="P14" s="51">
        <f>'[4]Лист1'!BE8</f>
        <v>0</v>
      </c>
      <c r="Q14" s="1"/>
      <c r="R14" s="1"/>
    </row>
    <row r="15" spans="1:18" ht="13.5" hidden="1" thickBot="1">
      <c r="A15" s="13" t="s">
        <v>46</v>
      </c>
      <c r="B15" s="221">
        <f>'[4]Лист1'!B9</f>
        <v>347</v>
      </c>
      <c r="C15" s="47">
        <f t="shared" si="0"/>
        <v>3001.55</v>
      </c>
      <c r="D15" s="48">
        <f>'[4]Лист1'!D9</f>
        <v>375.19375</v>
      </c>
      <c r="E15" s="19">
        <f>'[4]Лист1'!S9</f>
        <v>1402.63</v>
      </c>
      <c r="F15" s="21">
        <f>'[4]Лист1'!T9</f>
        <v>770.85</v>
      </c>
      <c r="G15" s="50">
        <f>'[4]Лист1'!AB9</f>
        <v>1205.52</v>
      </c>
      <c r="H15" s="21">
        <f>'[4]Лист1'!AC9</f>
        <v>2351.5637500000003</v>
      </c>
      <c r="I15" s="50">
        <f>'[4]Лист1'!AG9</f>
        <v>187.38</v>
      </c>
      <c r="J15" s="19">
        <f>'[4]Лист1'!AI9+'[4]Лист1'!AJ9</f>
        <v>301.727947</v>
      </c>
      <c r="K15" s="19">
        <f>'[4]Лист1'!AH9+'[4]Лист1'!AK9+'[4]Лист1'!AL9+'[4]Лист1'!AM9+'[4]Лист1'!AN9+'[4]Лист1'!AO9+'[4]Лист1'!AP9+'[4]Лист1'!AQ9+'[4]Лист1'!AR9</f>
        <v>1036.33545944</v>
      </c>
      <c r="L15" s="20">
        <f>'[4]Лист1'!AS9+'[4]Лист1'!AT9+'[4]Лист1'!AU9+'[4]Лист1'!AZ9+'[4]Лист1'!BA9</f>
        <v>0</v>
      </c>
      <c r="M15" s="20">
        <f>'[4]Лист1'!AX9</f>
        <v>100.70592</v>
      </c>
      <c r="N15" s="21">
        <f>'[4]Лист1'!BB9</f>
        <v>1525.4434064399998</v>
      </c>
      <c r="O15" s="51">
        <f>'[4]Лист1'!BD9</f>
        <v>826.1203435600005</v>
      </c>
      <c r="P15" s="51">
        <f>'[4]Лист1'!BE9</f>
        <v>-197.11000000000013</v>
      </c>
      <c r="Q15" s="1"/>
      <c r="R15" s="1"/>
    </row>
    <row r="16" spans="1:18" ht="13.5" hidden="1" thickBot="1">
      <c r="A16" s="13" t="s">
        <v>47</v>
      </c>
      <c r="B16" s="221">
        <f>'[4]Лист1'!B10</f>
        <v>347</v>
      </c>
      <c r="C16" s="47">
        <f t="shared" si="0"/>
        <v>3001.55</v>
      </c>
      <c r="D16" s="48">
        <f>'[4]Лист1'!D10</f>
        <v>375.19375</v>
      </c>
      <c r="E16" s="19">
        <f>'[4]Лист1'!S10</f>
        <v>1402.63</v>
      </c>
      <c r="F16" s="21">
        <f>'[4]Лист1'!T10</f>
        <v>770.85</v>
      </c>
      <c r="G16" s="50">
        <f>'[4]Лист1'!AB10</f>
        <v>1141.3000000000002</v>
      </c>
      <c r="H16" s="21">
        <f>'[4]Лист1'!AC10</f>
        <v>2287.34375</v>
      </c>
      <c r="I16" s="50">
        <f>'[4]Лист1'!AG10</f>
        <v>187.38</v>
      </c>
      <c r="J16" s="19">
        <f>'[4]Лист1'!AI10+'[4]Лист1'!AJ10</f>
        <v>301.403506</v>
      </c>
      <c r="K16" s="19">
        <f>'[4]Лист1'!AH10+'[4]Лист1'!AK10+'[4]Лист1'!AL10+'[4]Лист1'!AM10+'[4]Лист1'!AN10+'[4]Лист1'!AO10+'[4]Лист1'!AP10+'[4]Лист1'!AQ10+'[4]Лист1'!AR10</f>
        <v>1037.8314805399998</v>
      </c>
      <c r="L16" s="20">
        <f>'[4]Лист1'!AS10+'[4]Лист1'!AT10+'[4]Лист1'!AU10+'[4]Лист1'!AZ10+'[4]Лист1'!BA10</f>
        <v>1569.4</v>
      </c>
      <c r="M16" s="20">
        <f>'[4]Лист1'!AX10</f>
        <v>80.68368</v>
      </c>
      <c r="N16" s="21">
        <f>'[4]Лист1'!BB10</f>
        <v>3096.0149865399994</v>
      </c>
      <c r="O16" s="51">
        <f>'[4]Лист1'!BD10</f>
        <v>-808.6712365399994</v>
      </c>
      <c r="P16" s="51">
        <f>'[4]Лист1'!BE10</f>
        <v>-261.3299999999999</v>
      </c>
      <c r="Q16" s="1"/>
      <c r="R16" s="1"/>
    </row>
    <row r="17" spans="1:18" ht="13.5" hidden="1" thickBot="1">
      <c r="A17" s="13" t="s">
        <v>48</v>
      </c>
      <c r="B17" s="221">
        <f>'[4]Лист1'!B11</f>
        <v>347</v>
      </c>
      <c r="C17" s="47">
        <f t="shared" si="0"/>
        <v>3001.55</v>
      </c>
      <c r="D17" s="48">
        <f>'[4]Лист1'!D11</f>
        <v>375.19375</v>
      </c>
      <c r="E17" s="19">
        <f>'[4]Лист1'!S11</f>
        <v>1402.63</v>
      </c>
      <c r="F17" s="21">
        <f>'[4]Лист1'!T11</f>
        <v>770.85</v>
      </c>
      <c r="G17" s="50">
        <f>'[4]Лист1'!AB11</f>
        <v>1864.7600000000002</v>
      </c>
      <c r="H17" s="21">
        <f>'[4]Лист1'!AC11</f>
        <v>3010.80375</v>
      </c>
      <c r="I17" s="50">
        <f>'[4]Лист1'!AG11</f>
        <v>187.38</v>
      </c>
      <c r="J17" s="19">
        <f>'[4]Лист1'!AI11+'[4]Лист1'!AJ11</f>
        <v>301.9373675</v>
      </c>
      <c r="K17" s="19">
        <f>'[4]Лист1'!AH11+'[4]Лист1'!AK11+'[4]Лист1'!AL11+'[4]Лист1'!AM11+'[4]Лист1'!AN11+'[4]Лист1'!AO11+'[4]Лист1'!AP11+'[4]Лист1'!AQ11+'[4]Лист1'!AR11</f>
        <v>1003.1883752000001</v>
      </c>
      <c r="L17" s="20">
        <f>'[4]Лист1'!AS11+'[4]Лист1'!AT11+'[4]Лист1'!AU11+'[4]Лист1'!AY11+'[4]Лист1'!AZ11</f>
        <v>0</v>
      </c>
      <c r="M17" s="20">
        <f>'[4]Лист1'!AX11</f>
        <v>75.92592</v>
      </c>
      <c r="N17" s="21">
        <f>'[4]Лист1'!BB11</f>
        <v>1492.5057427</v>
      </c>
      <c r="O17" s="51">
        <f>'[4]Лист1'!BD11</f>
        <v>1518.2980073</v>
      </c>
      <c r="P17" s="51">
        <f>'[4]Лист1'!BE11</f>
        <v>462.1300000000001</v>
      </c>
      <c r="Q17" s="1"/>
      <c r="R17" s="1"/>
    </row>
    <row r="18" spans="1:18" ht="13.5" hidden="1" thickBot="1">
      <c r="A18" s="13" t="s">
        <v>49</v>
      </c>
      <c r="B18" s="221">
        <f>'[4]Лист1'!B12</f>
        <v>347</v>
      </c>
      <c r="C18" s="47">
        <f t="shared" si="0"/>
        <v>3001.55</v>
      </c>
      <c r="D18" s="48">
        <f>'[4]Лист1'!D12</f>
        <v>375.19375</v>
      </c>
      <c r="E18" s="19">
        <f>'[4]Лист1'!S12</f>
        <v>1401.9099999999999</v>
      </c>
      <c r="F18" s="21">
        <f>'[4]Лист1'!T12</f>
        <v>770.85</v>
      </c>
      <c r="G18" s="50">
        <f>'[4]Лист1'!AB12</f>
        <v>1402.6</v>
      </c>
      <c r="H18" s="21">
        <f>'[4]Лист1'!AC12</f>
        <v>2548.64375</v>
      </c>
      <c r="I18" s="50">
        <f>'[4]Лист1'!AG12</f>
        <v>187.38</v>
      </c>
      <c r="J18" s="19">
        <f>'[4]Лист1'!AI12+'[4]Лист1'!AJ12</f>
        <v>310.800613</v>
      </c>
      <c r="K18" s="19">
        <f>'[4]Лист1'!AH12+'[4]Лист1'!AK12+'[4]Лист1'!AL12+'[4]Лист1'!AM12+'[4]Лист1'!AN12+'[4]Лист1'!AO12+'[4]Лист1'!AP12+'[4]Лист1'!AQ12+'[4]Лист1'!AR12</f>
        <v>1017.49191592</v>
      </c>
      <c r="L18" s="20">
        <f>'[4]Лист1'!AS12+'[4]Лист1'!AT12+'[4]Лист1'!AU12+'[4]Лист1'!AZ12+'[4]Лист1'!BA12</f>
        <v>0</v>
      </c>
      <c r="M18" s="20">
        <f>'[4]Лист1'!AX12</f>
        <v>60.85968</v>
      </c>
      <c r="N18" s="21">
        <f>'[4]Лист1'!BB12</f>
        <v>1833.8477289200002</v>
      </c>
      <c r="O18" s="51">
        <f>'[4]Лист1'!BD12</f>
        <v>714.79602108</v>
      </c>
      <c r="P18" s="51">
        <f>'[4]Лист1'!BE12</f>
        <v>0.6900000000000546</v>
      </c>
      <c r="Q18" s="1"/>
      <c r="R18" s="1"/>
    </row>
    <row r="19" spans="1:18" ht="13.5" hidden="1" thickBot="1">
      <c r="A19" s="13" t="s">
        <v>50</v>
      </c>
      <c r="B19" s="221">
        <f>'[4]Лист1'!B13</f>
        <v>347</v>
      </c>
      <c r="C19" s="47">
        <f t="shared" si="0"/>
        <v>3001.55</v>
      </c>
      <c r="D19" s="48">
        <f>'[4]Лист1'!D13</f>
        <v>577.8599999999997</v>
      </c>
      <c r="E19" s="19">
        <f>'[4]Лист1'!S13</f>
        <v>1563.57</v>
      </c>
      <c r="F19" s="21">
        <f>'[4]Лист1'!T13</f>
        <v>860.12</v>
      </c>
      <c r="G19" s="50">
        <f>'[4]Лист1'!AB13</f>
        <v>1101.03</v>
      </c>
      <c r="H19" s="21">
        <f>'[4]Лист1'!AC13</f>
        <v>2539.0099999999993</v>
      </c>
      <c r="I19" s="50">
        <f>'[4]Лист1'!AG13</f>
        <v>208.2</v>
      </c>
      <c r="J19" s="19">
        <f>'[4]Лист1'!AI13+'[4]Лист1'!AJ13</f>
        <v>348.041</v>
      </c>
      <c r="K19" s="19">
        <f>'[4]Лист1'!AH13+'[4]Лист1'!AK13+'[4]Лист1'!AL13+'[4]Лист1'!AM13+'[4]Лист1'!AN13+'[4]Лист1'!AO13+'[4]Лист1'!AP13+'[4]Лист1'!AQ13+'[4]Лист1'!AR13</f>
        <v>1192.0144</v>
      </c>
      <c r="L19" s="20">
        <f>'[4]Лист1'!AS13+'[4]Лист1'!AT13+'[4]Лист1'!AU13+'[4]Лист1'!AZ13+'[4]Лист1'!BA13</f>
        <v>0</v>
      </c>
      <c r="M19" s="20">
        <f>'[4]Лист1'!AX13</f>
        <v>52.137119999999996</v>
      </c>
      <c r="N19" s="21">
        <f>'[4]Лист1'!BB13</f>
        <v>1800.3925199999999</v>
      </c>
      <c r="O19" s="51">
        <f>'[4]Лист1'!BD13</f>
        <v>738.6174799999994</v>
      </c>
      <c r="P19" s="51">
        <f>'[4]Лист1'!BE13</f>
        <v>-462.53999999999996</v>
      </c>
      <c r="Q19" s="1"/>
      <c r="R19" s="1"/>
    </row>
    <row r="20" spans="1:18" ht="13.5" hidden="1" thickBot="1">
      <c r="A20" s="13" t="s">
        <v>51</v>
      </c>
      <c r="B20" s="221">
        <f>'[4]Лист1'!B14</f>
        <v>347</v>
      </c>
      <c r="C20" s="47">
        <f t="shared" si="0"/>
        <v>3001.55</v>
      </c>
      <c r="D20" s="48">
        <f>'[4]Лист1'!D14</f>
        <v>577.73</v>
      </c>
      <c r="E20" s="19">
        <f>'[4]Лист1'!S14</f>
        <v>1563.7</v>
      </c>
      <c r="F20" s="21">
        <f>'[4]Лист1'!T14</f>
        <v>860.12</v>
      </c>
      <c r="G20" s="50">
        <f>'[4]Лист1'!AB14</f>
        <v>1864.8400000000001</v>
      </c>
      <c r="H20" s="21">
        <f>'[4]Лист1'!AC14</f>
        <v>3302.69</v>
      </c>
      <c r="I20" s="50">
        <f>'[4]Лист1'!AG14</f>
        <v>208.2</v>
      </c>
      <c r="J20" s="19">
        <f>'[4]Лист1'!AI14+'[4]Лист1'!AJ14</f>
        <v>348.041</v>
      </c>
      <c r="K20" s="19">
        <f>'[4]Лист1'!AH14+'[4]Лист1'!AK14+'[4]Лист1'!AL14+'[4]Лист1'!AM14+'[4]Лист1'!AN14+'[4]Лист1'!AO14+'[4]Лист1'!AP14+'[4]Лист1'!AQ14+'[4]Лист1'!AR14</f>
        <v>1192.04563</v>
      </c>
      <c r="L20" s="20">
        <f>'[4]Лист1'!AS14+'[4]Лист1'!AT14+'[4]Лист1'!AU14+'[4]Лист1'!AZ14+'[4]Лист1'!BA14</f>
        <v>0</v>
      </c>
      <c r="M20" s="20">
        <f>'[4]Лист1'!AX14</f>
        <v>46.189919999999994</v>
      </c>
      <c r="N20" s="21">
        <f>'[4]Лист1'!BB14</f>
        <v>1794.47655</v>
      </c>
      <c r="O20" s="51">
        <f>'[4]Лист1'!BD14</f>
        <v>1508.21345</v>
      </c>
      <c r="P20" s="51">
        <f>'[4]Лист1'!BE14</f>
        <v>301.1400000000001</v>
      </c>
      <c r="Q20" s="1"/>
      <c r="R20" s="1"/>
    </row>
    <row r="21" spans="1:18" ht="13.5" hidden="1" thickBot="1">
      <c r="A21" s="13" t="s">
        <v>52</v>
      </c>
      <c r="B21" s="221">
        <f>'[4]Лист1'!B15</f>
        <v>347</v>
      </c>
      <c r="C21" s="47">
        <f t="shared" si="0"/>
        <v>3001.55</v>
      </c>
      <c r="D21" s="48">
        <f>'[4]Лист1'!D15</f>
        <v>595.9700000000003</v>
      </c>
      <c r="E21" s="19">
        <f>'[4]Лист1'!S15</f>
        <v>1553.6399999999999</v>
      </c>
      <c r="F21" s="21">
        <f>'[4]Лист1'!T15</f>
        <v>851.9399999999999</v>
      </c>
      <c r="G21" s="50">
        <f>'[4]Лист1'!AB15</f>
        <v>1230.87</v>
      </c>
      <c r="H21" s="21">
        <f>'[4]Лист1'!AC15</f>
        <v>2678.78</v>
      </c>
      <c r="I21" s="50">
        <f>'[4]Лист1'!AG15</f>
        <v>208.2</v>
      </c>
      <c r="J21" s="19">
        <f>'[4]Лист1'!AI15+'[4]Лист1'!AJ15</f>
        <v>343.0988178</v>
      </c>
      <c r="K21" s="19">
        <f>'[4]Лист1'!AH15+'[4]Лист1'!AK15+'[4]Лист1'!AL15+'[4]Лист1'!AM15+'[4]Лист1'!AN15+'[4]Лист1'!AO15+'[4]Лист1'!AP15+'[4]Лист1'!AQ15+'[4]Лист1'!AR15</f>
        <v>1180.18489934</v>
      </c>
      <c r="L21" s="20">
        <f>'[4]Лист1'!AS15+'[4]Лист1'!AT15+'[4]Лист1'!AU15+'[4]Лист1'!AZ15+'[4]Лист1'!BA15</f>
        <v>0</v>
      </c>
      <c r="M21" s="20">
        <f>'[4]Лист1'!AX15</f>
        <v>49.16352</v>
      </c>
      <c r="N21" s="21">
        <f>'[4]Лист1'!BB15</f>
        <v>1780.64723714</v>
      </c>
      <c r="O21" s="51">
        <f>'[4]Лист1'!BD15</f>
        <v>898.1327628600002</v>
      </c>
      <c r="P21" s="51">
        <f>'[4]Лист1'!BE15</f>
        <v>-322.77</v>
      </c>
      <c r="Q21" s="1"/>
      <c r="R21" s="1"/>
    </row>
    <row r="22" spans="1:18" ht="13.5" hidden="1" thickBot="1">
      <c r="A22" s="13" t="s">
        <v>53</v>
      </c>
      <c r="B22" s="221">
        <f>'[4]Лист1'!B16</f>
        <v>347</v>
      </c>
      <c r="C22" s="47">
        <f t="shared" si="0"/>
        <v>3001.55</v>
      </c>
      <c r="D22" s="48">
        <f>'[4]Лист1'!D16</f>
        <v>577.73</v>
      </c>
      <c r="E22" s="19">
        <f>'[4]Лист1'!S16</f>
        <v>1563.7</v>
      </c>
      <c r="F22" s="21">
        <f>'[4]Лист1'!T16</f>
        <v>860.12</v>
      </c>
      <c r="G22" s="50">
        <f>'[4]Лист1'!AB16</f>
        <v>1843.1499999999999</v>
      </c>
      <c r="H22" s="21">
        <f>'[4]Лист1'!AC16</f>
        <v>3281</v>
      </c>
      <c r="I22" s="50">
        <f>'[4]Лист1'!AG16</f>
        <v>208.2</v>
      </c>
      <c r="J22" s="19">
        <f>'[4]Лист1'!AI16+'[4]Лист1'!AJ16</f>
        <v>342.9073952499999</v>
      </c>
      <c r="K22" s="19">
        <f>'[4]Лист1'!AH16+'[4]Лист1'!AK16+'[4]Лист1'!AL16+'[4]Лист1'!AM16+'[4]Лист1'!AN16+'[4]Лист1'!AO16+'[4]Лист1'!AP16+'[4]Лист1'!AQ16+'[4]Лист1'!AR16</f>
        <v>1179.93693314</v>
      </c>
      <c r="L22" s="20">
        <f>'[4]Лист1'!AS16+'[4]Лист1'!AT16+'[4]Лист1'!AU16+'[4]Лист1'!AZ16+'[4]Лист1'!BA16</f>
        <v>0</v>
      </c>
      <c r="M22" s="20">
        <f>'[4]Лист1'!AX16</f>
        <v>58.08431999999999</v>
      </c>
      <c r="N22" s="21">
        <f>'[4]Лист1'!BB16</f>
        <v>1789.1286483900003</v>
      </c>
      <c r="O22" s="51">
        <f>'[4]Лист1'!BD16</f>
        <v>1491.8713516099997</v>
      </c>
      <c r="P22" s="51">
        <f>'[4]Лист1'!BE16</f>
        <v>279.4499999999998</v>
      </c>
      <c r="Q22" s="1"/>
      <c r="R22" s="1"/>
    </row>
    <row r="23" spans="1:18" ht="13.5" hidden="1" thickBot="1">
      <c r="A23" s="13" t="s">
        <v>41</v>
      </c>
      <c r="B23" s="221">
        <f>'[4]Лист1'!B17</f>
        <v>347</v>
      </c>
      <c r="C23" s="47">
        <f t="shared" si="0"/>
        <v>3001.55</v>
      </c>
      <c r="D23" s="48">
        <f>'[4]Лист1'!D17</f>
        <v>577.73</v>
      </c>
      <c r="E23" s="19">
        <f>'[4]Лист1'!S17</f>
        <v>1563.7</v>
      </c>
      <c r="F23" s="21">
        <f>'[4]Лист1'!T17</f>
        <v>860.12</v>
      </c>
      <c r="G23" s="50">
        <f>'[4]Лист1'!AB17</f>
        <v>1231.0300000000002</v>
      </c>
      <c r="H23" s="21">
        <f>'[4]Лист1'!AC17</f>
        <v>2668.88</v>
      </c>
      <c r="I23" s="50">
        <f>'[4]Лист1'!AG17</f>
        <v>208.2</v>
      </c>
      <c r="J23" s="19">
        <f>'[4]Лист1'!AI17+'[4]Лист1'!AJ17</f>
        <v>342.84822827999994</v>
      </c>
      <c r="K23" s="19">
        <f>'[4]Лист1'!AH17+'[4]Лист1'!AK17+'[4]Лист1'!AL17+'[4]Лист1'!AM17+'[4]Лист1'!AN17+'[4]Лист1'!AO17+'[4]Лист1'!AP17+'[4]Лист1'!AQ17+'[4]Лист1'!AR17</f>
        <v>1179.8602711239998</v>
      </c>
      <c r="L23" s="20">
        <f>'[4]Лист1'!AS17+'[4]Лист1'!AT17+'[4]Лист1'!AU17+'[4]Лист1'!AZ17+'[4]Лист1'!BA17</f>
        <v>0</v>
      </c>
      <c r="M23" s="20">
        <f>'[4]Лист1'!AX17</f>
        <v>69.18576</v>
      </c>
      <c r="N23" s="21">
        <f>'[4]Лист1'!BB17</f>
        <v>1800.0942594039993</v>
      </c>
      <c r="O23" s="51">
        <f>'[4]Лист1'!BD17</f>
        <v>868.7857405960008</v>
      </c>
      <c r="P23" s="51">
        <f>'[4]Лист1'!BE17</f>
        <v>-332.66999999999985</v>
      </c>
      <c r="Q23" s="1"/>
      <c r="R23" s="1"/>
    </row>
    <row r="24" spans="1:18" ht="13.5" hidden="1" thickBot="1">
      <c r="A24" s="13" t="s">
        <v>42</v>
      </c>
      <c r="B24" s="221">
        <f>'[4]Лист1'!B18</f>
        <v>347</v>
      </c>
      <c r="C24" s="47">
        <f t="shared" si="0"/>
        <v>3001.55</v>
      </c>
      <c r="D24" s="48">
        <f>'[4]Лист1'!D18</f>
        <v>577.73</v>
      </c>
      <c r="E24" s="19">
        <f>'[4]Лист1'!S18</f>
        <v>1563.7</v>
      </c>
      <c r="F24" s="21">
        <f>'[4]Лист1'!T18</f>
        <v>860.12</v>
      </c>
      <c r="G24" s="50">
        <f>'[4]Лист1'!AB18</f>
        <v>1939.5499999999997</v>
      </c>
      <c r="H24" s="21">
        <f>'[4]Лист1'!AC18</f>
        <v>3377.3999999999996</v>
      </c>
      <c r="I24" s="50">
        <f>'[4]Лист1'!AG18</f>
        <v>208.2</v>
      </c>
      <c r="J24" s="19">
        <f>'[4]Лист1'!AI18+'[4]Лист1'!AJ18</f>
        <v>346.81262</v>
      </c>
      <c r="K24" s="19">
        <f>'[4]Лист1'!AH18+'[4]Лист1'!AK18+'[4]Лист1'!AL18+'[4]Лист1'!AM18+'[4]Лист1'!AN18+'[4]Лист1'!AO18+'[4]Лист1'!AP18+'[4]Лист1'!AQ18+'[4]Лист1'!AR18</f>
        <v>1190.0018</v>
      </c>
      <c r="L24" s="20">
        <f>'[4]Лист1'!AS18+'[4]Лист1'!AT18+'[4]Лист1'!AU18+'[4]Лист1'!AZ18+'[4]Лист1'!BA18</f>
        <v>0</v>
      </c>
      <c r="M24" s="20">
        <f>'[4]Лист1'!AX18</f>
        <v>84.252</v>
      </c>
      <c r="N24" s="21">
        <f>'[4]Лист1'!BB18</f>
        <v>1829.2664200000002</v>
      </c>
      <c r="O24" s="51">
        <f>'[4]Лист1'!BD18</f>
        <v>1548.1335799999995</v>
      </c>
      <c r="P24" s="51">
        <f>'[4]Лист1'!BE18</f>
        <v>375.8499999999997</v>
      </c>
      <c r="Q24" s="1"/>
      <c r="R24" s="1"/>
    </row>
    <row r="25" spans="1:18" ht="13.5" hidden="1" thickBot="1">
      <c r="A25" s="52" t="s">
        <v>43</v>
      </c>
      <c r="B25" s="221">
        <f>'[4]Лист1'!B19</f>
        <v>347</v>
      </c>
      <c r="C25" s="53">
        <f t="shared" si="0"/>
        <v>3001.55</v>
      </c>
      <c r="D25" s="48">
        <f>'[4]Лист1'!D19</f>
        <v>577.73</v>
      </c>
      <c r="E25" s="19">
        <f>'[4]Лист1'!S19</f>
        <v>1563.7</v>
      </c>
      <c r="F25" s="21">
        <f>'[4]Лист1'!T19</f>
        <v>860.12</v>
      </c>
      <c r="G25" s="50">
        <f>'[4]Лист1'!AB19</f>
        <v>1230.9</v>
      </c>
      <c r="H25" s="21">
        <f>'[4]Лист1'!AC19</f>
        <v>2668.75</v>
      </c>
      <c r="I25" s="50">
        <f>'[4]Лист1'!AG19</f>
        <v>208.2</v>
      </c>
      <c r="J25" s="19">
        <f>'[4]Лист1'!AI19+'[4]Лист1'!AJ19</f>
        <v>348.041</v>
      </c>
      <c r="K25" s="19">
        <f>'[4]Лист1'!AH19+'[4]Лист1'!AK19+'[4]Лист1'!AL19+'[4]Лист1'!AM19+'[4]Лист1'!AN19+'[4]Лист1'!AO19+'[4]Лист1'!AP19+'[4]Лист1'!AQ19+'[4]Лист1'!AR19</f>
        <v>1191.3204</v>
      </c>
      <c r="L25" s="20">
        <f>'[4]Лист1'!AS19+'[4]Лист1'!AT19+'[4]Лист1'!AU19+'[4]Лист1'!AZ19+'[4]Лист1'!BA19</f>
        <v>0</v>
      </c>
      <c r="M25" s="20">
        <f>'[4]Лист1'!AX19</f>
        <v>93.17280000000001</v>
      </c>
      <c r="N25" s="21">
        <f>'[4]Лист1'!BB19</f>
        <v>1840.7342</v>
      </c>
      <c r="O25" s="51">
        <f>'[4]Лист1'!BD19</f>
        <v>828.0157999999999</v>
      </c>
      <c r="P25" s="51">
        <f>'[4]Лист1'!BE19</f>
        <v>-332.79999999999995</v>
      </c>
      <c r="Q25" s="1"/>
      <c r="R25" s="1"/>
    </row>
    <row r="26" spans="1:18" s="28" customFormat="1" ht="13.5" hidden="1" thickBot="1">
      <c r="A26" s="54" t="s">
        <v>5</v>
      </c>
      <c r="B26" s="55"/>
      <c r="C26" s="56">
        <f aca="true" t="shared" si="1" ref="C26:P26">SUM(C14:C25)</f>
        <v>33017.049999999996</v>
      </c>
      <c r="D26" s="57">
        <f t="shared" si="1"/>
        <v>5563.254999999999</v>
      </c>
      <c r="E26" s="56">
        <f t="shared" si="1"/>
        <v>16545.510000000002</v>
      </c>
      <c r="F26" s="58">
        <f t="shared" si="1"/>
        <v>9096.060000000001</v>
      </c>
      <c r="G26" s="57">
        <f t="shared" si="1"/>
        <v>16055.549999999997</v>
      </c>
      <c r="H26" s="58">
        <f t="shared" si="1"/>
        <v>30714.864999999998</v>
      </c>
      <c r="I26" s="57">
        <f t="shared" si="1"/>
        <v>2206.92</v>
      </c>
      <c r="J26" s="56">
        <f t="shared" si="1"/>
        <v>3635.6594948300003</v>
      </c>
      <c r="K26" s="56">
        <f t="shared" si="1"/>
        <v>12400.211564704</v>
      </c>
      <c r="L26" s="56">
        <f t="shared" si="1"/>
        <v>1569.4</v>
      </c>
      <c r="M26" s="56">
        <f t="shared" si="1"/>
        <v>770.36064</v>
      </c>
      <c r="N26" s="58">
        <f t="shared" si="1"/>
        <v>20582.551699533997</v>
      </c>
      <c r="O26" s="60">
        <f t="shared" si="1"/>
        <v>10132.313300466</v>
      </c>
      <c r="P26" s="60">
        <f t="shared" si="1"/>
        <v>-489.96000000000004</v>
      </c>
      <c r="Q26" s="62"/>
      <c r="R26" s="62"/>
    </row>
    <row r="27" spans="1:18" ht="13.5" thickBot="1">
      <c r="A27" s="352" t="s">
        <v>92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69"/>
      <c r="Q27" s="1"/>
      <c r="R27" s="1"/>
    </row>
    <row r="28" spans="1:18" s="28" customFormat="1" ht="13.5" thickBot="1">
      <c r="A28" s="70" t="s">
        <v>54</v>
      </c>
      <c r="B28" s="71"/>
      <c r="C28" s="72">
        <f>'2011 полн'!C8</f>
        <v>167844.60000000003</v>
      </c>
      <c r="D28" s="72">
        <f>'2011 полн'!D8</f>
        <v>53198.41448160002</v>
      </c>
      <c r="E28" s="72">
        <f>'2011 полн'!U8</f>
        <v>126610.37000000001</v>
      </c>
      <c r="F28" s="72">
        <f>'2011 полн'!V8</f>
        <v>1991.6400000000003</v>
      </c>
      <c r="G28" s="72">
        <f>'2011 полн'!AF8</f>
        <v>33214.64</v>
      </c>
      <c r="H28" s="72">
        <f>'2011 полн'!AG8</f>
        <v>88404.69448160002</v>
      </c>
      <c r="I28" s="72">
        <f>'2011 полн'!AK8</f>
        <v>11467.992000000002</v>
      </c>
      <c r="J28" s="72">
        <f>'2011 полн'!AL8</f>
        <v>3841.6679403999997</v>
      </c>
      <c r="K28" s="72">
        <f>'2011 полн'!AM8+'2011 полн'!AN8+'2011 полн'!AO8+'2011 полн'!AP8+'2011 полн'!AQ8+'2011 полн'!AS8+'2011 полн'!AT8+'2011 полн'!AX8</f>
        <v>80480.44320571682</v>
      </c>
      <c r="L28" s="72">
        <f>'2011 полн'!AU8+'2011 полн'!AV8+'2011 полн'!AW8</f>
        <v>25861.8896</v>
      </c>
      <c r="M28" s="72">
        <f>'2011 полн'!AY8</f>
        <v>5388.768</v>
      </c>
      <c r="N28" s="72">
        <f>'2011 полн'!BC8</f>
        <v>127040.7607461168</v>
      </c>
      <c r="O28" s="72">
        <f>'2011 полн'!BF8</f>
        <v>-38636.06626451679</v>
      </c>
      <c r="P28" s="72">
        <f>'2011 полн'!BG8</f>
        <v>-93395.73</v>
      </c>
      <c r="Q28" s="76"/>
      <c r="R28" s="62"/>
    </row>
    <row r="29" spans="1:18" ht="12.75">
      <c r="A29" s="8" t="s">
        <v>116</v>
      </c>
      <c r="B29" s="219"/>
      <c r="C29" s="63"/>
      <c r="D29" s="64"/>
      <c r="E29" s="65"/>
      <c r="F29" s="66"/>
      <c r="G29" s="68"/>
      <c r="H29" s="66"/>
      <c r="I29" s="68"/>
      <c r="J29" s="19"/>
      <c r="K29" s="19"/>
      <c r="L29" s="20"/>
      <c r="M29" s="220"/>
      <c r="N29" s="21"/>
      <c r="O29" s="51"/>
      <c r="P29" s="51"/>
      <c r="Q29" s="1"/>
      <c r="R29" s="1"/>
    </row>
    <row r="30" spans="1:18" ht="12.75">
      <c r="A30" s="13" t="s">
        <v>45</v>
      </c>
      <c r="B30" s="221">
        <f>'2011 полн'!B10</f>
        <v>726.7</v>
      </c>
      <c r="C30" s="47">
        <f>'2011 полн'!C10</f>
        <v>5152.884360000001</v>
      </c>
      <c r="D30" s="48">
        <f>'2011 полн'!D10</f>
        <v>630.3264000000001</v>
      </c>
      <c r="E30" s="19">
        <f>'2011 полн'!U10</f>
        <v>5010.64</v>
      </c>
      <c r="F30" s="19">
        <f>0</f>
        <v>0</v>
      </c>
      <c r="G30" s="50">
        <f>'2011 полн'!AF10</f>
        <v>1598.71</v>
      </c>
      <c r="H30" s="50">
        <f>'2011 полн'!AG10</f>
        <v>2229.0364</v>
      </c>
      <c r="I30" s="50">
        <f>'2011 полн'!AK10</f>
        <v>486.88900000000007</v>
      </c>
      <c r="J30" s="50">
        <f>'2011 полн'!AL10</f>
        <v>145.34</v>
      </c>
      <c r="K30" s="19">
        <f>'2011 полн'!AM10+'2011 полн'!AN10+'2011 полн'!AO10+'2011 полн'!AP10+'2011 полн'!AQ10+'2011 полн'!AR10+'2011 полн'!AS10+'2011 полн'!AT10+'2011 полн'!AX10</f>
        <v>4532.292</v>
      </c>
      <c r="L30" s="20">
        <f>'2011 полн'!AU10+'2011 полн'!AV10+'2011 полн'!AW10</f>
        <v>0</v>
      </c>
      <c r="M30" s="20">
        <f>0</f>
        <v>0</v>
      </c>
      <c r="N30" s="21">
        <f>'2011 полн'!BC10</f>
        <v>5164.521000000001</v>
      </c>
      <c r="O30" s="51">
        <f>'2011 полн'!BF10</f>
        <v>-2935.4846000000007</v>
      </c>
      <c r="P30" s="51">
        <f>'2011 полн'!BG10</f>
        <v>-3411.9300000000003</v>
      </c>
      <c r="Q30" s="1"/>
      <c r="R30" s="1"/>
    </row>
    <row r="31" spans="1:18" ht="12.75">
      <c r="A31" s="13" t="s">
        <v>46</v>
      </c>
      <c r="B31" s="221">
        <f>'2011 полн'!B11</f>
        <v>726.7</v>
      </c>
      <c r="C31" s="47">
        <f>'2011 полн'!C11</f>
        <v>5152.884360000001</v>
      </c>
      <c r="D31" s="48">
        <f>'2011 полн'!D11</f>
        <v>630.3264000000001</v>
      </c>
      <c r="E31" s="19">
        <f>'2011 полн'!U11</f>
        <v>5307.62</v>
      </c>
      <c r="F31" s="19">
        <f>0</f>
        <v>0</v>
      </c>
      <c r="G31" s="50">
        <f>'2011 полн'!AF11</f>
        <v>766.1099999999999</v>
      </c>
      <c r="H31" s="50">
        <f>'2011 полн'!AG11</f>
        <v>1396.4364</v>
      </c>
      <c r="I31" s="50">
        <f>'2011 полн'!AK11</f>
        <v>486.88900000000007</v>
      </c>
      <c r="J31" s="50">
        <f>'2011 полн'!AL11</f>
        <v>145.34</v>
      </c>
      <c r="K31" s="19">
        <f>'2011 полн'!AM11+'2011 полн'!AN11+'2011 полн'!AO11+'2011 полн'!AP11+'2011 полн'!AQ11+'2011 полн'!AR11+'2011 полн'!AS11+'2011 полн'!AT11+'2011 полн'!AX11</f>
        <v>4219.6320000000005</v>
      </c>
      <c r="L31" s="20">
        <f>'2011 полн'!AU11+'2011 полн'!AV11+'2011 полн'!AW11</f>
        <v>0</v>
      </c>
      <c r="M31" s="20">
        <f>0</f>
        <v>0</v>
      </c>
      <c r="N31" s="21">
        <f>'2011 полн'!BC11</f>
        <v>4851.861000000001</v>
      </c>
      <c r="O31" s="51">
        <f>'2011 полн'!BF11</f>
        <v>-3455.4246000000007</v>
      </c>
      <c r="P31" s="51">
        <f>'2011 полн'!BG11</f>
        <v>-4541.51</v>
      </c>
      <c r="Q31" s="1"/>
      <c r="R31" s="1"/>
    </row>
    <row r="32" spans="1:18" ht="12.75">
      <c r="A32" s="13" t="s">
        <v>47</v>
      </c>
      <c r="B32" s="221">
        <f>'2011 полн'!B12</f>
        <v>726.7</v>
      </c>
      <c r="C32" s="47">
        <f>'2011 полн'!C12</f>
        <v>5152.884360000001</v>
      </c>
      <c r="D32" s="48">
        <f>'2011 полн'!D12</f>
        <v>630.3264000000001</v>
      </c>
      <c r="E32" s="19">
        <f>'2011 полн'!U12</f>
        <v>5159.15</v>
      </c>
      <c r="F32" s="19">
        <f>0</f>
        <v>0</v>
      </c>
      <c r="G32" s="50">
        <f>'2011 полн'!AF12</f>
        <v>5810.2</v>
      </c>
      <c r="H32" s="50">
        <f>'2011 полн'!AG12</f>
        <v>6440.5264</v>
      </c>
      <c r="I32" s="50">
        <f>'2011 полн'!AK12</f>
        <v>486.88900000000007</v>
      </c>
      <c r="J32" s="50">
        <f>'2011 полн'!AL12</f>
        <v>145.34</v>
      </c>
      <c r="K32" s="19">
        <f>'2011 полн'!AM12+'2011 полн'!AN12+'2011 полн'!AO12+'2011 полн'!AP12+'2011 полн'!AQ12+'2011 полн'!AR12+'2011 полн'!AS12+'2011 полн'!AT12+'2011 полн'!AX12</f>
        <v>4185.792</v>
      </c>
      <c r="L32" s="20">
        <f>'2011 полн'!AU12+'2011 полн'!AV12+'2011 полн'!AW12</f>
        <v>0</v>
      </c>
      <c r="M32" s="20">
        <f>0</f>
        <v>0</v>
      </c>
      <c r="N32" s="21">
        <f>'2011 полн'!BC12</f>
        <v>4818.021000000001</v>
      </c>
      <c r="O32" s="51">
        <f>'2011 полн'!BF12</f>
        <v>1622.505399999999</v>
      </c>
      <c r="P32" s="51">
        <f>'2011 полн'!BG12</f>
        <v>651.0500000000002</v>
      </c>
      <c r="Q32" s="1"/>
      <c r="R32" s="1"/>
    </row>
    <row r="33" spans="1:18" ht="12.75">
      <c r="A33" s="13" t="s">
        <v>48</v>
      </c>
      <c r="B33" s="221">
        <f>'2011 полн'!B13</f>
        <v>726.7</v>
      </c>
      <c r="C33" s="47">
        <f>'2011 полн'!C13</f>
        <v>5152.884360000001</v>
      </c>
      <c r="D33" s="48">
        <f>'2011 полн'!D13</f>
        <v>630.3264000000001</v>
      </c>
      <c r="E33" s="19">
        <f>'2011 полн'!U13</f>
        <v>5159.13</v>
      </c>
      <c r="F33" s="19">
        <f>0</f>
        <v>0</v>
      </c>
      <c r="G33" s="50">
        <f>'2011 полн'!AF13</f>
        <v>2333.59</v>
      </c>
      <c r="H33" s="50">
        <f>'2011 полн'!AG13</f>
        <v>2963.9164</v>
      </c>
      <c r="I33" s="50">
        <f>'2011 полн'!AK13</f>
        <v>486.88900000000007</v>
      </c>
      <c r="J33" s="50">
        <f>'2011 полн'!AL13</f>
        <v>145.34</v>
      </c>
      <c r="K33" s="19">
        <f>'2011 полн'!AM13+'2011 полн'!AN13+'2011 полн'!AO13+'2011 полн'!AP13+'2011 полн'!AQ13+'2011 полн'!AR13+'2011 полн'!AS13+'2011 полн'!AT13+'2011 полн'!AX13</f>
        <v>4250.792</v>
      </c>
      <c r="L33" s="20">
        <f>'2011 полн'!AU13+'2011 полн'!AV13+'2011 полн'!AW13</f>
        <v>981</v>
      </c>
      <c r="M33" s="20">
        <f>0</f>
        <v>0</v>
      </c>
      <c r="N33" s="21">
        <f>'2011 полн'!BC13</f>
        <v>5864.021000000001</v>
      </c>
      <c r="O33" s="51">
        <f>'2011 полн'!BF13</f>
        <v>-2900.1046000000006</v>
      </c>
      <c r="P33" s="51">
        <f>'2011 полн'!BG13</f>
        <v>-2825.54</v>
      </c>
      <c r="Q33" s="1"/>
      <c r="R33" s="1"/>
    </row>
    <row r="34" spans="1:18" ht="12.75">
      <c r="A34" s="13" t="s">
        <v>49</v>
      </c>
      <c r="B34" s="221">
        <f>'2011 полн'!B14</f>
        <v>726.7</v>
      </c>
      <c r="C34" s="47">
        <f>'2011 полн'!C14</f>
        <v>5152.884360000001</v>
      </c>
      <c r="D34" s="48">
        <f>'2011 полн'!D14</f>
        <v>630.3264000000001</v>
      </c>
      <c r="E34" s="19">
        <f>'2011 полн'!U14</f>
        <v>5159.13</v>
      </c>
      <c r="F34" s="19">
        <f>0</f>
        <v>0</v>
      </c>
      <c r="G34" s="50">
        <f>'2011 полн'!AF14</f>
        <v>186.23000000000002</v>
      </c>
      <c r="H34" s="50">
        <f>'2011 полн'!AG14</f>
        <v>816.5564000000002</v>
      </c>
      <c r="I34" s="50">
        <f>'2011 полн'!AK14</f>
        <v>486.88900000000007</v>
      </c>
      <c r="J34" s="50">
        <f>'2011 полн'!AL14</f>
        <v>145.34</v>
      </c>
      <c r="K34" s="19">
        <f>'2011 полн'!AM14+'2011 полн'!AN14+'2011 полн'!AO14+'2011 полн'!AP14+'2011 полн'!AQ14+'2011 полн'!AR14+'2011 полн'!AS14+'2011 полн'!AT14+'2011 полн'!AX14</f>
        <v>6329.952</v>
      </c>
      <c r="L34" s="20">
        <f>'2011 полн'!AU14+'2011 полн'!AV14+'2011 полн'!AW14</f>
        <v>11232</v>
      </c>
      <c r="M34" s="20">
        <f>0</f>
        <v>0</v>
      </c>
      <c r="N34" s="21">
        <f>'2011 полн'!BC14</f>
        <v>18194.181</v>
      </c>
      <c r="O34" s="51">
        <f>'2011 полн'!BF14</f>
        <v>-17377.6246</v>
      </c>
      <c r="P34" s="51">
        <f>'2011 полн'!BG14</f>
        <v>-4972.9</v>
      </c>
      <c r="Q34" s="1"/>
      <c r="R34" s="1"/>
    </row>
    <row r="35" spans="1:18" ht="12.75">
      <c r="A35" s="13" t="s">
        <v>50</v>
      </c>
      <c r="B35" s="221">
        <f>'2011 полн'!B15</f>
        <v>726.7</v>
      </c>
      <c r="C35" s="47">
        <f>'2011 полн'!C15</f>
        <v>5152.884360000001</v>
      </c>
      <c r="D35" s="48">
        <f>'2011 полн'!D15</f>
        <v>630.3264000000001</v>
      </c>
      <c r="E35" s="19">
        <f>'2011 полн'!U15</f>
        <v>5159.14</v>
      </c>
      <c r="F35" s="19">
        <f>0</f>
        <v>0</v>
      </c>
      <c r="G35" s="50">
        <f>'2011 полн'!AF15</f>
        <v>517.49</v>
      </c>
      <c r="H35" s="50">
        <f>'2011 полн'!AG15</f>
        <v>1147.8164000000002</v>
      </c>
      <c r="I35" s="50">
        <f>'2011 полн'!AK15</f>
        <v>486.88900000000007</v>
      </c>
      <c r="J35" s="50">
        <f>'2011 полн'!AL15</f>
        <v>145.34</v>
      </c>
      <c r="K35" s="19">
        <f>'2011 полн'!AM15+'2011 полн'!AN15+'2011 полн'!AO15+'2011 полн'!AP15+'2011 полн'!AQ15+'2011 полн'!AR15+'2011 полн'!AS15+'2011 полн'!AT15+'2011 полн'!AX15</f>
        <v>4185.792</v>
      </c>
      <c r="L35" s="20">
        <f>'2011 полн'!AU15+'2011 полн'!AV15+'2011 полн'!AW15</f>
        <v>0</v>
      </c>
      <c r="M35" s="20">
        <f>0</f>
        <v>0</v>
      </c>
      <c r="N35" s="21">
        <f>'2011 полн'!BC15</f>
        <v>4818.021000000001</v>
      </c>
      <c r="O35" s="51">
        <f>'2011 полн'!BF15</f>
        <v>-3670.2046000000005</v>
      </c>
      <c r="P35" s="51">
        <f>'2011 полн'!BG15</f>
        <v>-4641.650000000001</v>
      </c>
      <c r="Q35" s="1"/>
      <c r="R35" s="1"/>
    </row>
    <row r="36" spans="1:16" ht="12.75">
      <c r="A36" s="13" t="s">
        <v>51</v>
      </c>
      <c r="B36" s="221">
        <f>'2011 полн'!B16</f>
        <v>726.7</v>
      </c>
      <c r="C36" s="47">
        <f>'2011 полн'!C16</f>
        <v>10210.135000000002</v>
      </c>
      <c r="D36" s="48">
        <f>'2011 полн'!D16</f>
        <v>630.3264000000001</v>
      </c>
      <c r="E36" s="19">
        <f>'2011 полн'!U16</f>
        <v>10210.150000000001</v>
      </c>
      <c r="F36" s="19">
        <f>0</f>
        <v>0</v>
      </c>
      <c r="G36" s="50">
        <f>'2011 полн'!AF16</f>
        <v>2559.7</v>
      </c>
      <c r="H36" s="50">
        <f>'2011 полн'!AG16</f>
        <v>3190.0263999999997</v>
      </c>
      <c r="I36" s="50">
        <f>'2011 полн'!AK16</f>
        <v>486.88900000000007</v>
      </c>
      <c r="J36" s="50">
        <f>'2011 полн'!AL16</f>
        <v>145.34</v>
      </c>
      <c r="K36" s="19">
        <f>'2011 полн'!AM16+'2011 полн'!AN16+'2011 полн'!AO16+'2011 полн'!AP16+'2011 полн'!AQ16+'2011 полн'!AR16+'2011 полн'!AS16+'2011 полн'!AT16+'2011 полн'!AX16</f>
        <v>4185.792</v>
      </c>
      <c r="L36" s="20">
        <f>'2011 полн'!AU16+'2011 полн'!AV16+'2011 полн'!AW16</f>
        <v>0</v>
      </c>
      <c r="M36" s="20">
        <f>0</f>
        <v>0</v>
      </c>
      <c r="N36" s="21">
        <f>'2011 полн'!BC16</f>
        <v>4818.021000000001</v>
      </c>
      <c r="O36" s="51">
        <f>'2011 полн'!BF16</f>
        <v>-1627.994600000001</v>
      </c>
      <c r="P36" s="51">
        <f>'2011 полн'!BG16</f>
        <v>-7650.450000000002</v>
      </c>
    </row>
    <row r="37" spans="1:16" ht="12.75">
      <c r="A37" s="13" t="s">
        <v>52</v>
      </c>
      <c r="B37" s="221">
        <f>'2011 полн'!B17</f>
        <v>726.7</v>
      </c>
      <c r="C37" s="47">
        <f>'2011 полн'!C17</f>
        <v>10210.135000000002</v>
      </c>
      <c r="D37" s="48">
        <f>'2011 полн'!D17</f>
        <v>630.3264000000001</v>
      </c>
      <c r="E37" s="19">
        <f>'2011 полн'!U17</f>
        <v>10210.150000000001</v>
      </c>
      <c r="F37" s="19">
        <f>0</f>
        <v>0</v>
      </c>
      <c r="G37" s="50">
        <f>'2011 полн'!AF17</f>
        <v>1784.45</v>
      </c>
      <c r="H37" s="50">
        <f>'2011 полн'!AG17</f>
        <v>2414.7764</v>
      </c>
      <c r="I37" s="50">
        <f>'2011 полн'!AK17</f>
        <v>486.88900000000007</v>
      </c>
      <c r="J37" s="50">
        <f>'2011 полн'!AL17</f>
        <v>145.34</v>
      </c>
      <c r="K37" s="19">
        <f>'2011 полн'!AM17+'2011 полн'!AN17+'2011 полн'!AO17+'2011 полн'!AP17+'2011 полн'!AQ17+'2011 полн'!AR17+'2011 полн'!AS17+'2011 полн'!AT17+'2011 полн'!AX17</f>
        <v>4185.792</v>
      </c>
      <c r="L37" s="20">
        <f>'2011 полн'!AU17+'2011 полн'!AV17+'2011 полн'!AW17</f>
        <v>0</v>
      </c>
      <c r="M37" s="20">
        <f>0</f>
        <v>0</v>
      </c>
      <c r="N37" s="21">
        <f>'2011 полн'!BC17</f>
        <v>4818.021000000001</v>
      </c>
      <c r="O37" s="51">
        <f>'2011 полн'!BF17</f>
        <v>-2403.2446000000004</v>
      </c>
      <c r="P37" s="51">
        <f>'2011 полн'!BG17</f>
        <v>-8425.7</v>
      </c>
    </row>
    <row r="38" spans="1:16" ht="12.75">
      <c r="A38" s="13" t="s">
        <v>53</v>
      </c>
      <c r="B38" s="221">
        <f>'2011 полн'!B18</f>
        <v>726.7</v>
      </c>
      <c r="C38" s="47">
        <f>'2011 полн'!C18</f>
        <v>10210.135000000002</v>
      </c>
      <c r="D38" s="48">
        <f>'2011 полн'!D18</f>
        <v>658.2444000000002</v>
      </c>
      <c r="E38" s="19">
        <f>'2011 полн'!U18</f>
        <v>10210.2</v>
      </c>
      <c r="F38" s="19">
        <f>0</f>
        <v>0</v>
      </c>
      <c r="G38" s="50">
        <f>'2011 полн'!AF18</f>
        <v>2007.05</v>
      </c>
      <c r="H38" s="50">
        <f>'2011 полн'!AG18</f>
        <v>2665.2944</v>
      </c>
      <c r="I38" s="50">
        <f>'2011 полн'!AK18</f>
        <v>486.88900000000007</v>
      </c>
      <c r="J38" s="50">
        <f>'2011 полн'!AL18</f>
        <v>145.34</v>
      </c>
      <c r="K38" s="19">
        <f>'2011 полн'!AM18+'2011 полн'!AN18+'2011 полн'!AO18+'2011 полн'!AP18+'2011 полн'!AQ18+'2011 полн'!AR18+'2011 полн'!AS18+'2011 полн'!AT18+'2011 полн'!AX18</f>
        <v>4210.792</v>
      </c>
      <c r="L38" s="20">
        <f>'2011 полн'!AU18+'2011 полн'!AV18+'2011 полн'!AW18</f>
        <v>0</v>
      </c>
      <c r="M38" s="20">
        <f>0</f>
        <v>0</v>
      </c>
      <c r="N38" s="21">
        <f>'2011 полн'!BC18</f>
        <v>4843.021000000001</v>
      </c>
      <c r="O38" s="51">
        <f>'2011 полн'!BF18</f>
        <v>-2177.7266000000004</v>
      </c>
      <c r="P38" s="51">
        <f>'2011 полн'!BG18</f>
        <v>-8203.150000000001</v>
      </c>
    </row>
    <row r="39" spans="1:16" ht="12.75">
      <c r="A39" s="13" t="s">
        <v>41</v>
      </c>
      <c r="B39" s="221">
        <f>'2011 полн'!B19</f>
        <v>726.7</v>
      </c>
      <c r="C39" s="47">
        <f>'2011 полн'!C19</f>
        <v>10210.135000000002</v>
      </c>
      <c r="D39" s="48">
        <f>'2011 полн'!D19</f>
        <v>658.2444000000002</v>
      </c>
      <c r="E39" s="19">
        <f>'2011 полн'!U19</f>
        <v>10210.2</v>
      </c>
      <c r="F39" s="19">
        <f>0</f>
        <v>0</v>
      </c>
      <c r="G39" s="50">
        <f>'2011 полн'!AF19</f>
        <v>5119.43</v>
      </c>
      <c r="H39" s="50">
        <f>'2011 полн'!AG19</f>
        <v>5777.674400000001</v>
      </c>
      <c r="I39" s="50">
        <f>'2011 полн'!AK19</f>
        <v>486.88900000000007</v>
      </c>
      <c r="J39" s="50">
        <f>'2011 полн'!AL19</f>
        <v>145.34</v>
      </c>
      <c r="K39" s="19">
        <f>'2011 полн'!AM19+'2011 полн'!AN19+'2011 полн'!AO19+'2011 полн'!AP19+'2011 полн'!AQ19+'2011 полн'!AR19+'2011 полн'!AS19+'2011 полн'!AT19+'2011 полн'!AX19</f>
        <v>5021.497</v>
      </c>
      <c r="L39" s="20">
        <f>'2011 полн'!AU19+'2011 полн'!AV19+'2011 полн'!AW19</f>
        <v>0</v>
      </c>
      <c r="M39" s="20">
        <f>0</f>
        <v>0</v>
      </c>
      <c r="N39" s="21">
        <f>'2011 полн'!BC19</f>
        <v>5653.726000000001</v>
      </c>
      <c r="O39" s="51">
        <f>'2011 полн'!BF19</f>
        <v>123.94840000000022</v>
      </c>
      <c r="P39" s="51">
        <f>'2011 полн'!BG19</f>
        <v>-5090.77</v>
      </c>
    </row>
    <row r="40" spans="1:16" ht="12.75">
      <c r="A40" s="13" t="s">
        <v>42</v>
      </c>
      <c r="B40" s="221">
        <f>'2011 полн'!B20</f>
        <v>726.7</v>
      </c>
      <c r="C40" s="47">
        <f>'2011 полн'!C20</f>
        <v>10210.135000000002</v>
      </c>
      <c r="D40" s="48">
        <f>'2011 полн'!D20</f>
        <v>658.2444000000002</v>
      </c>
      <c r="E40" s="19">
        <f>'2011 полн'!U20</f>
        <v>10210.2</v>
      </c>
      <c r="F40" s="19">
        <f>0</f>
        <v>0</v>
      </c>
      <c r="G40" s="50">
        <f>'2011 полн'!AF20</f>
        <v>3642.92</v>
      </c>
      <c r="H40" s="50">
        <f>'2011 полн'!AG20</f>
        <v>4301.164400000001</v>
      </c>
      <c r="I40" s="50">
        <f>'2011 полн'!AK20</f>
        <v>486.88900000000007</v>
      </c>
      <c r="J40" s="50">
        <f>'2011 полн'!AL20</f>
        <v>145.34</v>
      </c>
      <c r="K40" s="19">
        <f>'2011 полн'!AM20+'2011 полн'!AN20+'2011 полн'!AO20+'2011 полн'!AP20+'2011 полн'!AQ20+'2011 полн'!AR20+'2011 полн'!AS20+'2011 полн'!AT20+'2011 полн'!AX20</f>
        <v>5021.497</v>
      </c>
      <c r="L40" s="20">
        <f>'2011 полн'!AU20+'2011 полн'!AV20+'2011 полн'!AW20</f>
        <v>0</v>
      </c>
      <c r="M40" s="20">
        <f>0</f>
        <v>0</v>
      </c>
      <c r="N40" s="21">
        <f>'2011 полн'!BC20</f>
        <v>5653.726000000001</v>
      </c>
      <c r="O40" s="51">
        <f>'2011 полн'!BF20</f>
        <v>-1352.5616</v>
      </c>
      <c r="P40" s="51">
        <f>'2011 полн'!BG20</f>
        <v>-6567.280000000001</v>
      </c>
    </row>
    <row r="41" spans="1:16" ht="13.5" thickBot="1">
      <c r="A41" s="13" t="s">
        <v>43</v>
      </c>
      <c r="B41" s="221">
        <f>'2011 полн'!B21</f>
        <v>726.7</v>
      </c>
      <c r="C41" s="47">
        <f>'2011 полн'!C21</f>
        <v>10210.135000000002</v>
      </c>
      <c r="D41" s="48">
        <f>'2011 полн'!D21</f>
        <v>658.2444000000002</v>
      </c>
      <c r="E41" s="19">
        <f>'2011 полн'!U21</f>
        <v>6715.38</v>
      </c>
      <c r="F41" s="19">
        <f>0</f>
        <v>0</v>
      </c>
      <c r="G41" s="50">
        <f>'2011 полн'!AF21</f>
        <v>6972.04</v>
      </c>
      <c r="H41" s="50">
        <f>'2011 полн'!AG21</f>
        <v>7630.2844000000005</v>
      </c>
      <c r="I41" s="50">
        <f>'2011 полн'!AK21</f>
        <v>486.88900000000007</v>
      </c>
      <c r="J41" s="50">
        <f>'2011 полн'!AL21</f>
        <v>145.34</v>
      </c>
      <c r="K41" s="19">
        <f>'2011 полн'!AM21+'2011 полн'!AN21+'2011 полн'!AO21+'2011 полн'!AP21+'2011 полн'!AQ21+'2011 полн'!AR21+'2011 полн'!AS21+'2011 полн'!AT21+'2011 полн'!AX21</f>
        <v>5021.497</v>
      </c>
      <c r="L41" s="20">
        <f>'2011 полн'!AU21+'2011 полн'!AV21+'2011 полн'!AW21</f>
        <v>0</v>
      </c>
      <c r="M41" s="20">
        <f>0</f>
        <v>0</v>
      </c>
      <c r="N41" s="21">
        <f>'2011 полн'!BC21</f>
        <v>5653.726000000001</v>
      </c>
      <c r="O41" s="51">
        <f>'2011 полн'!BF21</f>
        <v>1976.5584</v>
      </c>
      <c r="P41" s="51">
        <f>'2011 полн'!BG21</f>
        <v>256.65999999999985</v>
      </c>
    </row>
    <row r="42" spans="1:18" s="28" customFormat="1" ht="13.5" thickBot="1">
      <c r="A42" s="54" t="s">
        <v>5</v>
      </c>
      <c r="B42" s="55"/>
      <c r="C42" s="60">
        <f aca="true" t="shared" si="2" ref="C42:O42">SUM(C30:C41)</f>
        <v>92178.11616000003</v>
      </c>
      <c r="D42" s="60">
        <f t="shared" si="2"/>
        <v>7675.588800000002</v>
      </c>
      <c r="E42" s="60">
        <f t="shared" si="2"/>
        <v>88721.09000000001</v>
      </c>
      <c r="F42" s="60">
        <f t="shared" si="2"/>
        <v>0</v>
      </c>
      <c r="G42" s="60">
        <f t="shared" si="2"/>
        <v>33297.92</v>
      </c>
      <c r="H42" s="60">
        <f t="shared" si="2"/>
        <v>40973.508799999996</v>
      </c>
      <c r="I42" s="60">
        <f t="shared" si="2"/>
        <v>5842.668000000001</v>
      </c>
      <c r="J42" s="60">
        <f t="shared" si="2"/>
        <v>1744.0799999999997</v>
      </c>
      <c r="K42" s="60">
        <f t="shared" si="2"/>
        <v>55351.11900000001</v>
      </c>
      <c r="L42" s="60">
        <f t="shared" si="2"/>
        <v>12213</v>
      </c>
      <c r="M42" s="60">
        <f t="shared" si="2"/>
        <v>0</v>
      </c>
      <c r="N42" s="60">
        <f t="shared" si="2"/>
        <v>75150.867</v>
      </c>
      <c r="O42" s="60">
        <f t="shared" si="2"/>
        <v>-34177.3582</v>
      </c>
      <c r="P42" s="60">
        <f>SUM(P30:P41)</f>
        <v>-55423.17</v>
      </c>
      <c r="Q42" s="62"/>
      <c r="R42" s="62"/>
    </row>
    <row r="43" spans="1:18" ht="13.5" thickBot="1">
      <c r="A43" s="352" t="s">
        <v>68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69"/>
      <c r="Q43" s="1"/>
      <c r="R43" s="1"/>
    </row>
    <row r="44" spans="1:18" s="28" customFormat="1" ht="13.5" thickBot="1">
      <c r="A44" s="70" t="s">
        <v>54</v>
      </c>
      <c r="B44" s="71"/>
      <c r="C44" s="72">
        <f aca="true" t="shared" si="3" ref="C44:P44">C42+C28</f>
        <v>260022.71616000007</v>
      </c>
      <c r="D44" s="72">
        <f t="shared" si="3"/>
        <v>60874.003281600024</v>
      </c>
      <c r="E44" s="72">
        <f t="shared" si="3"/>
        <v>215331.46000000002</v>
      </c>
      <c r="F44" s="72">
        <f t="shared" si="3"/>
        <v>1991.6400000000003</v>
      </c>
      <c r="G44" s="72">
        <f t="shared" si="3"/>
        <v>66512.56</v>
      </c>
      <c r="H44" s="72">
        <f t="shared" si="3"/>
        <v>129378.20328160001</v>
      </c>
      <c r="I44" s="72">
        <f t="shared" si="3"/>
        <v>17310.660000000003</v>
      </c>
      <c r="J44" s="72">
        <f t="shared" si="3"/>
        <v>5585.7479404</v>
      </c>
      <c r="K44" s="72">
        <f t="shared" si="3"/>
        <v>135831.56220571682</v>
      </c>
      <c r="L44" s="72">
        <f t="shared" si="3"/>
        <v>38074.889599999995</v>
      </c>
      <c r="M44" s="72">
        <f t="shared" si="3"/>
        <v>5388.768</v>
      </c>
      <c r="N44" s="72">
        <f t="shared" si="3"/>
        <v>202191.62774611678</v>
      </c>
      <c r="O44" s="72">
        <f t="shared" si="3"/>
        <v>-72813.4244645168</v>
      </c>
      <c r="P44" s="72">
        <f t="shared" si="3"/>
        <v>-148818.9</v>
      </c>
      <c r="Q44" s="76"/>
      <c r="R44" s="62"/>
    </row>
    <row r="46" spans="1:18" ht="12.75">
      <c r="A46" s="28" t="s">
        <v>85</v>
      </c>
      <c r="D46" s="184" t="s">
        <v>122</v>
      </c>
      <c r="Q46" s="1"/>
      <c r="R46" s="1"/>
    </row>
    <row r="47" spans="1:18" ht="12.75">
      <c r="A47" s="32" t="s">
        <v>69</v>
      </c>
      <c r="B47" s="32" t="s">
        <v>70</v>
      </c>
      <c r="C47" s="445" t="s">
        <v>71</v>
      </c>
      <c r="D47" s="446"/>
      <c r="Q47" s="1"/>
      <c r="R47" s="1"/>
    </row>
    <row r="48" spans="1:18" ht="12.75">
      <c r="A48" s="222">
        <v>27523.99</v>
      </c>
      <c r="B48" s="223">
        <v>0</v>
      </c>
      <c r="C48" s="200">
        <f>A48-B48</f>
        <v>27523.99</v>
      </c>
      <c r="D48" s="227"/>
      <c r="Q48" s="1"/>
      <c r="R48" s="1"/>
    </row>
    <row r="49" spans="1:18" ht="12.75">
      <c r="A49" s="77"/>
      <c r="Q49" s="1"/>
      <c r="R49" s="1"/>
    </row>
    <row r="50" spans="1:18" ht="12.75">
      <c r="A50" s="2" t="s">
        <v>72</v>
      </c>
      <c r="G50" s="2" t="s">
        <v>73</v>
      </c>
      <c r="Q50" s="1"/>
      <c r="R50" s="1"/>
    </row>
    <row r="51" ht="12.75">
      <c r="A51" s="1"/>
    </row>
    <row r="52" ht="12.75">
      <c r="A52" s="184" t="s">
        <v>124</v>
      </c>
    </row>
    <row r="53" ht="12.75">
      <c r="A53" s="2" t="s">
        <v>74</v>
      </c>
    </row>
  </sheetData>
  <sheetProtection/>
  <mergeCells count="26">
    <mergeCell ref="B8:B11"/>
    <mergeCell ref="C47:D47"/>
    <mergeCell ref="B1:H1"/>
    <mergeCell ref="B2:H2"/>
    <mergeCell ref="A5:O5"/>
    <mergeCell ref="A6:G6"/>
    <mergeCell ref="A7:D7"/>
    <mergeCell ref="E7:F7"/>
    <mergeCell ref="P8:P11"/>
    <mergeCell ref="H10:H11"/>
    <mergeCell ref="I10:I11"/>
    <mergeCell ref="J10:J11"/>
    <mergeCell ref="K10:K11"/>
    <mergeCell ref="L10:L11"/>
    <mergeCell ref="M10:M11"/>
    <mergeCell ref="N10:N11"/>
    <mergeCell ref="A27:O27"/>
    <mergeCell ref="A43:O43"/>
    <mergeCell ref="G8:H9"/>
    <mergeCell ref="I8:N9"/>
    <mergeCell ref="O8:O11"/>
    <mergeCell ref="C8:C11"/>
    <mergeCell ref="D8:D11"/>
    <mergeCell ref="E8:F9"/>
    <mergeCell ref="E10:F10"/>
    <mergeCell ref="A8:A11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2010-07-30T09:55:49Z</cp:lastPrinted>
  <dcterms:created xsi:type="dcterms:W3CDTF">2010-04-03T04:08:20Z</dcterms:created>
  <dcterms:modified xsi:type="dcterms:W3CDTF">2012-03-23T04:02:30Z</dcterms:modified>
  <cp:category/>
  <cp:version/>
  <cp:contentType/>
  <cp:contentStatus/>
</cp:coreProperties>
</file>