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<sst xmlns="http://schemas.openxmlformats.org/spreadsheetml/2006/main" count="314" uniqueCount="124">
  <si>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</si>
  <si>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</si>
  <si>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</si>
  <si>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</si>
  <si>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</si>
  <si>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</si>
  <si>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</si>
  <si>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</si>
  <si>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</si>
  <si>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</si>
  <si>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</si>
  <si>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</si>
  <si>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</si>
  <si>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</si>
  <si>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</si>
  <si>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</si>
  <si>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</si>
  <si>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</si>
  <si>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</si>
  <si>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</si>
  <si>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</si>
  <si>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</si>
  <si>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</si>
  <si>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</si>
  <si>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</si>
  <si>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</si>
  <si>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</si>
  <si>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</si>
  <si>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</si>
  <si>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</si>
  <si>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</si>
  <si>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</si>
  <si>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</si>
  <si>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</si>
  <si>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</si>
  <si>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</si>
  <si>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</si>
  <si>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</si>
  <si>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</si>
  <si>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</si>
  <si>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</si>
  <si>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</si>
  <si>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</si>
  <si>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</si>
  <si>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</si>
  <si>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</si>
  <si>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</si>
  <si>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</si>
  <si>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</si>
  <si>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</si>
  <si>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</si>
  <si>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</si>
  <si>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</si>
  <si>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</si>
  <si>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</si>
  <si>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</si>
  <si>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</si>
  <si>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</si>
  <si>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</si>
  <si>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</si>
  <si>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</si>
  <si>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</si>
  <si>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</si>
  <si>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</si>
  <si>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</si>
  <si>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</si>
  <si>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</si>
  <si>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</si>
  <si>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</si>
  <si>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</si>
  <si>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</si>
  <si>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</si>
  <si>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</si>
  <si>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</si>
  <si>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</si>
  <si>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</si>
  <si>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</si>
  <si>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</si>
  <si>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</si>
  <si>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</si>
  <si>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</si>
  <si>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</si>
  <si>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</si>
  <si>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</si>
  <si>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</si>
  <si>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Социальный найм</t>
  </si>
  <si>
    <t>Расходы по нежил. помещениям</t>
  </si>
  <si>
    <t>Лицевой счет по адресу г. Таштагол, ул. ул. Коммунальная, д. 10</t>
  </si>
  <si>
    <t>Выписка по лицевому счету по адресу г. Таштагол, ул. Коммунальная, д. 10</t>
  </si>
  <si>
    <t>2010 год</t>
  </si>
  <si>
    <t>*по состоянию на 01.01.2011 г.</t>
  </si>
  <si>
    <t>на 01.01.2011 г.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</si>
  <si>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</si>
  <si>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</si>
  <si>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</si>
  <si>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</si>
  <si>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</si>
  <si>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</si>
  <si>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</si>
  <si>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</si>
  <si>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</si>
  <si>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</si>
  <si>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</si>
  <si>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</si>
  <si>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</si>
  <si>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</si>
  <si>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</si>
  <si>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</si>
  <si>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</si>
  <si>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</si>
  <si>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</si>
  <si>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</si>
  <si>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</si>
  <si>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</si>
  <si>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</si>
  <si>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</si>
  <si>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</si>
  <si>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</si>
  <si>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</si>
  <si>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Собрано по содержанию и тек.рем.</t>
  </si>
  <si>
    <t>Выписка по лицевому счету по адресу г. Таштагол ул. Коммунальная, д.10</t>
  </si>
  <si>
    <t>Содержание сетей тепло, водоснабжения и водоотведения</t>
  </si>
  <si>
    <t>*по состоянию на 01.01.2012 г.</t>
  </si>
  <si>
    <t>на 01.01.2012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</si>
</sst>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0" xfId="0" applyNumberFormat="1" applyFont="1" applyFill="1" applyBorder="1" applyAlignment="1">
      <alignment wrapText="1"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25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19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19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0" fontId="1" fillId="0" borderId="42" xfId="0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9" fillId="37" borderId="28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9" fillId="0" borderId="1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4" fontId="9" fillId="34" borderId="11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 wrapText="1"/>
    </xf>
    <xf numFmtId="4" fontId="13" fillId="0" borderId="19" xfId="34" applyNumberFormat="1" applyFont="1" applyFill="1" applyBorder="1" applyAlignment="1">
      <alignment horizontal="center" vertical="center" wrapText="1"/>
      <protection/>
    </xf>
    <xf numFmtId="2" fontId="9" fillId="34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13" fillId="35" borderId="29" xfId="0" applyFont="1" applyFill="1" applyBorder="1" applyAlignment="1">
      <alignment/>
    </xf>
    <xf numFmtId="0" fontId="14" fillId="0" borderId="19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13" fillId="35" borderId="15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2" fontId="0" fillId="34" borderId="11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37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36" borderId="20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37" borderId="44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43" fontId="0" fillId="0" borderId="28" xfId="61" applyFont="1" applyFill="1" applyBorder="1" applyAlignment="1">
      <alignment horizontal="center"/>
    </xf>
    <xf numFmtId="43" fontId="0" fillId="0" borderId="19" xfId="6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textRotation="90"/>
    </xf>
    <xf numFmtId="0" fontId="1" fillId="35" borderId="39" xfId="0" applyFont="1" applyFill="1" applyBorder="1" applyAlignment="1">
      <alignment horizontal="center" textRotation="90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70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center" vertical="center" wrapText="1"/>
    </xf>
    <xf numFmtId="2" fontId="12" fillId="0" borderId="46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70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70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0" fontId="1" fillId="38" borderId="67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38" borderId="71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4" fontId="0" fillId="0" borderId="49" xfId="0" applyNumberFormat="1" applyFont="1" applyFill="1" applyBorder="1" applyAlignment="1">
      <alignment/>
    </xf>
    <xf numFmtId="4" fontId="0" fillId="34" borderId="5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34" borderId="5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72;&#1083;&#1100;&#1085;&#1072;&#1103;,%206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Q44">
            <v>0</v>
          </cell>
          <cell r="A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O44">
            <v>0</v>
          </cell>
          <cell r="A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74">
          <cell r="F174">
            <v>370</v>
          </cell>
        </row>
        <row r="177">
          <cell r="F17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7" topLeftCell="AQ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D42" sqref="BD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269" t="s">
        <v>87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70" t="s">
        <v>0</v>
      </c>
      <c r="B3" s="273" t="s">
        <v>1</v>
      </c>
      <c r="C3" s="273" t="s">
        <v>2</v>
      </c>
      <c r="D3" s="273" t="s">
        <v>3</v>
      </c>
      <c r="E3" s="276" t="s">
        <v>4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81" t="s">
        <v>5</v>
      </c>
      <c r="T3" s="281"/>
      <c r="U3" s="282" t="s">
        <v>6</v>
      </c>
      <c r="V3" s="282"/>
      <c r="W3" s="282"/>
      <c r="X3" s="282"/>
      <c r="Y3" s="282"/>
      <c r="Z3" s="282"/>
      <c r="AA3" s="282"/>
      <c r="AB3" s="282"/>
      <c r="AC3" s="284" t="s">
        <v>7</v>
      </c>
      <c r="AD3" s="284" t="s">
        <v>8</v>
      </c>
      <c r="AE3" s="284" t="s">
        <v>9</v>
      </c>
      <c r="AF3" s="116"/>
      <c r="AG3" s="294" t="s">
        <v>10</v>
      </c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89" t="s">
        <v>86</v>
      </c>
      <c r="BD3" s="298" t="s">
        <v>11</v>
      </c>
      <c r="BE3" s="295" t="s">
        <v>12</v>
      </c>
    </row>
    <row r="4" spans="1:57" ht="36" customHeight="1" thickBot="1">
      <c r="A4" s="271"/>
      <c r="B4" s="274"/>
      <c r="C4" s="274"/>
      <c r="D4" s="274"/>
      <c r="E4" s="266" t="s">
        <v>13</v>
      </c>
      <c r="F4" s="266"/>
      <c r="G4" s="266" t="s">
        <v>14</v>
      </c>
      <c r="H4" s="266"/>
      <c r="I4" s="266" t="s">
        <v>15</v>
      </c>
      <c r="J4" s="266"/>
      <c r="K4" s="266" t="s">
        <v>16</v>
      </c>
      <c r="L4" s="266"/>
      <c r="M4" s="266" t="s">
        <v>17</v>
      </c>
      <c r="N4" s="266"/>
      <c r="O4" s="266" t="s">
        <v>18</v>
      </c>
      <c r="P4" s="266"/>
      <c r="Q4" s="266" t="s">
        <v>19</v>
      </c>
      <c r="R4" s="266"/>
      <c r="S4" s="266"/>
      <c r="T4" s="266"/>
      <c r="U4" s="283"/>
      <c r="V4" s="283"/>
      <c r="W4" s="283"/>
      <c r="X4" s="283"/>
      <c r="Y4" s="283"/>
      <c r="Z4" s="283"/>
      <c r="AA4" s="283"/>
      <c r="AB4" s="283"/>
      <c r="AC4" s="285"/>
      <c r="AD4" s="285"/>
      <c r="AE4" s="285"/>
      <c r="AF4" s="114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90"/>
      <c r="BD4" s="299"/>
      <c r="BE4" s="296"/>
    </row>
    <row r="5" spans="1:57" ht="29.25" customHeight="1" thickBot="1">
      <c r="A5" s="271"/>
      <c r="B5" s="274"/>
      <c r="C5" s="274"/>
      <c r="D5" s="274"/>
      <c r="E5" s="267" t="s">
        <v>20</v>
      </c>
      <c r="F5" s="267" t="s">
        <v>21</v>
      </c>
      <c r="G5" s="267" t="s">
        <v>20</v>
      </c>
      <c r="H5" s="267" t="s">
        <v>21</v>
      </c>
      <c r="I5" s="267" t="s">
        <v>20</v>
      </c>
      <c r="J5" s="267" t="s">
        <v>21</v>
      </c>
      <c r="K5" s="267" t="s">
        <v>20</v>
      </c>
      <c r="L5" s="267" t="s">
        <v>21</v>
      </c>
      <c r="M5" s="267" t="s">
        <v>20</v>
      </c>
      <c r="N5" s="267" t="s">
        <v>21</v>
      </c>
      <c r="O5" s="267" t="s">
        <v>20</v>
      </c>
      <c r="P5" s="267" t="s">
        <v>21</v>
      </c>
      <c r="Q5" s="267" t="s">
        <v>20</v>
      </c>
      <c r="R5" s="267" t="s">
        <v>21</v>
      </c>
      <c r="S5" s="267" t="s">
        <v>20</v>
      </c>
      <c r="T5" s="267" t="s">
        <v>21</v>
      </c>
      <c r="U5" s="285" t="s">
        <v>22</v>
      </c>
      <c r="V5" s="285" t="s">
        <v>23</v>
      </c>
      <c r="W5" s="285" t="s">
        <v>24</v>
      </c>
      <c r="X5" s="285" t="s">
        <v>25</v>
      </c>
      <c r="Y5" s="285" t="s">
        <v>26</v>
      </c>
      <c r="Z5" s="285" t="s">
        <v>27</v>
      </c>
      <c r="AA5" s="285" t="s">
        <v>28</v>
      </c>
      <c r="AB5" s="285" t="s">
        <v>29</v>
      </c>
      <c r="AC5" s="285"/>
      <c r="AD5" s="285"/>
      <c r="AE5" s="285"/>
      <c r="AF5" s="114"/>
      <c r="AG5" s="287" t="s">
        <v>30</v>
      </c>
      <c r="AH5" s="287" t="s">
        <v>31</v>
      </c>
      <c r="AI5" s="287" t="s">
        <v>32</v>
      </c>
      <c r="AJ5" s="287" t="s">
        <v>33</v>
      </c>
      <c r="AK5" s="287" t="s">
        <v>34</v>
      </c>
      <c r="AL5" s="287" t="s">
        <v>33</v>
      </c>
      <c r="AM5" s="287" t="s">
        <v>35</v>
      </c>
      <c r="AN5" s="287" t="s">
        <v>33</v>
      </c>
      <c r="AO5" s="287" t="s">
        <v>36</v>
      </c>
      <c r="AP5" s="287" t="s">
        <v>33</v>
      </c>
      <c r="AQ5" s="279" t="s">
        <v>77</v>
      </c>
      <c r="AR5" s="292" t="s">
        <v>33</v>
      </c>
      <c r="AS5" s="277" t="s">
        <v>83</v>
      </c>
      <c r="AT5" s="304" t="s">
        <v>82</v>
      </c>
      <c r="AU5" s="304" t="s">
        <v>33</v>
      </c>
      <c r="AV5" s="301" t="s">
        <v>78</v>
      </c>
      <c r="AW5" s="302"/>
      <c r="AX5" s="303"/>
      <c r="AY5" s="287" t="s">
        <v>19</v>
      </c>
      <c r="AZ5" s="287" t="s">
        <v>38</v>
      </c>
      <c r="BA5" s="287" t="s">
        <v>33</v>
      </c>
      <c r="BB5" s="287" t="s">
        <v>39</v>
      </c>
      <c r="BC5" s="290"/>
      <c r="BD5" s="299"/>
      <c r="BE5" s="296"/>
    </row>
    <row r="6" spans="1:57" ht="54" customHeight="1" thickBot="1">
      <c r="A6" s="272"/>
      <c r="B6" s="275"/>
      <c r="C6" s="275"/>
      <c r="D6" s="275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115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0"/>
      <c r="AR6" s="293"/>
      <c r="AS6" s="278"/>
      <c r="AT6" s="305"/>
      <c r="AU6" s="305"/>
      <c r="AV6" s="127" t="s">
        <v>79</v>
      </c>
      <c r="AW6" s="127" t="s">
        <v>80</v>
      </c>
      <c r="AX6" s="127" t="s">
        <v>81</v>
      </c>
      <c r="AY6" s="288"/>
      <c r="AZ6" s="288"/>
      <c r="BA6" s="288"/>
      <c r="BB6" s="288"/>
      <c r="BC6" s="291"/>
      <c r="BD6" s="300"/>
      <c r="BE6" s="297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9">
        <v>56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100">
        <v>633.7</v>
      </c>
      <c r="C9" s="117">
        <f>B9*8.65</f>
        <v>5481.505000000001</v>
      </c>
      <c r="D9" s="118">
        <f>C9*0.24088</f>
        <v>1320.3849244000003</v>
      </c>
      <c r="E9" s="101">
        <v>518.32</v>
      </c>
      <c r="F9" s="101">
        <v>22.52</v>
      </c>
      <c r="G9" s="101">
        <v>699.72</v>
      </c>
      <c r="H9" s="101">
        <v>30.4</v>
      </c>
      <c r="I9" s="101">
        <v>1127.34</v>
      </c>
      <c r="J9" s="101">
        <v>48.98</v>
      </c>
      <c r="K9" s="101">
        <v>777.48</v>
      </c>
      <c r="L9" s="101">
        <v>33.78</v>
      </c>
      <c r="M9" s="99">
        <v>414.65</v>
      </c>
      <c r="N9" s="99">
        <v>18.02</v>
      </c>
      <c r="O9" s="101">
        <v>0</v>
      </c>
      <c r="P9" s="101">
        <v>0</v>
      </c>
      <c r="Q9" s="101">
        <v>0</v>
      </c>
      <c r="R9" s="101">
        <v>0</v>
      </c>
      <c r="S9" s="101">
        <f>E9+G9+I9+K9+M9+O9+Q9</f>
        <v>3537.51</v>
      </c>
      <c r="T9" s="119">
        <f>P9+N9+L9+J9+H9+F9+R9</f>
        <v>153.70000000000002</v>
      </c>
      <c r="U9" s="101">
        <v>22.53</v>
      </c>
      <c r="V9" s="101">
        <v>30.42</v>
      </c>
      <c r="W9" s="101">
        <v>49.01</v>
      </c>
      <c r="X9" s="101">
        <v>33.8</v>
      </c>
      <c r="Y9" s="101">
        <v>18.02</v>
      </c>
      <c r="Z9" s="107">
        <v>0</v>
      </c>
      <c r="AA9" s="107">
        <v>0</v>
      </c>
      <c r="AB9" s="107">
        <f>SUM(U9:AA9)</f>
        <v>153.78</v>
      </c>
      <c r="AC9" s="138">
        <f>D9+T9+AB9</f>
        <v>1627.8649244000003</v>
      </c>
      <c r="AD9" s="139">
        <f>P9+Z9</f>
        <v>0</v>
      </c>
      <c r="AE9" s="123">
        <f>R9+AA9</f>
        <v>0</v>
      </c>
      <c r="AF9" s="123"/>
      <c r="AG9" s="31">
        <f>0.6*B9</f>
        <v>380.22</v>
      </c>
      <c r="AH9" s="31">
        <f>B9*0.2*1.05826</f>
        <v>134.1238724</v>
      </c>
      <c r="AI9" s="31">
        <f>0.8518*B9</f>
        <v>539.78566</v>
      </c>
      <c r="AJ9" s="31">
        <f>AI9*0.18</f>
        <v>97.16141879999999</v>
      </c>
      <c r="AK9" s="31">
        <f>1.04*B9*0.9531</f>
        <v>628.1386488</v>
      </c>
      <c r="AL9" s="31">
        <f>AK9*0.18</f>
        <v>113.064956784</v>
      </c>
      <c r="AM9" s="31">
        <f>(1.91)*B9*0.9531</f>
        <v>1153.6007877</v>
      </c>
      <c r="AN9" s="31">
        <f>AM9*0.18</f>
        <v>207.648141786</v>
      </c>
      <c r="AO9" s="31"/>
      <c r="AP9" s="31">
        <f>AO9*0.18</f>
        <v>0</v>
      </c>
      <c r="AQ9" s="128"/>
      <c r="AR9" s="128"/>
      <c r="AS9" s="105"/>
      <c r="AT9" s="105"/>
      <c r="AU9" s="105">
        <f>(AS9+AT9)*0.18</f>
        <v>0</v>
      </c>
      <c r="AV9" s="129"/>
      <c r="AW9" s="130"/>
      <c r="AX9" s="31">
        <f>AV9*AW9*1.12*1.18</f>
        <v>0</v>
      </c>
      <c r="AY9" s="131"/>
      <c r="AZ9" s="133"/>
      <c r="BA9" s="133">
        <f>AZ9*0.18</f>
        <v>0</v>
      </c>
      <c r="BB9" s="133">
        <f>SUM(AG9:BA9)-AV9-AW9</f>
        <v>3253.74348627</v>
      </c>
      <c r="BC9" s="140"/>
      <c r="BD9" s="19">
        <f>AC9-BB9</f>
        <v>-1625.8785618699999</v>
      </c>
      <c r="BE9" s="21">
        <f>AB9-S9</f>
        <v>-3383.73</v>
      </c>
    </row>
    <row r="10" spans="1:57" ht="12.75">
      <c r="A10" s="13" t="s">
        <v>42</v>
      </c>
      <c r="B10" s="100">
        <v>633.7</v>
      </c>
      <c r="C10" s="117">
        <f>B10*8.65</f>
        <v>5481.505000000001</v>
      </c>
      <c r="D10" s="118">
        <f>C10*0.24088</f>
        <v>1320.3849244000003</v>
      </c>
      <c r="E10" s="101">
        <v>510.74</v>
      </c>
      <c r="F10" s="101">
        <v>22.52</v>
      </c>
      <c r="G10" s="101">
        <v>689.47</v>
      </c>
      <c r="H10" s="101">
        <v>30.4</v>
      </c>
      <c r="I10" s="101">
        <v>1110.84</v>
      </c>
      <c r="J10" s="101">
        <v>48.98</v>
      </c>
      <c r="K10" s="101">
        <v>766.09</v>
      </c>
      <c r="L10" s="101">
        <v>33.78</v>
      </c>
      <c r="M10" s="99">
        <v>408.58</v>
      </c>
      <c r="N10" s="99">
        <v>18.02</v>
      </c>
      <c r="O10" s="101">
        <v>0</v>
      </c>
      <c r="P10" s="101">
        <v>0</v>
      </c>
      <c r="Q10" s="101">
        <v>0</v>
      </c>
      <c r="R10" s="101">
        <v>0</v>
      </c>
      <c r="S10" s="101">
        <f>E10+G10+I10+K10+M10+O10+Q10</f>
        <v>3485.7200000000003</v>
      </c>
      <c r="T10" s="119">
        <f>P10+N10+L10+J10+H10+F10+R10</f>
        <v>153.70000000000002</v>
      </c>
      <c r="U10" s="101">
        <v>46.95</v>
      </c>
      <c r="V10" s="101">
        <v>63.37</v>
      </c>
      <c r="W10" s="101">
        <v>103.68</v>
      </c>
      <c r="X10" s="101">
        <v>70.42</v>
      </c>
      <c r="Y10" s="101">
        <v>37.55</v>
      </c>
      <c r="Z10" s="101">
        <v>0</v>
      </c>
      <c r="AA10" s="107">
        <v>0</v>
      </c>
      <c r="AB10" s="124">
        <f>SUM(U10:AA10)</f>
        <v>321.97</v>
      </c>
      <c r="AC10" s="122">
        <f>D10+T10+AB10</f>
        <v>1796.0549244000003</v>
      </c>
      <c r="AD10" s="123">
        <f>P10+Z10</f>
        <v>0</v>
      </c>
      <c r="AE10" s="123">
        <f>R10+AA10</f>
        <v>0</v>
      </c>
      <c r="AF10" s="123"/>
      <c r="AG10" s="31">
        <f>0.6*B10</f>
        <v>380.22</v>
      </c>
      <c r="AH10" s="31">
        <f>B10*0.201</f>
        <v>127.37370000000001</v>
      </c>
      <c r="AI10" s="31">
        <f>0.8518*B10</f>
        <v>539.78566</v>
      </c>
      <c r="AJ10" s="31">
        <f>AI10*0.18</f>
        <v>97.16141879999999</v>
      </c>
      <c r="AK10" s="31">
        <f>1.04*B10*0.9531</f>
        <v>628.1386488</v>
      </c>
      <c r="AL10" s="31">
        <f>AK10*0.18</f>
        <v>113.064956784</v>
      </c>
      <c r="AM10" s="31">
        <f>(1.91)*B10*0.9531</f>
        <v>1153.6007877</v>
      </c>
      <c r="AN10" s="31">
        <f>AM10*0.18</f>
        <v>207.648141786</v>
      </c>
      <c r="AO10" s="31"/>
      <c r="AP10" s="31">
        <f>AO10*0.18</f>
        <v>0</v>
      </c>
      <c r="AQ10" s="128"/>
      <c r="AR10" s="128"/>
      <c r="AS10" s="105"/>
      <c r="AT10" s="105"/>
      <c r="AU10" s="105">
        <f>(AS10+AT10)*0.18</f>
        <v>0</v>
      </c>
      <c r="AV10" s="129"/>
      <c r="AW10" s="130"/>
      <c r="AX10" s="31">
        <f>AV10*AW10*1.12*1.18</f>
        <v>0</v>
      </c>
      <c r="AY10" s="131"/>
      <c r="AZ10" s="133"/>
      <c r="BA10" s="133">
        <f>AZ10*0.18</f>
        <v>0</v>
      </c>
      <c r="BB10" s="133">
        <f>SUM(AG10:BA10)-AV10-AW10</f>
        <v>3246.9933138700003</v>
      </c>
      <c r="BC10" s="140"/>
      <c r="BD10" s="19">
        <f>AC10-BB10</f>
        <v>-1450.93838947</v>
      </c>
      <c r="BE10" s="21">
        <f>AB10-S10</f>
        <v>-3163.75</v>
      </c>
    </row>
    <row r="11" spans="1:57" ht="12.75">
      <c r="A11" s="13" t="s">
        <v>43</v>
      </c>
      <c r="B11" s="100">
        <v>633.7</v>
      </c>
      <c r="C11" s="117">
        <f>B11*8.65</f>
        <v>5481.505000000001</v>
      </c>
      <c r="D11" s="118">
        <f>C11*0.24035</f>
        <v>1317.4797267500003</v>
      </c>
      <c r="E11" s="101">
        <v>494.23</v>
      </c>
      <c r="F11" s="101">
        <v>22.52</v>
      </c>
      <c r="G11" s="101">
        <v>667.21</v>
      </c>
      <c r="H11" s="101">
        <v>30.4</v>
      </c>
      <c r="I11" s="101">
        <v>1074.98</v>
      </c>
      <c r="J11" s="101">
        <v>48.98</v>
      </c>
      <c r="K11" s="101">
        <v>741.36</v>
      </c>
      <c r="L11" s="101">
        <v>33.78</v>
      </c>
      <c r="M11" s="99">
        <v>395.42</v>
      </c>
      <c r="N11" s="141">
        <v>18.02</v>
      </c>
      <c r="O11" s="101">
        <v>0</v>
      </c>
      <c r="P11" s="107">
        <v>0</v>
      </c>
      <c r="Q11" s="101">
        <v>0</v>
      </c>
      <c r="R11" s="107">
        <v>0</v>
      </c>
      <c r="S11" s="101">
        <f>E11+G11+I11+K11+M11+O11+Q11</f>
        <v>3373.2000000000003</v>
      </c>
      <c r="T11" s="119">
        <f>P11+N11+L11+J11+H11+F11+R11</f>
        <v>153.70000000000002</v>
      </c>
      <c r="U11" s="101">
        <v>421.68</v>
      </c>
      <c r="V11" s="101">
        <v>569.25</v>
      </c>
      <c r="W11" s="101">
        <v>917.09</v>
      </c>
      <c r="X11" s="101">
        <v>632.5</v>
      </c>
      <c r="Y11" s="101">
        <v>337.32</v>
      </c>
      <c r="Z11" s="101">
        <v>0</v>
      </c>
      <c r="AA11" s="107">
        <v>0</v>
      </c>
      <c r="AB11" s="124">
        <f>SUM(U11:AA11)</f>
        <v>2877.84</v>
      </c>
      <c r="AC11" s="122">
        <f>D11+T11+AB11</f>
        <v>4349.019726750001</v>
      </c>
      <c r="AD11" s="123">
        <f>P11+Z11</f>
        <v>0</v>
      </c>
      <c r="AE11" s="123">
        <f>R11+AA11</f>
        <v>0</v>
      </c>
      <c r="AF11" s="123"/>
      <c r="AG11" s="31">
        <f>0.6*B11</f>
        <v>380.22</v>
      </c>
      <c r="AH11" s="31">
        <f>B11*0.2*1.02524</f>
        <v>129.9389176</v>
      </c>
      <c r="AI11" s="31">
        <f>0.84932*B11</f>
        <v>538.2140840000001</v>
      </c>
      <c r="AJ11" s="31">
        <f>AI11*0.18</f>
        <v>96.87853512000001</v>
      </c>
      <c r="AK11" s="31">
        <f>1.04*B11*0.95033</f>
        <v>626.3130858400001</v>
      </c>
      <c r="AL11" s="31">
        <f>AK11*0.18</f>
        <v>112.73635545120001</v>
      </c>
      <c r="AM11" s="31">
        <f>(1.91)*B11*0.95033</f>
        <v>1150.24807111</v>
      </c>
      <c r="AN11" s="31">
        <f>AM11*0.18</f>
        <v>207.0446527998</v>
      </c>
      <c r="AO11" s="31"/>
      <c r="AP11" s="31">
        <f>AO11*0.18</f>
        <v>0</v>
      </c>
      <c r="AQ11" s="128"/>
      <c r="AR11" s="128"/>
      <c r="AS11" s="105">
        <v>1721</v>
      </c>
      <c r="AT11" s="105"/>
      <c r="AU11" s="105">
        <f>(AS11+AT11)*0.18</f>
        <v>309.78</v>
      </c>
      <c r="AV11" s="129"/>
      <c r="AW11" s="130"/>
      <c r="AX11" s="31">
        <f>AV11*AW11*1.12*1.18</f>
        <v>0</v>
      </c>
      <c r="AY11" s="131"/>
      <c r="AZ11" s="133"/>
      <c r="BA11" s="133">
        <f>AZ11*0.18</f>
        <v>0</v>
      </c>
      <c r="BB11" s="133">
        <f>SUM(AG11:BA11)-AV11-AW11</f>
        <v>5272.373701920999</v>
      </c>
      <c r="BC11" s="140"/>
      <c r="BD11" s="19">
        <f>AC11-BB11</f>
        <v>-923.3539751709986</v>
      </c>
      <c r="BE11" s="21">
        <f>AB11-S11</f>
        <v>-495.3600000000001</v>
      </c>
    </row>
    <row r="12" spans="1:57" s="28" customFormat="1" ht="15" customHeight="1">
      <c r="A12" s="22" t="s">
        <v>5</v>
      </c>
      <c r="B12" s="23"/>
      <c r="C12" s="23">
        <f aca="true" t="shared" si="0" ref="C12:BE12">SUM(C9:C11)</f>
        <v>16444.515000000003</v>
      </c>
      <c r="D12" s="23">
        <f t="shared" si="0"/>
        <v>3958.249575550001</v>
      </c>
      <c r="E12" s="23">
        <f aca="true" t="shared" si="1" ref="E12:R12">SUM(E9:E11)</f>
        <v>1523.29</v>
      </c>
      <c r="F12" s="23">
        <f t="shared" si="1"/>
        <v>67.56</v>
      </c>
      <c r="G12" s="23">
        <f t="shared" si="1"/>
        <v>2056.4</v>
      </c>
      <c r="H12" s="23">
        <f t="shared" si="1"/>
        <v>91.19999999999999</v>
      </c>
      <c r="I12" s="23">
        <f t="shared" si="1"/>
        <v>3313.16</v>
      </c>
      <c r="J12" s="23">
        <f t="shared" si="1"/>
        <v>146.94</v>
      </c>
      <c r="K12" s="23">
        <f t="shared" si="1"/>
        <v>2284.9300000000003</v>
      </c>
      <c r="L12" s="23">
        <f t="shared" si="1"/>
        <v>101.34</v>
      </c>
      <c r="M12" s="23">
        <f t="shared" si="1"/>
        <v>1218.65</v>
      </c>
      <c r="N12" s="23">
        <f t="shared" si="1"/>
        <v>54.06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4">
        <f t="shared" si="0"/>
        <v>10396.43</v>
      </c>
      <c r="T12" s="24">
        <f t="shared" si="0"/>
        <v>461.1</v>
      </c>
      <c r="U12" s="25">
        <f t="shared" si="0"/>
        <v>491.16</v>
      </c>
      <c r="V12" s="25">
        <f t="shared" si="0"/>
        <v>663.04</v>
      </c>
      <c r="W12" s="25">
        <f t="shared" si="0"/>
        <v>1069.78</v>
      </c>
      <c r="X12" s="25">
        <f t="shared" si="0"/>
        <v>736.72</v>
      </c>
      <c r="Y12" s="25">
        <f t="shared" si="0"/>
        <v>392.89</v>
      </c>
      <c r="Z12" s="25">
        <f t="shared" si="0"/>
        <v>0</v>
      </c>
      <c r="AA12" s="25">
        <f t="shared" si="0"/>
        <v>0</v>
      </c>
      <c r="AB12" s="25">
        <f t="shared" si="0"/>
        <v>3353.59</v>
      </c>
      <c r="AC12" s="25">
        <f t="shared" si="0"/>
        <v>7772.939575550001</v>
      </c>
      <c r="AD12" s="112">
        <f t="shared" si="0"/>
        <v>0</v>
      </c>
      <c r="AE12" s="112">
        <f t="shared" si="0"/>
        <v>0</v>
      </c>
      <c r="AF12" s="112"/>
      <c r="AG12" s="26">
        <f t="shared" si="0"/>
        <v>1140.66</v>
      </c>
      <c r="AH12" s="26">
        <f t="shared" si="0"/>
        <v>391.43649000000005</v>
      </c>
      <c r="AI12" s="26">
        <f t="shared" si="0"/>
        <v>1617.7854040000002</v>
      </c>
      <c r="AJ12" s="26">
        <f t="shared" si="0"/>
        <v>291.20137272</v>
      </c>
      <c r="AK12" s="26">
        <f t="shared" si="0"/>
        <v>1882.59038344</v>
      </c>
      <c r="AL12" s="26">
        <f t="shared" si="0"/>
        <v>338.8662690192</v>
      </c>
      <c r="AM12" s="26">
        <f>SUM(AM9:AM11)</f>
        <v>3457.44964651</v>
      </c>
      <c r="AN12" s="26">
        <f>SUM(AN9:AN11)</f>
        <v>622.3409363718</v>
      </c>
      <c r="AO12" s="26">
        <f t="shared" si="0"/>
        <v>0</v>
      </c>
      <c r="AP12" s="26">
        <f t="shared" si="0"/>
        <v>0</v>
      </c>
      <c r="AQ12" s="26"/>
      <c r="AR12" s="26"/>
      <c r="AS12" s="95">
        <f t="shared" si="0"/>
        <v>1721</v>
      </c>
      <c r="AT12" s="95"/>
      <c r="AU12" s="95">
        <f t="shared" si="0"/>
        <v>309.78</v>
      </c>
      <c r="AV12" s="26"/>
      <c r="AW12" s="26"/>
      <c r="AX12" s="26">
        <f t="shared" si="0"/>
        <v>0</v>
      </c>
      <c r="AY12" s="26">
        <f t="shared" si="0"/>
        <v>0</v>
      </c>
      <c r="AZ12" s="26">
        <f t="shared" si="0"/>
        <v>0</v>
      </c>
      <c r="BA12" s="26">
        <f t="shared" si="0"/>
        <v>0</v>
      </c>
      <c r="BB12" s="26">
        <f t="shared" si="0"/>
        <v>11773.110502061001</v>
      </c>
      <c r="BC12" s="26">
        <f t="shared" si="0"/>
        <v>0</v>
      </c>
      <c r="BD12" s="26">
        <f t="shared" si="0"/>
        <v>-4000.1709265109985</v>
      </c>
      <c r="BE12" s="27">
        <f t="shared" si="0"/>
        <v>-7042.84</v>
      </c>
    </row>
    <row r="13" spans="1:57" ht="15" customHeight="1">
      <c r="A13" s="5" t="s">
        <v>44</v>
      </c>
      <c r="B13" s="93"/>
      <c r="C13" s="15"/>
      <c r="D13" s="1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4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10"/>
      <c r="AD13" s="111"/>
      <c r="AE13" s="111"/>
      <c r="AF13" s="111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4"/>
      <c r="AT13" s="104"/>
      <c r="AU13" s="30"/>
      <c r="AV13" s="19"/>
      <c r="AW13" s="19"/>
      <c r="AX13" s="20"/>
      <c r="AY13" s="20"/>
      <c r="AZ13" s="20"/>
      <c r="BA13" s="19"/>
      <c r="BB13" s="19"/>
      <c r="BC13" s="19"/>
      <c r="BD13" s="19"/>
      <c r="BE13" s="21"/>
    </row>
    <row r="14" spans="1:57" ht="12.75">
      <c r="A14" s="13" t="s">
        <v>45</v>
      </c>
      <c r="B14" s="120">
        <v>656.5</v>
      </c>
      <c r="C14" s="117">
        <f>B14*8.65</f>
        <v>5678.725</v>
      </c>
      <c r="D14" s="118">
        <f>C14*0.125</f>
        <v>709.840625</v>
      </c>
      <c r="E14" s="101">
        <v>502.8</v>
      </c>
      <c r="F14" s="101">
        <v>22.52</v>
      </c>
      <c r="G14" s="101">
        <v>678.76</v>
      </c>
      <c r="H14" s="101">
        <v>30.4</v>
      </c>
      <c r="I14" s="101">
        <v>1093.59</v>
      </c>
      <c r="J14" s="101">
        <v>48.98</v>
      </c>
      <c r="K14" s="101">
        <v>754.2</v>
      </c>
      <c r="L14" s="101">
        <v>33.78</v>
      </c>
      <c r="M14" s="99">
        <v>402.24</v>
      </c>
      <c r="N14" s="141">
        <v>18.02</v>
      </c>
      <c r="O14" s="107">
        <v>0</v>
      </c>
      <c r="P14" s="107">
        <v>0</v>
      </c>
      <c r="Q14" s="107">
        <v>0</v>
      </c>
      <c r="R14" s="107">
        <v>0</v>
      </c>
      <c r="S14" s="101">
        <f>E14+G14+I14+K14+M14+O14+Q14</f>
        <v>3431.5899999999992</v>
      </c>
      <c r="T14" s="119">
        <f>P14+N14+L14+J14+H14+F14+R14</f>
        <v>153.70000000000002</v>
      </c>
      <c r="U14" s="101">
        <v>106.58</v>
      </c>
      <c r="V14" s="101">
        <v>143.88</v>
      </c>
      <c r="W14" s="101">
        <v>231.78</v>
      </c>
      <c r="X14" s="101">
        <v>159.85</v>
      </c>
      <c r="Y14" s="101">
        <v>85.24</v>
      </c>
      <c r="Z14" s="101">
        <v>0</v>
      </c>
      <c r="AA14" s="107">
        <v>0</v>
      </c>
      <c r="AB14" s="121">
        <f aca="true" t="shared" si="2" ref="AB14:AB25">SUM(U14:AA14)</f>
        <v>727.33</v>
      </c>
      <c r="AC14" s="122">
        <f>D14+T14+AB14</f>
        <v>1590.870625</v>
      </c>
      <c r="AD14" s="123">
        <f>P14+Z14</f>
        <v>0</v>
      </c>
      <c r="AE14" s="123">
        <f>R14+AA14</f>
        <v>0</v>
      </c>
      <c r="AF14" s="123"/>
      <c r="AG14" s="31">
        <f>0.6*B14*0.9</f>
        <v>354.51</v>
      </c>
      <c r="AH14" s="31">
        <f>B14*0.2*0.891</f>
        <v>116.98830000000001</v>
      </c>
      <c r="AI14" s="31">
        <f>0.85*B14*0.867-0.02</f>
        <v>483.787675</v>
      </c>
      <c r="AJ14" s="31">
        <f>AI14*0.18</f>
        <v>87.08178149999999</v>
      </c>
      <c r="AK14" s="31">
        <f>0.83*B14*0.8685</f>
        <v>473.2413075</v>
      </c>
      <c r="AL14" s="31">
        <f>AK14*0.18</f>
        <v>85.18343535</v>
      </c>
      <c r="AM14" s="31">
        <f>1.91*B14*0.8686</f>
        <v>1089.150569</v>
      </c>
      <c r="AN14" s="31">
        <f>AM14*0.18</f>
        <v>196.04710242</v>
      </c>
      <c r="AO14" s="31"/>
      <c r="AP14" s="31">
        <f>AO14*0.18</f>
        <v>0</v>
      </c>
      <c r="AQ14" s="128"/>
      <c r="AR14" s="128">
        <f aca="true" t="shared" si="3" ref="AR14:AR25">AQ14*0.18</f>
        <v>0</v>
      </c>
      <c r="AS14" s="105"/>
      <c r="AT14" s="105"/>
      <c r="AU14" s="105">
        <f aca="true" t="shared" si="4" ref="AU14:AU25">(AS14+AT14)*0.18</f>
        <v>0</v>
      </c>
      <c r="AV14" s="129">
        <v>508</v>
      </c>
      <c r="AW14" s="130">
        <v>0.45</v>
      </c>
      <c r="AX14" s="31">
        <f>AV14*AW14*1.12*1.18</f>
        <v>302.11776000000003</v>
      </c>
      <c r="AY14" s="131"/>
      <c r="AZ14" s="133"/>
      <c r="BA14" s="133">
        <f>AZ14*0.18</f>
        <v>0</v>
      </c>
      <c r="BB14" s="133">
        <f>SUM(AG14:AU14)</f>
        <v>2885.99017077</v>
      </c>
      <c r="BC14" s="140"/>
      <c r="BD14" s="19">
        <f>AC14+AF14-BB14-BC14</f>
        <v>-1295.11954577</v>
      </c>
      <c r="BE14" s="21">
        <f aca="true" t="shared" si="5" ref="BE14:BE24">AB14-S14</f>
        <v>-2704.2599999999993</v>
      </c>
    </row>
    <row r="15" spans="1:57" ht="12.75">
      <c r="A15" s="13" t="s">
        <v>46</v>
      </c>
      <c r="B15" s="120">
        <v>656.5</v>
      </c>
      <c r="C15" s="117">
        <f>B15*8.65</f>
        <v>5678.725</v>
      </c>
      <c r="D15" s="118">
        <f>C15*0.125</f>
        <v>709.840625</v>
      </c>
      <c r="E15" s="101">
        <v>502.8</v>
      </c>
      <c r="F15" s="101">
        <v>22.52</v>
      </c>
      <c r="G15" s="101">
        <v>678.76</v>
      </c>
      <c r="H15" s="101">
        <v>30.4</v>
      </c>
      <c r="I15" s="101">
        <v>1093.59</v>
      </c>
      <c r="J15" s="101">
        <v>48.98</v>
      </c>
      <c r="K15" s="101">
        <v>754.2</v>
      </c>
      <c r="L15" s="101">
        <v>33.78</v>
      </c>
      <c r="M15" s="99">
        <v>402.24</v>
      </c>
      <c r="N15" s="141">
        <v>18.02</v>
      </c>
      <c r="O15" s="107">
        <v>0</v>
      </c>
      <c r="P15" s="107">
        <v>0</v>
      </c>
      <c r="Q15" s="107">
        <v>0</v>
      </c>
      <c r="R15" s="107">
        <v>0</v>
      </c>
      <c r="S15" s="101">
        <f>E15+G15+I15+K15+M15+O15+Q15</f>
        <v>3431.5899999999992</v>
      </c>
      <c r="T15" s="119">
        <f>P15+N15+L15+J15+H15+F15+R15</f>
        <v>153.70000000000002</v>
      </c>
      <c r="U15" s="101">
        <v>297.61</v>
      </c>
      <c r="V15" s="101">
        <v>401.77</v>
      </c>
      <c r="W15" s="101">
        <v>646.87</v>
      </c>
      <c r="X15" s="101">
        <v>446.41</v>
      </c>
      <c r="Y15" s="101">
        <v>238.06</v>
      </c>
      <c r="Z15" s="101">
        <v>0</v>
      </c>
      <c r="AA15" s="107">
        <v>0</v>
      </c>
      <c r="AB15" s="124">
        <f t="shared" si="2"/>
        <v>2030.72</v>
      </c>
      <c r="AC15" s="122">
        <f>D15+T15+AB15</f>
        <v>2894.260625</v>
      </c>
      <c r="AD15" s="123">
        <f>P15+Z15</f>
        <v>0</v>
      </c>
      <c r="AE15" s="123">
        <f>R15+AA15</f>
        <v>0</v>
      </c>
      <c r="AF15" s="123"/>
      <c r="AG15" s="31">
        <f>0.6*B15*0.9</f>
        <v>354.51</v>
      </c>
      <c r="AH15" s="31">
        <f>B15*0.2*0.9153</f>
        <v>120.17889000000001</v>
      </c>
      <c r="AI15" s="31">
        <f>0.85*B15*0.867</f>
        <v>483.80767499999996</v>
      </c>
      <c r="AJ15" s="31">
        <f>AI15*0.18</f>
        <v>87.08538149999998</v>
      </c>
      <c r="AK15" s="31">
        <f>0.83*B15*0.8684</f>
        <v>473.18681799999996</v>
      </c>
      <c r="AL15" s="31">
        <f>AK15*0.18</f>
        <v>85.17362723999999</v>
      </c>
      <c r="AM15" s="31">
        <f>(1.91)*B15*0.8684</f>
        <v>1088.899786</v>
      </c>
      <c r="AN15" s="31">
        <f>AM15*0.18</f>
        <v>196.00196147999998</v>
      </c>
      <c r="AO15" s="31"/>
      <c r="AP15" s="31">
        <f>AO15*0.18</f>
        <v>0</v>
      </c>
      <c r="AQ15" s="128"/>
      <c r="AR15" s="128">
        <f t="shared" si="3"/>
        <v>0</v>
      </c>
      <c r="AS15" s="105">
        <v>1616</v>
      </c>
      <c r="AT15" s="105"/>
      <c r="AU15" s="105">
        <f t="shared" si="4"/>
        <v>290.88</v>
      </c>
      <c r="AV15" s="129">
        <v>407</v>
      </c>
      <c r="AW15" s="130">
        <v>0.45</v>
      </c>
      <c r="AX15" s="31">
        <f>AV15*AW15*1.12*1.18</f>
        <v>242.05104</v>
      </c>
      <c r="AY15" s="131"/>
      <c r="AZ15" s="133"/>
      <c r="BA15" s="133">
        <f>AZ15*0.18</f>
        <v>0</v>
      </c>
      <c r="BB15" s="133">
        <f>SUM(AG15:AU15)+AY15</f>
        <v>4795.72413922</v>
      </c>
      <c r="BC15" s="142"/>
      <c r="BD15" s="19">
        <f aca="true" t="shared" si="6" ref="BD15:BD22">AC15+AF15-BB15-BC15</f>
        <v>-1901.4635142200004</v>
      </c>
      <c r="BE15" s="21">
        <f t="shared" si="5"/>
        <v>-1400.8699999999992</v>
      </c>
    </row>
    <row r="16" spans="1:57" ht="12.75">
      <c r="A16" s="13" t="s">
        <v>47</v>
      </c>
      <c r="B16" s="143">
        <v>656.5</v>
      </c>
      <c r="C16" s="117">
        <f aca="true" t="shared" si="7" ref="C16:C25">B16*8.65</f>
        <v>5678.725</v>
      </c>
      <c r="D16" s="118">
        <f>C16*0.125</f>
        <v>709.840625</v>
      </c>
      <c r="E16" s="101">
        <v>502.8</v>
      </c>
      <c r="F16" s="101">
        <v>22.52</v>
      </c>
      <c r="G16" s="101">
        <v>678.76</v>
      </c>
      <c r="H16" s="101">
        <v>30.4</v>
      </c>
      <c r="I16" s="101">
        <v>1093.59</v>
      </c>
      <c r="J16" s="101">
        <v>48.98</v>
      </c>
      <c r="K16" s="101">
        <v>754.2</v>
      </c>
      <c r="L16" s="101">
        <v>33.78</v>
      </c>
      <c r="M16" s="99">
        <v>402.24</v>
      </c>
      <c r="N16" s="141">
        <v>18.02</v>
      </c>
      <c r="O16" s="107">
        <v>0</v>
      </c>
      <c r="P16" s="107">
        <v>0</v>
      </c>
      <c r="Q16" s="101">
        <v>0</v>
      </c>
      <c r="R16" s="107">
        <v>0</v>
      </c>
      <c r="S16" s="101">
        <f aca="true" t="shared" si="8" ref="S16:S25">E16+G16+I16+K16+M16+O16+Q16</f>
        <v>3431.5899999999992</v>
      </c>
      <c r="T16" s="119">
        <f aca="true" t="shared" si="9" ref="T16:T25">P16+N16+L16+J16+H16+F16+R16</f>
        <v>153.70000000000002</v>
      </c>
      <c r="U16" s="102">
        <v>309.91</v>
      </c>
      <c r="V16" s="102">
        <v>418.37</v>
      </c>
      <c r="W16" s="102">
        <v>674.03</v>
      </c>
      <c r="X16" s="102">
        <v>464.89</v>
      </c>
      <c r="Y16" s="102">
        <v>247.91</v>
      </c>
      <c r="Z16" s="102">
        <v>0</v>
      </c>
      <c r="AA16" s="125">
        <v>0</v>
      </c>
      <c r="AB16" s="121">
        <f t="shared" si="2"/>
        <v>2115.1099999999997</v>
      </c>
      <c r="AC16" s="122">
        <f aca="true" t="shared" si="10" ref="AC16:AC22">D16+T16+AB16</f>
        <v>2978.6506249999998</v>
      </c>
      <c r="AD16" s="123">
        <f aca="true" t="shared" si="11" ref="AD16:AD25">P16+Z16</f>
        <v>0</v>
      </c>
      <c r="AE16" s="123">
        <f aca="true" t="shared" si="12" ref="AE16:AE25">R16+AA16</f>
        <v>0</v>
      </c>
      <c r="AF16" s="123"/>
      <c r="AG16" s="31">
        <f>0.6*B16*0.9</f>
        <v>354.51</v>
      </c>
      <c r="AH16" s="126">
        <f>B16*0.2*0.9082</f>
        <v>119.24666</v>
      </c>
      <c r="AI16" s="31">
        <f>0.85*B16*0.8675</f>
        <v>484.0866875</v>
      </c>
      <c r="AJ16" s="31">
        <f aca="true" t="shared" si="13" ref="AJ16:AJ25">AI16*0.18</f>
        <v>87.13560374999999</v>
      </c>
      <c r="AK16" s="126">
        <f>0.83*B16*0.838</f>
        <v>456.62201</v>
      </c>
      <c r="AL16" s="31">
        <f aca="true" t="shared" si="14" ref="AL16:AL25">AK16*0.18</f>
        <v>82.1919618</v>
      </c>
      <c r="AM16" s="31">
        <f>1.91*B16*0.8381</f>
        <v>1050.9061614999998</v>
      </c>
      <c r="AN16" s="31">
        <f aca="true" t="shared" si="15" ref="AN16:AN25">AM16*0.18</f>
        <v>189.16310906999996</v>
      </c>
      <c r="AO16" s="31"/>
      <c r="AP16" s="31">
        <f aca="true" t="shared" si="16" ref="AP16:AP25">AO16*0.18</f>
        <v>0</v>
      </c>
      <c r="AQ16" s="128"/>
      <c r="AR16" s="128">
        <f t="shared" si="3"/>
        <v>0</v>
      </c>
      <c r="AS16" s="105"/>
      <c r="AT16" s="105"/>
      <c r="AU16" s="105">
        <f t="shared" si="4"/>
        <v>0</v>
      </c>
      <c r="AV16" s="129">
        <v>383</v>
      </c>
      <c r="AW16" s="130">
        <v>0.45</v>
      </c>
      <c r="AX16" s="31">
        <f aca="true" t="shared" si="17" ref="AX16:AX25">AV16*AW16*1.12*1.18</f>
        <v>227.77776</v>
      </c>
      <c r="AY16" s="131"/>
      <c r="AZ16" s="133"/>
      <c r="BA16" s="133">
        <f>AZ16*0.18</f>
        <v>0</v>
      </c>
      <c r="BB16" s="133">
        <f>SUM(AG16:AU16)</f>
        <v>2823.8621936199993</v>
      </c>
      <c r="BC16" s="142"/>
      <c r="BD16" s="19">
        <f t="shared" si="6"/>
        <v>154.78843138000047</v>
      </c>
      <c r="BE16" s="21">
        <f t="shared" si="5"/>
        <v>-1316.4799999999996</v>
      </c>
    </row>
    <row r="17" spans="1:57" ht="12.75">
      <c r="A17" s="13" t="s">
        <v>48</v>
      </c>
      <c r="B17" s="144">
        <v>656.5</v>
      </c>
      <c r="C17" s="117">
        <f t="shared" si="7"/>
        <v>5678.725</v>
      </c>
      <c r="D17" s="118">
        <f>C17*0.125</f>
        <v>709.840625</v>
      </c>
      <c r="E17" s="102">
        <v>525.95</v>
      </c>
      <c r="F17" s="102">
        <v>22.52</v>
      </c>
      <c r="G17" s="102">
        <v>710.02</v>
      </c>
      <c r="H17" s="102">
        <v>30.4</v>
      </c>
      <c r="I17" s="102">
        <v>1143.96</v>
      </c>
      <c r="J17" s="102">
        <v>48.98</v>
      </c>
      <c r="K17" s="102">
        <v>788.95</v>
      </c>
      <c r="L17" s="102">
        <v>33.78</v>
      </c>
      <c r="M17" s="103">
        <v>420.76</v>
      </c>
      <c r="N17" s="145">
        <v>18.02</v>
      </c>
      <c r="O17" s="125">
        <v>0</v>
      </c>
      <c r="P17" s="125">
        <v>0</v>
      </c>
      <c r="Q17" s="125">
        <v>0</v>
      </c>
      <c r="R17" s="125">
        <v>0</v>
      </c>
      <c r="S17" s="101">
        <f t="shared" si="8"/>
        <v>3589.6400000000003</v>
      </c>
      <c r="T17" s="119">
        <f t="shared" si="9"/>
        <v>153.70000000000002</v>
      </c>
      <c r="U17" s="101">
        <v>184.62</v>
      </c>
      <c r="V17" s="101">
        <v>249.25</v>
      </c>
      <c r="W17" s="101">
        <v>401.53</v>
      </c>
      <c r="X17" s="101">
        <v>276.94</v>
      </c>
      <c r="Y17" s="101">
        <v>147.68</v>
      </c>
      <c r="Z17" s="101">
        <v>0</v>
      </c>
      <c r="AA17" s="101">
        <v>0</v>
      </c>
      <c r="AB17" s="121">
        <f t="shared" si="2"/>
        <v>1260.02</v>
      </c>
      <c r="AC17" s="122">
        <f t="shared" si="10"/>
        <v>2123.560625</v>
      </c>
      <c r="AD17" s="123">
        <f t="shared" si="11"/>
        <v>0</v>
      </c>
      <c r="AE17" s="123">
        <f t="shared" si="12"/>
        <v>0</v>
      </c>
      <c r="AF17" s="123"/>
      <c r="AG17" s="31">
        <f>0.6*B17*0.9</f>
        <v>354.51</v>
      </c>
      <c r="AH17" s="126">
        <f>B17*0.2*0.9234</f>
        <v>121.24242000000001</v>
      </c>
      <c r="AI17" s="31">
        <f>0.85*B17*0.8934</f>
        <v>498.53953499999994</v>
      </c>
      <c r="AJ17" s="31">
        <f t="shared" si="13"/>
        <v>89.73711629999998</v>
      </c>
      <c r="AK17" s="31">
        <f>0.83*B17*0.8498</f>
        <v>463.051771</v>
      </c>
      <c r="AL17" s="31">
        <f t="shared" si="14"/>
        <v>83.34931877999999</v>
      </c>
      <c r="AM17" s="31">
        <f>(1.91)*B17*0.8498</f>
        <v>1065.576967</v>
      </c>
      <c r="AN17" s="31">
        <f t="shared" si="15"/>
        <v>191.80385406</v>
      </c>
      <c r="AO17" s="31"/>
      <c r="AP17" s="31">
        <f t="shared" si="16"/>
        <v>0</v>
      </c>
      <c r="AQ17" s="128"/>
      <c r="AR17" s="128">
        <f t="shared" si="3"/>
        <v>0</v>
      </c>
      <c r="AS17" s="105">
        <v>310</v>
      </c>
      <c r="AT17" s="105"/>
      <c r="AU17" s="105">
        <f t="shared" si="4"/>
        <v>55.8</v>
      </c>
      <c r="AV17" s="129">
        <v>307</v>
      </c>
      <c r="AW17" s="130">
        <v>0.45</v>
      </c>
      <c r="AX17" s="31">
        <f t="shared" si="17"/>
        <v>182.57904</v>
      </c>
      <c r="AY17" s="137"/>
      <c r="AZ17" s="131"/>
      <c r="BA17" s="133">
        <f aca="true" t="shared" si="18" ref="BA17:BA25">AZ17*0.18</f>
        <v>0</v>
      </c>
      <c r="BB17" s="19">
        <f>SUM(AG17:BA17)-AV17-AW17+AX14+AX15+AX16</f>
        <v>4188.13658214</v>
      </c>
      <c r="BC17" s="142"/>
      <c r="BD17" s="19">
        <f>AC17+AF17-BB17-BC17</f>
        <v>-2064.5759571400004</v>
      </c>
      <c r="BE17" s="21">
        <f t="shared" si="5"/>
        <v>-2329.6200000000003</v>
      </c>
    </row>
    <row r="18" spans="1:57" ht="12.75">
      <c r="A18" s="13" t="s">
        <v>49</v>
      </c>
      <c r="B18" s="143">
        <v>656.5</v>
      </c>
      <c r="C18" s="117">
        <f t="shared" si="7"/>
        <v>5678.725</v>
      </c>
      <c r="D18" s="134">
        <f aca="true" t="shared" si="19" ref="D18:D25">C18-E18-F18-G18-H18-I18-J18-K18-L18-M18-N18</f>
        <v>1194.8650000000011</v>
      </c>
      <c r="E18" s="102">
        <v>570.45</v>
      </c>
      <c r="F18" s="102">
        <v>18.46</v>
      </c>
      <c r="G18" s="102">
        <v>773.31</v>
      </c>
      <c r="H18" s="102">
        <v>25.01</v>
      </c>
      <c r="I18" s="102">
        <v>1503.11</v>
      </c>
      <c r="J18" s="102">
        <v>48.6</v>
      </c>
      <c r="K18" s="102">
        <v>1040.13</v>
      </c>
      <c r="L18" s="102">
        <v>33.63</v>
      </c>
      <c r="M18" s="103">
        <v>456.39</v>
      </c>
      <c r="N18" s="145">
        <v>14.77</v>
      </c>
      <c r="O18" s="125">
        <v>0</v>
      </c>
      <c r="P18" s="125">
        <v>0</v>
      </c>
      <c r="Q18" s="125">
        <v>0</v>
      </c>
      <c r="R18" s="125">
        <v>0</v>
      </c>
      <c r="S18" s="101">
        <f t="shared" si="8"/>
        <v>4343.39</v>
      </c>
      <c r="T18" s="119">
        <f t="shared" si="9"/>
        <v>140.47</v>
      </c>
      <c r="U18" s="102">
        <v>266.24</v>
      </c>
      <c r="V18" s="102">
        <v>359.38</v>
      </c>
      <c r="W18" s="102">
        <v>579.06</v>
      </c>
      <c r="X18" s="102">
        <v>399.34</v>
      </c>
      <c r="Y18" s="102">
        <v>212.95</v>
      </c>
      <c r="Z18" s="102">
        <v>0</v>
      </c>
      <c r="AA18" s="125">
        <v>0</v>
      </c>
      <c r="AB18" s="121">
        <f t="shared" si="2"/>
        <v>1816.9699999999998</v>
      </c>
      <c r="AC18" s="122">
        <f t="shared" si="10"/>
        <v>3152.305000000001</v>
      </c>
      <c r="AD18" s="123">
        <f t="shared" si="11"/>
        <v>0</v>
      </c>
      <c r="AE18" s="123">
        <f t="shared" si="12"/>
        <v>0</v>
      </c>
      <c r="AF18" s="123"/>
      <c r="AG18" s="31">
        <f aca="true" t="shared" si="20" ref="AG18:AG25">0.6*B18</f>
        <v>393.9</v>
      </c>
      <c r="AH18" s="31">
        <f>B18*0.2*1.01</f>
        <v>132.613</v>
      </c>
      <c r="AI18" s="31">
        <f>0.85*B18</f>
        <v>558.025</v>
      </c>
      <c r="AJ18" s="31">
        <f t="shared" si="13"/>
        <v>100.44449999999999</v>
      </c>
      <c r="AK18" s="31">
        <f>0.83*B18</f>
        <v>544.895</v>
      </c>
      <c r="AL18" s="31">
        <f t="shared" si="14"/>
        <v>98.08109999999999</v>
      </c>
      <c r="AM18" s="31">
        <f>(1.91)*B18</f>
        <v>1253.915</v>
      </c>
      <c r="AN18" s="31">
        <f t="shared" si="15"/>
        <v>225.70469999999997</v>
      </c>
      <c r="AO18" s="31"/>
      <c r="AP18" s="31">
        <f t="shared" si="16"/>
        <v>0</v>
      </c>
      <c r="AQ18" s="128"/>
      <c r="AR18" s="128">
        <f t="shared" si="3"/>
        <v>0</v>
      </c>
      <c r="AS18" s="105">
        <v>178.88</v>
      </c>
      <c r="AT18" s="105"/>
      <c r="AU18" s="105">
        <f t="shared" si="4"/>
        <v>32.1984</v>
      </c>
      <c r="AV18" s="129">
        <v>263</v>
      </c>
      <c r="AW18" s="130">
        <v>0.45</v>
      </c>
      <c r="AX18" s="31">
        <f t="shared" si="17"/>
        <v>156.41136000000003</v>
      </c>
      <c r="AY18" s="131"/>
      <c r="AZ18" s="133"/>
      <c r="BA18" s="133">
        <f t="shared" si="18"/>
        <v>0</v>
      </c>
      <c r="BB18" s="133">
        <f>SUM(AG18:BA18)-AV18-AW18</f>
        <v>3675.06806</v>
      </c>
      <c r="BC18" s="142"/>
      <c r="BD18" s="19">
        <f t="shared" si="6"/>
        <v>-522.7630599999989</v>
      </c>
      <c r="BE18" s="21">
        <f t="shared" si="5"/>
        <v>-2526.4200000000005</v>
      </c>
    </row>
    <row r="19" spans="1:57" ht="12.75">
      <c r="A19" s="13" t="s">
        <v>50</v>
      </c>
      <c r="B19" s="143">
        <v>656.5</v>
      </c>
      <c r="C19" s="117">
        <f t="shared" si="7"/>
        <v>5678.725</v>
      </c>
      <c r="D19" s="134">
        <f t="shared" si="19"/>
        <v>1181.1949999999995</v>
      </c>
      <c r="E19" s="102">
        <v>572.45</v>
      </c>
      <c r="F19" s="102">
        <v>18.46</v>
      </c>
      <c r="G19" s="102">
        <v>776.02</v>
      </c>
      <c r="H19" s="102">
        <v>25.01</v>
      </c>
      <c r="I19" s="102">
        <v>1507.47</v>
      </c>
      <c r="J19" s="102">
        <v>48.6</v>
      </c>
      <c r="K19" s="102">
        <v>1043.14</v>
      </c>
      <c r="L19" s="102">
        <v>33.63</v>
      </c>
      <c r="M19" s="103">
        <v>457.98</v>
      </c>
      <c r="N19" s="145">
        <v>14.77</v>
      </c>
      <c r="O19" s="125">
        <v>0</v>
      </c>
      <c r="P19" s="125">
        <v>0</v>
      </c>
      <c r="Q19" s="125">
        <v>0</v>
      </c>
      <c r="R19" s="125">
        <v>0</v>
      </c>
      <c r="S19" s="101">
        <f t="shared" si="8"/>
        <v>4357.0599999999995</v>
      </c>
      <c r="T19" s="119">
        <f t="shared" si="9"/>
        <v>140.47</v>
      </c>
      <c r="U19" s="102">
        <v>73.05</v>
      </c>
      <c r="V19" s="102">
        <v>98.94</v>
      </c>
      <c r="W19" s="102">
        <v>184.95</v>
      </c>
      <c r="X19" s="102">
        <v>127.91</v>
      </c>
      <c r="Y19" s="102">
        <v>58.43</v>
      </c>
      <c r="Z19" s="102">
        <v>0</v>
      </c>
      <c r="AA19" s="125">
        <v>0</v>
      </c>
      <c r="AB19" s="121">
        <f t="shared" si="2"/>
        <v>543.28</v>
      </c>
      <c r="AC19" s="122">
        <f t="shared" si="10"/>
        <v>1864.9449999999995</v>
      </c>
      <c r="AD19" s="123">
        <f t="shared" si="11"/>
        <v>0</v>
      </c>
      <c r="AE19" s="123">
        <f t="shared" si="12"/>
        <v>0</v>
      </c>
      <c r="AF19" s="123"/>
      <c r="AG19" s="31">
        <f t="shared" si="20"/>
        <v>393.9</v>
      </c>
      <c r="AH19" s="31">
        <f>B19*0.2*1.01045</f>
        <v>132.672085</v>
      </c>
      <c r="AI19" s="31">
        <f>0.85*B19</f>
        <v>558.025</v>
      </c>
      <c r="AJ19" s="31">
        <f t="shared" si="13"/>
        <v>100.44449999999999</v>
      </c>
      <c r="AK19" s="31">
        <f>0.83*B19</f>
        <v>544.895</v>
      </c>
      <c r="AL19" s="31">
        <f t="shared" si="14"/>
        <v>98.08109999999999</v>
      </c>
      <c r="AM19" s="31">
        <f>(1.91)*B19</f>
        <v>1253.915</v>
      </c>
      <c r="AN19" s="31">
        <f t="shared" si="15"/>
        <v>225.70469999999997</v>
      </c>
      <c r="AO19" s="31"/>
      <c r="AP19" s="31">
        <f t="shared" si="16"/>
        <v>0</v>
      </c>
      <c r="AQ19" s="128"/>
      <c r="AR19" s="128">
        <f t="shared" si="3"/>
        <v>0</v>
      </c>
      <c r="AS19" s="105"/>
      <c r="AT19" s="105"/>
      <c r="AU19" s="105">
        <f t="shared" si="4"/>
        <v>0</v>
      </c>
      <c r="AV19" s="129">
        <v>233</v>
      </c>
      <c r="AW19" s="130">
        <v>0.45</v>
      </c>
      <c r="AX19" s="31">
        <f t="shared" si="17"/>
        <v>138.56976</v>
      </c>
      <c r="AY19" s="131"/>
      <c r="AZ19" s="133"/>
      <c r="BA19" s="133">
        <f t="shared" si="18"/>
        <v>0</v>
      </c>
      <c r="BB19" s="133">
        <f>SUM(AG19:BA19)-AV19-AW19</f>
        <v>3446.2071449999994</v>
      </c>
      <c r="BC19" s="142"/>
      <c r="BD19" s="19">
        <f t="shared" si="6"/>
        <v>-1581.262145</v>
      </c>
      <c r="BE19" s="21">
        <f t="shared" si="5"/>
        <v>-3813.7799999999997</v>
      </c>
    </row>
    <row r="20" spans="1:57" ht="12.75">
      <c r="A20" s="13" t="s">
        <v>51</v>
      </c>
      <c r="B20" s="120">
        <v>656.5</v>
      </c>
      <c r="C20" s="117">
        <f t="shared" si="7"/>
        <v>5678.725</v>
      </c>
      <c r="D20" s="134">
        <f t="shared" si="19"/>
        <v>1181.1849999999995</v>
      </c>
      <c r="E20" s="102">
        <v>572.45</v>
      </c>
      <c r="F20" s="102">
        <v>18.46</v>
      </c>
      <c r="G20" s="102">
        <v>776.02</v>
      </c>
      <c r="H20" s="102">
        <v>25.01</v>
      </c>
      <c r="I20" s="102">
        <v>1507.47</v>
      </c>
      <c r="J20" s="102">
        <v>48.6</v>
      </c>
      <c r="K20" s="102">
        <v>1043.15</v>
      </c>
      <c r="L20" s="102">
        <v>33.63</v>
      </c>
      <c r="M20" s="103">
        <v>457.98</v>
      </c>
      <c r="N20" s="145">
        <v>14.77</v>
      </c>
      <c r="O20" s="125">
        <v>0</v>
      </c>
      <c r="P20" s="125">
        <v>0</v>
      </c>
      <c r="Q20" s="125">
        <v>0</v>
      </c>
      <c r="R20" s="125">
        <v>0</v>
      </c>
      <c r="S20" s="101">
        <f t="shared" si="8"/>
        <v>4357.07</v>
      </c>
      <c r="T20" s="119">
        <f t="shared" si="9"/>
        <v>140.47</v>
      </c>
      <c r="U20" s="102">
        <v>233.61</v>
      </c>
      <c r="V20" s="102">
        <v>316.51</v>
      </c>
      <c r="W20" s="102">
        <v>601.74</v>
      </c>
      <c r="X20" s="102">
        <v>416.21</v>
      </c>
      <c r="Y20" s="102">
        <v>186.9</v>
      </c>
      <c r="Z20" s="102">
        <v>0</v>
      </c>
      <c r="AA20" s="125">
        <v>0</v>
      </c>
      <c r="AB20" s="121">
        <f t="shared" si="2"/>
        <v>1754.9700000000003</v>
      </c>
      <c r="AC20" s="122">
        <f t="shared" si="10"/>
        <v>3076.625</v>
      </c>
      <c r="AD20" s="123">
        <f t="shared" si="11"/>
        <v>0</v>
      </c>
      <c r="AE20" s="123">
        <f t="shared" si="12"/>
        <v>0</v>
      </c>
      <c r="AF20" s="123"/>
      <c r="AG20" s="31">
        <f t="shared" si="20"/>
        <v>393.9</v>
      </c>
      <c r="AH20" s="31">
        <f>B20*0.2*0.99426</f>
        <v>130.54633800000002</v>
      </c>
      <c r="AI20" s="31">
        <f>0.85*B20*0.9857</f>
        <v>550.0452425</v>
      </c>
      <c r="AJ20" s="31">
        <f t="shared" si="13"/>
        <v>99.00814365</v>
      </c>
      <c r="AK20" s="31">
        <f>0.83*B20*0.9905</f>
        <v>539.7184975</v>
      </c>
      <c r="AL20" s="31">
        <f t="shared" si="14"/>
        <v>97.14932955</v>
      </c>
      <c r="AM20" s="31">
        <f>(1.91)*B20*0.9905</f>
        <v>1242.0028075</v>
      </c>
      <c r="AN20" s="31">
        <f t="shared" si="15"/>
        <v>223.56050535</v>
      </c>
      <c r="AO20" s="31"/>
      <c r="AP20" s="31">
        <f t="shared" si="16"/>
        <v>0</v>
      </c>
      <c r="AQ20" s="128"/>
      <c r="AR20" s="128">
        <f t="shared" si="3"/>
        <v>0</v>
      </c>
      <c r="AS20" s="105"/>
      <c r="AT20" s="105"/>
      <c r="AU20" s="105">
        <f t="shared" si="4"/>
        <v>0</v>
      </c>
      <c r="AV20" s="129">
        <v>248</v>
      </c>
      <c r="AW20" s="130">
        <v>0.45</v>
      </c>
      <c r="AX20" s="31">
        <f t="shared" si="17"/>
        <v>147.49056000000002</v>
      </c>
      <c r="AY20" s="131"/>
      <c r="AZ20" s="133"/>
      <c r="BA20" s="133">
        <f t="shared" si="18"/>
        <v>0</v>
      </c>
      <c r="BB20" s="133">
        <f>SUM(AG20:BA20)-AV20-AW20</f>
        <v>3423.42142405</v>
      </c>
      <c r="BC20" s="142"/>
      <c r="BD20" s="19">
        <f t="shared" si="6"/>
        <v>-346.79642405000004</v>
      </c>
      <c r="BE20" s="21">
        <f t="shared" si="5"/>
        <v>-2602.0999999999995</v>
      </c>
    </row>
    <row r="21" spans="1:57" ht="12.75">
      <c r="A21" s="13" t="s">
        <v>52</v>
      </c>
      <c r="B21" s="100">
        <v>656.5</v>
      </c>
      <c r="C21" s="117">
        <f t="shared" si="7"/>
        <v>5678.725</v>
      </c>
      <c r="D21" s="134">
        <f t="shared" si="19"/>
        <v>1181.2149999999997</v>
      </c>
      <c r="E21" s="102">
        <v>572.45</v>
      </c>
      <c r="F21" s="102">
        <v>18.46</v>
      </c>
      <c r="G21" s="102">
        <v>776.01</v>
      </c>
      <c r="H21" s="102">
        <v>25.01</v>
      </c>
      <c r="I21" s="102">
        <v>1507.47</v>
      </c>
      <c r="J21" s="102">
        <v>48.6</v>
      </c>
      <c r="K21" s="102">
        <v>1043.14</v>
      </c>
      <c r="L21" s="102">
        <v>33.63</v>
      </c>
      <c r="M21" s="103">
        <v>457.97</v>
      </c>
      <c r="N21" s="145">
        <v>14.77</v>
      </c>
      <c r="O21" s="125">
        <v>0</v>
      </c>
      <c r="P21" s="125">
        <v>0</v>
      </c>
      <c r="Q21" s="102">
        <v>0</v>
      </c>
      <c r="R21" s="102">
        <v>0</v>
      </c>
      <c r="S21" s="101">
        <f t="shared" si="8"/>
        <v>4357.040000000001</v>
      </c>
      <c r="T21" s="119">
        <f t="shared" si="9"/>
        <v>140.47</v>
      </c>
      <c r="U21" s="102">
        <v>342.21</v>
      </c>
      <c r="V21" s="102">
        <v>463.63</v>
      </c>
      <c r="W21" s="102">
        <v>877.9</v>
      </c>
      <c r="X21" s="102">
        <v>607.15</v>
      </c>
      <c r="Y21" s="102">
        <v>273.8</v>
      </c>
      <c r="Z21" s="102">
        <v>0</v>
      </c>
      <c r="AA21" s="125">
        <v>0</v>
      </c>
      <c r="AB21" s="121">
        <f t="shared" si="2"/>
        <v>2564.69</v>
      </c>
      <c r="AC21" s="122">
        <f t="shared" si="10"/>
        <v>3886.375</v>
      </c>
      <c r="AD21" s="123">
        <f t="shared" si="11"/>
        <v>0</v>
      </c>
      <c r="AE21" s="123">
        <f t="shared" si="12"/>
        <v>0</v>
      </c>
      <c r="AF21" s="123"/>
      <c r="AG21" s="31">
        <f t="shared" si="20"/>
        <v>393.9</v>
      </c>
      <c r="AH21" s="31">
        <f>B21*0.2*0.99875</f>
        <v>131.13587500000003</v>
      </c>
      <c r="AI21" s="31">
        <f>0.85*B21*0.98526</f>
        <v>549.7997115</v>
      </c>
      <c r="AJ21" s="31">
        <f t="shared" si="13"/>
        <v>98.96394806999999</v>
      </c>
      <c r="AK21" s="31">
        <f>0.83*B21*0.99</f>
        <v>539.44605</v>
      </c>
      <c r="AL21" s="31">
        <f t="shared" si="14"/>
        <v>97.100289</v>
      </c>
      <c r="AM21" s="31">
        <f>(1.91)*B21*0.99</f>
        <v>1241.37585</v>
      </c>
      <c r="AN21" s="31">
        <f t="shared" si="15"/>
        <v>223.44765299999997</v>
      </c>
      <c r="AO21" s="31"/>
      <c r="AP21" s="31">
        <f t="shared" si="16"/>
        <v>0</v>
      </c>
      <c r="AQ21" s="128"/>
      <c r="AR21" s="128">
        <f t="shared" si="3"/>
        <v>0</v>
      </c>
      <c r="AS21" s="105">
        <f>6274</f>
        <v>6274</v>
      </c>
      <c r="AT21" s="105">
        <f>463.56*2</f>
        <v>927.12</v>
      </c>
      <c r="AU21" s="105">
        <f t="shared" si="4"/>
        <v>1296.2015999999999</v>
      </c>
      <c r="AV21" s="129">
        <v>293</v>
      </c>
      <c r="AW21" s="130">
        <v>0.45</v>
      </c>
      <c r="AX21" s="31">
        <f t="shared" si="17"/>
        <v>174.25295999999997</v>
      </c>
      <c r="AY21" s="131"/>
      <c r="AZ21" s="133"/>
      <c r="BA21" s="133">
        <f t="shared" si="18"/>
        <v>0</v>
      </c>
      <c r="BB21" s="133">
        <f>SUM(AG21:BA21)-AV21-AW21</f>
        <v>11946.743936570001</v>
      </c>
      <c r="BC21" s="142"/>
      <c r="BD21" s="19">
        <f t="shared" si="6"/>
        <v>-8060.368936570001</v>
      </c>
      <c r="BE21" s="21">
        <f t="shared" si="5"/>
        <v>-1792.3500000000008</v>
      </c>
    </row>
    <row r="22" spans="1:57" ht="12.75">
      <c r="A22" s="13" t="s">
        <v>53</v>
      </c>
      <c r="B22" s="100">
        <v>656.5</v>
      </c>
      <c r="C22" s="117">
        <f t="shared" si="7"/>
        <v>5678.725</v>
      </c>
      <c r="D22" s="134">
        <f t="shared" si="19"/>
        <v>1181.1949999999995</v>
      </c>
      <c r="E22" s="101">
        <v>572.45</v>
      </c>
      <c r="F22" s="101">
        <v>18.46</v>
      </c>
      <c r="G22" s="101">
        <v>776.02</v>
      </c>
      <c r="H22" s="101">
        <v>25.01</v>
      </c>
      <c r="I22" s="101">
        <v>1507.47</v>
      </c>
      <c r="J22" s="101">
        <v>48.6</v>
      </c>
      <c r="K22" s="101">
        <v>1043.14</v>
      </c>
      <c r="L22" s="101">
        <v>33.63</v>
      </c>
      <c r="M22" s="99">
        <v>457.98</v>
      </c>
      <c r="N22" s="141">
        <v>14.77</v>
      </c>
      <c r="O22" s="107">
        <v>0</v>
      </c>
      <c r="P22" s="107">
        <v>0</v>
      </c>
      <c r="Q22" s="107">
        <v>0</v>
      </c>
      <c r="R22" s="107">
        <v>0</v>
      </c>
      <c r="S22" s="101">
        <f t="shared" si="8"/>
        <v>4357.0599999999995</v>
      </c>
      <c r="T22" s="119">
        <f t="shared" si="9"/>
        <v>140.47</v>
      </c>
      <c r="U22" s="101">
        <v>221.12</v>
      </c>
      <c r="V22" s="101">
        <v>299.47</v>
      </c>
      <c r="W22" s="101">
        <v>558.57</v>
      </c>
      <c r="X22" s="101">
        <v>386.21</v>
      </c>
      <c r="Y22" s="101">
        <v>176.9</v>
      </c>
      <c r="Z22" s="101">
        <v>0</v>
      </c>
      <c r="AA22" s="107">
        <v>0</v>
      </c>
      <c r="AB22" s="121">
        <f t="shared" si="2"/>
        <v>1642.2700000000002</v>
      </c>
      <c r="AC22" s="122">
        <f t="shared" si="10"/>
        <v>2963.9349999999995</v>
      </c>
      <c r="AD22" s="123">
        <f t="shared" si="11"/>
        <v>0</v>
      </c>
      <c r="AE22" s="123">
        <f t="shared" si="12"/>
        <v>0</v>
      </c>
      <c r="AF22" s="123"/>
      <c r="AG22" s="31">
        <f t="shared" si="20"/>
        <v>393.9</v>
      </c>
      <c r="AH22" s="31">
        <f>B22*0.2*0.9997</f>
        <v>131.26061</v>
      </c>
      <c r="AI22" s="31">
        <f>0.85*B22*0.98509</f>
        <v>549.70484725</v>
      </c>
      <c r="AJ22" s="31">
        <f t="shared" si="13"/>
        <v>98.94687250499999</v>
      </c>
      <c r="AK22" s="31">
        <f>0.83*B22*0.98981</f>
        <v>539.34251995</v>
      </c>
      <c r="AL22" s="31">
        <f t="shared" si="14"/>
        <v>97.08165359099999</v>
      </c>
      <c r="AM22" s="31">
        <f>(1.91)*B22*0.9898</f>
        <v>1241.125067</v>
      </c>
      <c r="AN22" s="31">
        <f t="shared" si="15"/>
        <v>223.40251206</v>
      </c>
      <c r="AO22" s="31"/>
      <c r="AP22" s="31">
        <f t="shared" si="16"/>
        <v>0</v>
      </c>
      <c r="AQ22" s="128"/>
      <c r="AR22" s="128">
        <f t="shared" si="3"/>
        <v>0</v>
      </c>
      <c r="AS22" s="105"/>
      <c r="AT22" s="105"/>
      <c r="AU22" s="105">
        <f t="shared" si="4"/>
        <v>0</v>
      </c>
      <c r="AV22" s="129">
        <v>349</v>
      </c>
      <c r="AW22" s="130">
        <v>0.45</v>
      </c>
      <c r="AX22" s="31">
        <f t="shared" si="17"/>
        <v>207.55728000000005</v>
      </c>
      <c r="AY22" s="131"/>
      <c r="AZ22" s="133"/>
      <c r="BA22" s="133">
        <f t="shared" si="18"/>
        <v>0</v>
      </c>
      <c r="BB22" s="133">
        <f>SUM(AG22:BA22)-AV22-AW22</f>
        <v>3482.321362356</v>
      </c>
      <c r="BC22" s="142"/>
      <c r="BD22" s="19">
        <f t="shared" si="6"/>
        <v>-518.3863623560005</v>
      </c>
      <c r="BE22" s="21">
        <f t="shared" si="5"/>
        <v>-2714.789999999999</v>
      </c>
    </row>
    <row r="23" spans="1:57" ht="12.75">
      <c r="A23" s="32" t="s">
        <v>41</v>
      </c>
      <c r="B23" s="100">
        <v>656.5</v>
      </c>
      <c r="C23" s="135">
        <f t="shared" si="7"/>
        <v>5678.725</v>
      </c>
      <c r="D23" s="134">
        <f t="shared" si="19"/>
        <v>1181.1949999999995</v>
      </c>
      <c r="E23" s="106">
        <v>572.45</v>
      </c>
      <c r="F23" s="101">
        <v>18.46</v>
      </c>
      <c r="G23" s="101">
        <v>776.02</v>
      </c>
      <c r="H23" s="101">
        <v>25.01</v>
      </c>
      <c r="I23" s="101">
        <v>1507.47</v>
      </c>
      <c r="J23" s="101">
        <v>48.6</v>
      </c>
      <c r="K23" s="101">
        <v>1043.14</v>
      </c>
      <c r="L23" s="101">
        <v>33.63</v>
      </c>
      <c r="M23" s="101">
        <v>457.98</v>
      </c>
      <c r="N23" s="107">
        <v>14.77</v>
      </c>
      <c r="O23" s="107">
        <v>0</v>
      </c>
      <c r="P23" s="107">
        <v>0</v>
      </c>
      <c r="Q23" s="101">
        <v>0</v>
      </c>
      <c r="R23" s="101">
        <v>0</v>
      </c>
      <c r="S23" s="101">
        <f t="shared" si="8"/>
        <v>4357.0599999999995</v>
      </c>
      <c r="T23" s="119">
        <f t="shared" si="9"/>
        <v>140.47</v>
      </c>
      <c r="U23" s="108">
        <f>438.84+105.13</f>
        <v>543.97</v>
      </c>
      <c r="V23" s="101">
        <f>594.2+142.41</f>
        <v>736.61</v>
      </c>
      <c r="W23" s="101">
        <f>1100.31+267.95</f>
        <v>1368.26</v>
      </c>
      <c r="X23" s="101">
        <f>760.76+185.32</f>
        <v>946.0799999999999</v>
      </c>
      <c r="Y23" s="101">
        <f>351.1+84.11</f>
        <v>435.21000000000004</v>
      </c>
      <c r="Z23" s="101">
        <v>0</v>
      </c>
      <c r="AA23" s="107">
        <v>0</v>
      </c>
      <c r="AB23" s="107">
        <f t="shared" si="2"/>
        <v>4030.13</v>
      </c>
      <c r="AC23" s="122">
        <f>AB23+T23+D23</f>
        <v>5351.795</v>
      </c>
      <c r="AD23" s="123">
        <f t="shared" si="11"/>
        <v>0</v>
      </c>
      <c r="AE23" s="123">
        <f t="shared" si="12"/>
        <v>0</v>
      </c>
      <c r="AF23" s="123"/>
      <c r="AG23" s="31">
        <f t="shared" si="20"/>
        <v>393.9</v>
      </c>
      <c r="AH23" s="31">
        <f>B23*0.2</f>
        <v>131.3</v>
      </c>
      <c r="AI23" s="31">
        <f>0.847*B23</f>
        <v>556.0554999999999</v>
      </c>
      <c r="AJ23" s="31">
        <f t="shared" si="13"/>
        <v>100.08998999999999</v>
      </c>
      <c r="AK23" s="31">
        <f>(0.83*B23)</f>
        <v>544.895</v>
      </c>
      <c r="AL23" s="31">
        <f t="shared" si="14"/>
        <v>98.08109999999999</v>
      </c>
      <c r="AM23" s="31">
        <f>(2.25/1.18)*B23</f>
        <v>1251.8008474576272</v>
      </c>
      <c r="AN23" s="31">
        <f t="shared" si="15"/>
        <v>225.3241525423729</v>
      </c>
      <c r="AO23" s="31"/>
      <c r="AP23" s="31">
        <f t="shared" si="16"/>
        <v>0</v>
      </c>
      <c r="AQ23" s="128"/>
      <c r="AR23" s="128">
        <f t="shared" si="3"/>
        <v>0</v>
      </c>
      <c r="AS23" s="105">
        <v>0</v>
      </c>
      <c r="AT23" s="105"/>
      <c r="AU23" s="105">
        <f t="shared" si="4"/>
        <v>0</v>
      </c>
      <c r="AV23" s="129">
        <v>425</v>
      </c>
      <c r="AW23" s="130">
        <v>0.45</v>
      </c>
      <c r="AX23" s="31">
        <f t="shared" si="17"/>
        <v>252.756</v>
      </c>
      <c r="AY23" s="131"/>
      <c r="AZ23" s="132"/>
      <c r="BA23" s="133">
        <f t="shared" si="18"/>
        <v>0</v>
      </c>
      <c r="BB23" s="133">
        <f>SUM(AG23:AU23)+AX23+AY23+AZ23+BA23</f>
        <v>3554.20259</v>
      </c>
      <c r="BC23" s="142"/>
      <c r="BD23" s="19">
        <f>AC23+AF23-BB23-BC23</f>
        <v>1797.5924100000002</v>
      </c>
      <c r="BE23" s="21">
        <f t="shared" si="5"/>
        <v>-326.9299999999994</v>
      </c>
    </row>
    <row r="24" spans="1:57" ht="12.75">
      <c r="A24" s="13" t="s">
        <v>42</v>
      </c>
      <c r="B24" s="120">
        <v>656.5</v>
      </c>
      <c r="C24" s="135">
        <f t="shared" si="7"/>
        <v>5678.725</v>
      </c>
      <c r="D24" s="134">
        <f t="shared" si="19"/>
        <v>1181.1949999999995</v>
      </c>
      <c r="E24" s="101">
        <v>572.45</v>
      </c>
      <c r="F24" s="101">
        <v>18.46</v>
      </c>
      <c r="G24" s="101">
        <v>776.02</v>
      </c>
      <c r="H24" s="101">
        <v>25.01</v>
      </c>
      <c r="I24" s="101">
        <v>1507.47</v>
      </c>
      <c r="J24" s="101">
        <v>48.6</v>
      </c>
      <c r="K24" s="101">
        <v>1043.14</v>
      </c>
      <c r="L24" s="101">
        <v>33.63</v>
      </c>
      <c r="M24" s="99">
        <v>457.98</v>
      </c>
      <c r="N24" s="141">
        <v>14.77</v>
      </c>
      <c r="O24" s="107">
        <v>0</v>
      </c>
      <c r="P24" s="107">
        <v>0</v>
      </c>
      <c r="Q24" s="107">
        <v>0</v>
      </c>
      <c r="R24" s="107">
        <v>0</v>
      </c>
      <c r="S24" s="101">
        <f t="shared" si="8"/>
        <v>4357.0599999999995</v>
      </c>
      <c r="T24" s="119">
        <f t="shared" si="9"/>
        <v>140.47</v>
      </c>
      <c r="U24" s="101">
        <v>550.8</v>
      </c>
      <c r="V24" s="101">
        <v>746.18</v>
      </c>
      <c r="W24" s="101">
        <v>1409.49</v>
      </c>
      <c r="X24" s="101">
        <v>974.9</v>
      </c>
      <c r="Y24" s="101">
        <v>440.67</v>
      </c>
      <c r="Z24" s="101">
        <v>0</v>
      </c>
      <c r="AA24" s="107">
        <v>0</v>
      </c>
      <c r="AB24" s="107">
        <f t="shared" si="2"/>
        <v>4122.04</v>
      </c>
      <c r="AC24" s="122">
        <f>D24+T24+AB24</f>
        <v>5443.705</v>
      </c>
      <c r="AD24" s="123">
        <f t="shared" si="11"/>
        <v>0</v>
      </c>
      <c r="AE24" s="123">
        <f t="shared" si="12"/>
        <v>0</v>
      </c>
      <c r="AF24" s="123"/>
      <c r="AG24" s="31">
        <f t="shared" si="20"/>
        <v>393.9</v>
      </c>
      <c r="AH24" s="31">
        <f>B24*0.2</f>
        <v>131.3</v>
      </c>
      <c r="AI24" s="31">
        <f>0.85*B24</f>
        <v>558.025</v>
      </c>
      <c r="AJ24" s="31">
        <f t="shared" si="13"/>
        <v>100.44449999999999</v>
      </c>
      <c r="AK24" s="31">
        <f>(0.83*B24)</f>
        <v>544.895</v>
      </c>
      <c r="AL24" s="31">
        <f t="shared" si="14"/>
        <v>98.08109999999999</v>
      </c>
      <c r="AM24" s="31">
        <f>(1.91)*B24</f>
        <v>1253.915</v>
      </c>
      <c r="AN24" s="31">
        <f t="shared" si="15"/>
        <v>225.70469999999997</v>
      </c>
      <c r="AO24" s="31"/>
      <c r="AP24" s="31">
        <f t="shared" si="16"/>
        <v>0</v>
      </c>
      <c r="AQ24" s="128"/>
      <c r="AR24" s="128">
        <f t="shared" si="3"/>
        <v>0</v>
      </c>
      <c r="AS24" s="105">
        <v>1307</v>
      </c>
      <c r="AT24" s="105"/>
      <c r="AU24" s="105">
        <f t="shared" si="4"/>
        <v>235.26</v>
      </c>
      <c r="AV24" s="129">
        <v>470</v>
      </c>
      <c r="AW24" s="130">
        <v>0.45</v>
      </c>
      <c r="AX24" s="31">
        <f t="shared" si="17"/>
        <v>279.5184</v>
      </c>
      <c r="AY24" s="131"/>
      <c r="AZ24" s="133"/>
      <c r="BA24" s="133">
        <f t="shared" si="18"/>
        <v>0</v>
      </c>
      <c r="BB24" s="133">
        <f>SUM(AG24:AU24)+AX24+AY24+AZ24+BA24</f>
        <v>5128.043699999999</v>
      </c>
      <c r="BC24" s="140"/>
      <c r="BD24" s="19">
        <f>AC24+AF24-BB24-BC24</f>
        <v>315.66130000000067</v>
      </c>
      <c r="BE24" s="21">
        <f t="shared" si="5"/>
        <v>-235.01999999999953</v>
      </c>
    </row>
    <row r="25" spans="1:57" ht="12.75">
      <c r="A25" s="13" t="s">
        <v>43</v>
      </c>
      <c r="B25" s="100">
        <v>656.5</v>
      </c>
      <c r="C25" s="135">
        <f t="shared" si="7"/>
        <v>5678.725</v>
      </c>
      <c r="D25" s="134">
        <f t="shared" si="19"/>
        <v>1180.225</v>
      </c>
      <c r="E25" s="101">
        <v>572.58</v>
      </c>
      <c r="F25" s="101">
        <v>18.46</v>
      </c>
      <c r="G25" s="101">
        <v>776.18</v>
      </c>
      <c r="H25" s="101">
        <v>25.01</v>
      </c>
      <c r="I25" s="101">
        <v>1507.81</v>
      </c>
      <c r="J25" s="101">
        <v>48.6</v>
      </c>
      <c r="K25" s="101">
        <v>1043.38</v>
      </c>
      <c r="L25" s="101">
        <v>33.63</v>
      </c>
      <c r="M25" s="99">
        <v>458.08</v>
      </c>
      <c r="N25" s="141">
        <v>14.77</v>
      </c>
      <c r="O25" s="107">
        <v>0</v>
      </c>
      <c r="P25" s="107">
        <v>0</v>
      </c>
      <c r="Q25" s="107"/>
      <c r="R25" s="107"/>
      <c r="S25" s="101">
        <f t="shared" si="8"/>
        <v>4358.03</v>
      </c>
      <c r="T25" s="119">
        <f t="shared" si="9"/>
        <v>140.47</v>
      </c>
      <c r="U25" s="101">
        <v>367.73</v>
      </c>
      <c r="V25" s="101">
        <v>498.43</v>
      </c>
      <c r="W25" s="101">
        <v>959.82</v>
      </c>
      <c r="X25" s="101">
        <v>664.06</v>
      </c>
      <c r="Y25" s="101">
        <v>294.21</v>
      </c>
      <c r="Z25" s="101">
        <v>0</v>
      </c>
      <c r="AA25" s="107">
        <v>0</v>
      </c>
      <c r="AB25" s="107">
        <f t="shared" si="2"/>
        <v>2784.25</v>
      </c>
      <c r="AC25" s="122">
        <f>D25+T25+AB25</f>
        <v>4104.945</v>
      </c>
      <c r="AD25" s="123">
        <f t="shared" si="11"/>
        <v>0</v>
      </c>
      <c r="AE25" s="123">
        <f t="shared" si="12"/>
        <v>0</v>
      </c>
      <c r="AF25" s="123"/>
      <c r="AG25" s="31">
        <f t="shared" si="20"/>
        <v>393.9</v>
      </c>
      <c r="AH25" s="31">
        <f>B25*0.2</f>
        <v>131.3</v>
      </c>
      <c r="AI25" s="31">
        <f>0.85*B25</f>
        <v>558.025</v>
      </c>
      <c r="AJ25" s="31">
        <f t="shared" si="13"/>
        <v>100.44449999999999</v>
      </c>
      <c r="AK25" s="31">
        <f>(0.83*B25)</f>
        <v>544.895</v>
      </c>
      <c r="AL25" s="31">
        <f t="shared" si="14"/>
        <v>98.08109999999999</v>
      </c>
      <c r="AM25" s="31">
        <f>(1.91)*B25</f>
        <v>1253.915</v>
      </c>
      <c r="AN25" s="31">
        <f t="shared" si="15"/>
        <v>225.70469999999997</v>
      </c>
      <c r="AO25" s="31"/>
      <c r="AP25" s="31">
        <f t="shared" si="16"/>
        <v>0</v>
      </c>
      <c r="AQ25" s="128"/>
      <c r="AR25" s="128">
        <f t="shared" si="3"/>
        <v>0</v>
      </c>
      <c r="AS25" s="105">
        <v>0</v>
      </c>
      <c r="AT25" s="105"/>
      <c r="AU25" s="105">
        <f t="shared" si="4"/>
        <v>0</v>
      </c>
      <c r="AV25" s="129">
        <v>514</v>
      </c>
      <c r="AW25" s="130">
        <v>0.45</v>
      </c>
      <c r="AX25" s="31">
        <f t="shared" si="17"/>
        <v>305.68608</v>
      </c>
      <c r="AY25" s="131"/>
      <c r="AZ25" s="133"/>
      <c r="BA25" s="133">
        <f t="shared" si="18"/>
        <v>0</v>
      </c>
      <c r="BB25" s="133">
        <f>SUM(AG25:BA25)-AV25-AW25</f>
        <v>3611.9513799999995</v>
      </c>
      <c r="BC25" s="140"/>
      <c r="BD25" s="19">
        <f>AC25+AF25-BB25-BC25</f>
        <v>492.9936200000002</v>
      </c>
      <c r="BE25" s="21">
        <f>AB25-S25</f>
        <v>-1573.7799999999997</v>
      </c>
    </row>
    <row r="26" spans="1:57" s="28" customFormat="1" ht="12.75">
      <c r="A26" s="22" t="s">
        <v>5</v>
      </c>
      <c r="B26" s="23"/>
      <c r="C26" s="23">
        <f aca="true" t="shared" si="21" ref="C26:BB26">SUM(C14:C25)</f>
        <v>68144.7</v>
      </c>
      <c r="D26" s="23">
        <f t="shared" si="21"/>
        <v>12301.6325</v>
      </c>
      <c r="E26" s="24">
        <f t="shared" si="21"/>
        <v>6612.079999999999</v>
      </c>
      <c r="F26" s="24">
        <f t="shared" si="21"/>
        <v>237.76000000000005</v>
      </c>
      <c r="G26" s="24">
        <f t="shared" si="21"/>
        <v>8951.900000000001</v>
      </c>
      <c r="H26" s="24">
        <f t="shared" si="21"/>
        <v>321.67999999999995</v>
      </c>
      <c r="I26" s="24">
        <f t="shared" si="21"/>
        <v>16480.469999999998</v>
      </c>
      <c r="J26" s="24">
        <f t="shared" si="21"/>
        <v>584.7200000000001</v>
      </c>
      <c r="K26" s="24">
        <f t="shared" si="21"/>
        <v>11393.91</v>
      </c>
      <c r="L26" s="24">
        <f t="shared" si="21"/>
        <v>404.15999999999997</v>
      </c>
      <c r="M26" s="24">
        <f t="shared" si="21"/>
        <v>5289.82</v>
      </c>
      <c r="N26" s="24">
        <f t="shared" si="21"/>
        <v>190.24000000000004</v>
      </c>
      <c r="O26" s="24">
        <f t="shared" si="21"/>
        <v>0</v>
      </c>
      <c r="P26" s="24">
        <f t="shared" si="21"/>
        <v>0</v>
      </c>
      <c r="Q26" s="24">
        <f t="shared" si="21"/>
        <v>0</v>
      </c>
      <c r="R26" s="24">
        <f t="shared" si="21"/>
        <v>0</v>
      </c>
      <c r="S26" s="24">
        <f t="shared" si="21"/>
        <v>48728.179999999986</v>
      </c>
      <c r="T26" s="24">
        <f t="shared" si="21"/>
        <v>1738.5600000000002</v>
      </c>
      <c r="U26" s="25">
        <f t="shared" si="21"/>
        <v>3497.4500000000003</v>
      </c>
      <c r="V26" s="25">
        <f t="shared" si="21"/>
        <v>4732.42</v>
      </c>
      <c r="W26" s="25">
        <f t="shared" si="21"/>
        <v>8493.999999999998</v>
      </c>
      <c r="X26" s="25">
        <f t="shared" si="21"/>
        <v>5869.949999999999</v>
      </c>
      <c r="Y26" s="25">
        <f t="shared" si="21"/>
        <v>2797.96</v>
      </c>
      <c r="Z26" s="25">
        <f t="shared" si="21"/>
        <v>0</v>
      </c>
      <c r="AA26" s="25">
        <f t="shared" si="21"/>
        <v>0</v>
      </c>
      <c r="AB26" s="25">
        <f t="shared" si="21"/>
        <v>25391.780000000002</v>
      </c>
      <c r="AC26" s="25">
        <f t="shared" si="21"/>
        <v>39431.9725</v>
      </c>
      <c r="AD26" s="112">
        <f t="shared" si="21"/>
        <v>0</v>
      </c>
      <c r="AE26" s="112">
        <f t="shared" si="21"/>
        <v>0</v>
      </c>
      <c r="AF26" s="112"/>
      <c r="AG26" s="26">
        <f t="shared" si="21"/>
        <v>4569.24</v>
      </c>
      <c r="AH26" s="26">
        <f t="shared" si="21"/>
        <v>1529.7841779999999</v>
      </c>
      <c r="AI26" s="26">
        <f t="shared" si="21"/>
        <v>6387.926873749999</v>
      </c>
      <c r="AJ26" s="26">
        <f t="shared" si="21"/>
        <v>1149.826837275</v>
      </c>
      <c r="AK26" s="26">
        <f t="shared" si="21"/>
        <v>6209.083973950001</v>
      </c>
      <c r="AL26" s="26">
        <f t="shared" si="21"/>
        <v>1117.635115311</v>
      </c>
      <c r="AM26" s="26">
        <f t="shared" si="21"/>
        <v>14286.498055457629</v>
      </c>
      <c r="AN26" s="26">
        <f t="shared" si="21"/>
        <v>2571.5696499823725</v>
      </c>
      <c r="AO26" s="26">
        <f t="shared" si="21"/>
        <v>0</v>
      </c>
      <c r="AP26" s="26">
        <f t="shared" si="21"/>
        <v>0</v>
      </c>
      <c r="AQ26" s="26"/>
      <c r="AR26" s="26"/>
      <c r="AS26" s="95">
        <f t="shared" si="21"/>
        <v>9685.880000000001</v>
      </c>
      <c r="AT26" s="95">
        <f t="shared" si="21"/>
        <v>927.12</v>
      </c>
      <c r="AU26" s="95">
        <f t="shared" si="21"/>
        <v>1910.34</v>
      </c>
      <c r="AV26" s="26"/>
      <c r="AW26" s="26"/>
      <c r="AX26" s="26">
        <f t="shared" si="21"/>
        <v>2616.768</v>
      </c>
      <c r="AY26" s="26">
        <f t="shared" si="21"/>
        <v>0</v>
      </c>
      <c r="AZ26" s="26">
        <f t="shared" si="21"/>
        <v>0</v>
      </c>
      <c r="BA26" s="26">
        <f t="shared" si="21"/>
        <v>0</v>
      </c>
      <c r="BB26" s="26">
        <f t="shared" si="21"/>
        <v>52961.67268372601</v>
      </c>
      <c r="BC26" s="26">
        <f>SUM(BC14:BC25)</f>
        <v>0</v>
      </c>
      <c r="BD26" s="26">
        <f>SUM(BD14:BD25)</f>
        <v>-13529.700183726</v>
      </c>
      <c r="BE26" s="27">
        <f>SUM(BE14:BE25)</f>
        <v>-23336.399999999998</v>
      </c>
    </row>
    <row r="27" spans="1:57" s="28" customFormat="1" ht="12.75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112"/>
      <c r="AE27" s="112"/>
      <c r="AF27" s="11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95"/>
      <c r="AT27" s="95"/>
      <c r="AU27" s="95"/>
      <c r="AV27" s="26"/>
      <c r="AW27" s="26"/>
      <c r="AX27" s="26"/>
      <c r="AY27" s="26"/>
      <c r="AZ27" s="26"/>
      <c r="BA27" s="26"/>
      <c r="BB27" s="26"/>
      <c r="BC27" s="26"/>
      <c r="BD27" s="31"/>
      <c r="BE27" s="109"/>
    </row>
    <row r="28" spans="1:57" s="28" customFormat="1" ht="13.5" thickBot="1">
      <c r="A28" s="33" t="s">
        <v>54</v>
      </c>
      <c r="B28" s="146"/>
      <c r="C28" s="146">
        <f>C12+C26</f>
        <v>84589.215</v>
      </c>
      <c r="D28" s="146">
        <f aca="true" t="shared" si="22" ref="D28:BE28">D12+D26</f>
        <v>16259.88207555</v>
      </c>
      <c r="E28" s="146">
        <f t="shared" si="22"/>
        <v>8135.369999999999</v>
      </c>
      <c r="F28" s="146">
        <f t="shared" si="22"/>
        <v>305.32000000000005</v>
      </c>
      <c r="G28" s="146">
        <f t="shared" si="22"/>
        <v>11008.300000000001</v>
      </c>
      <c r="H28" s="146">
        <f t="shared" si="22"/>
        <v>412.87999999999994</v>
      </c>
      <c r="I28" s="146">
        <f t="shared" si="22"/>
        <v>19793.629999999997</v>
      </c>
      <c r="J28" s="146">
        <f t="shared" si="22"/>
        <v>731.6600000000001</v>
      </c>
      <c r="K28" s="146">
        <f t="shared" si="22"/>
        <v>13678.84</v>
      </c>
      <c r="L28" s="146">
        <f t="shared" si="22"/>
        <v>505.5</v>
      </c>
      <c r="M28" s="146">
        <f t="shared" si="22"/>
        <v>6508.469999999999</v>
      </c>
      <c r="N28" s="146">
        <f t="shared" si="22"/>
        <v>244.30000000000004</v>
      </c>
      <c r="O28" s="146">
        <f t="shared" si="22"/>
        <v>0</v>
      </c>
      <c r="P28" s="146">
        <f t="shared" si="22"/>
        <v>0</v>
      </c>
      <c r="Q28" s="146">
        <f t="shared" si="22"/>
        <v>0</v>
      </c>
      <c r="R28" s="146">
        <f t="shared" si="22"/>
        <v>0</v>
      </c>
      <c r="S28" s="146">
        <f t="shared" si="22"/>
        <v>59124.609999999986</v>
      </c>
      <c r="T28" s="146">
        <f t="shared" si="22"/>
        <v>2199.6600000000003</v>
      </c>
      <c r="U28" s="146">
        <f t="shared" si="22"/>
        <v>3988.61</v>
      </c>
      <c r="V28" s="146">
        <f t="shared" si="22"/>
        <v>5395.46</v>
      </c>
      <c r="W28" s="146">
        <f t="shared" si="22"/>
        <v>9563.779999999999</v>
      </c>
      <c r="X28" s="146">
        <f t="shared" si="22"/>
        <v>6606.669999999999</v>
      </c>
      <c r="Y28" s="146">
        <f t="shared" si="22"/>
        <v>3190.85</v>
      </c>
      <c r="Z28" s="146">
        <f t="shared" si="22"/>
        <v>0</v>
      </c>
      <c r="AA28" s="146">
        <f t="shared" si="22"/>
        <v>0</v>
      </c>
      <c r="AB28" s="146">
        <f t="shared" si="22"/>
        <v>28745.370000000003</v>
      </c>
      <c r="AC28" s="147">
        <f t="shared" si="22"/>
        <v>47204.912075550004</v>
      </c>
      <c r="AD28" s="147">
        <f t="shared" si="22"/>
        <v>0</v>
      </c>
      <c r="AE28" s="147">
        <f t="shared" si="22"/>
        <v>0</v>
      </c>
      <c r="AF28" s="147"/>
      <c r="AG28" s="146">
        <f t="shared" si="22"/>
        <v>5709.9</v>
      </c>
      <c r="AH28" s="146">
        <f t="shared" si="22"/>
        <v>1921.220668</v>
      </c>
      <c r="AI28" s="146">
        <f t="shared" si="22"/>
        <v>8005.712277749999</v>
      </c>
      <c r="AJ28" s="146">
        <f t="shared" si="22"/>
        <v>1441.028209995</v>
      </c>
      <c r="AK28" s="146">
        <f t="shared" si="22"/>
        <v>8091.67435739</v>
      </c>
      <c r="AL28" s="146">
        <f t="shared" si="22"/>
        <v>1456.5013843302</v>
      </c>
      <c r="AM28" s="146">
        <f t="shared" si="22"/>
        <v>17743.947701967627</v>
      </c>
      <c r="AN28" s="146">
        <f t="shared" si="22"/>
        <v>3193.9105863541727</v>
      </c>
      <c r="AO28" s="146">
        <f t="shared" si="22"/>
        <v>0</v>
      </c>
      <c r="AP28" s="146">
        <f t="shared" si="22"/>
        <v>0</v>
      </c>
      <c r="AQ28" s="146"/>
      <c r="AR28" s="146"/>
      <c r="AS28" s="146">
        <f t="shared" si="22"/>
        <v>11406.880000000001</v>
      </c>
      <c r="AT28" s="146">
        <f t="shared" si="22"/>
        <v>927.12</v>
      </c>
      <c r="AU28" s="146">
        <f t="shared" si="22"/>
        <v>2220.12</v>
      </c>
      <c r="AV28" s="146"/>
      <c r="AW28" s="146"/>
      <c r="AX28" s="146">
        <f t="shared" si="22"/>
        <v>2616.768</v>
      </c>
      <c r="AY28" s="146">
        <f t="shared" si="22"/>
        <v>0</v>
      </c>
      <c r="AZ28" s="146">
        <f t="shared" si="22"/>
        <v>0</v>
      </c>
      <c r="BA28" s="146">
        <f t="shared" si="22"/>
        <v>0</v>
      </c>
      <c r="BB28" s="146">
        <f t="shared" si="22"/>
        <v>64734.783185787004</v>
      </c>
      <c r="BC28" s="146">
        <f>BC12+BC26</f>
        <v>0</v>
      </c>
      <c r="BD28" s="146">
        <f>BD12+BD26</f>
        <v>-17529.871110237</v>
      </c>
      <c r="BE28" s="146">
        <f t="shared" si="22"/>
        <v>-30379.239999999998</v>
      </c>
    </row>
    <row r="29" spans="1:57" ht="12.75">
      <c r="A29" s="5" t="s">
        <v>89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2.75">
      <c r="A30" s="13" t="s">
        <v>45</v>
      </c>
      <c r="B30" s="150">
        <v>656.5</v>
      </c>
      <c r="C30" s="135">
        <f>B30*8.65</f>
        <v>5678.725</v>
      </c>
      <c r="D30" s="134">
        <f>C30-E30-F30-G30-H30-I30-J30-K30-L30-M30-N30</f>
        <v>1180.2150000000006</v>
      </c>
      <c r="E30" s="151">
        <v>572.58</v>
      </c>
      <c r="F30" s="151">
        <v>18.46</v>
      </c>
      <c r="G30" s="151">
        <v>776.19</v>
      </c>
      <c r="H30" s="151">
        <v>25.01</v>
      </c>
      <c r="I30" s="151">
        <v>1507.81</v>
      </c>
      <c r="J30" s="151">
        <v>48.6</v>
      </c>
      <c r="K30" s="151">
        <v>1043.38</v>
      </c>
      <c r="L30" s="151">
        <v>33.63</v>
      </c>
      <c r="M30" s="152">
        <v>458.08</v>
      </c>
      <c r="N30" s="153">
        <v>14.77</v>
      </c>
      <c r="O30" s="154">
        <v>0</v>
      </c>
      <c r="P30" s="154">
        <v>0</v>
      </c>
      <c r="Q30" s="154"/>
      <c r="R30" s="154"/>
      <c r="S30" s="151">
        <f>E30+G30+I30+K30+M30+O30+Q30</f>
        <v>4358.04</v>
      </c>
      <c r="T30" s="155">
        <f>P30+N30+L30+J30+H30+F30+R30</f>
        <v>140.47</v>
      </c>
      <c r="U30" s="151">
        <v>169.31</v>
      </c>
      <c r="V30" s="151">
        <v>229.33</v>
      </c>
      <c r="W30" s="151">
        <v>430.97</v>
      </c>
      <c r="X30" s="151">
        <v>298.06</v>
      </c>
      <c r="Y30" s="151">
        <v>135.47</v>
      </c>
      <c r="Z30" s="151">
        <v>0</v>
      </c>
      <c r="AA30" s="154">
        <v>0</v>
      </c>
      <c r="AB30" s="154">
        <f>SUM(U30:AA30)</f>
        <v>1263.14</v>
      </c>
      <c r="AC30" s="156">
        <f>D30+T30+AB30</f>
        <v>2583.8250000000007</v>
      </c>
      <c r="AD30" s="157">
        <f>P30+Z30</f>
        <v>0</v>
      </c>
      <c r="AE30" s="157">
        <f>R30+AA30</f>
        <v>0</v>
      </c>
      <c r="AF30" s="157"/>
      <c r="AG30" s="158">
        <f>0.6*B30</f>
        <v>393.9</v>
      </c>
      <c r="AH30" s="158">
        <f>B30*0.2</f>
        <v>131.3</v>
      </c>
      <c r="AI30" s="158">
        <f>1*B30</f>
        <v>656.5</v>
      </c>
      <c r="AJ30" s="158">
        <v>0</v>
      </c>
      <c r="AK30" s="158">
        <f>0.98*B30</f>
        <v>643.37</v>
      </c>
      <c r="AL30" s="158">
        <v>0</v>
      </c>
      <c r="AM30" s="158">
        <f>2.25*B30</f>
        <v>1477.125</v>
      </c>
      <c r="AN30" s="158">
        <v>0</v>
      </c>
      <c r="AO30" s="158"/>
      <c r="AP30" s="158">
        <v>0</v>
      </c>
      <c r="AQ30" s="159"/>
      <c r="AR30" s="159"/>
      <c r="AS30" s="160">
        <v>0</v>
      </c>
      <c r="AT30" s="160"/>
      <c r="AU30" s="160">
        <f>AT30*0.18</f>
        <v>0</v>
      </c>
      <c r="AV30" s="161">
        <v>508</v>
      </c>
      <c r="AW30" s="162">
        <v>0.45</v>
      </c>
      <c r="AX30" s="158">
        <f>AV30*AW30*1.4</f>
        <v>320.03999999999996</v>
      </c>
      <c r="AY30" s="131"/>
      <c r="AZ30" s="163"/>
      <c r="BA30" s="163">
        <f>AZ30*0.18</f>
        <v>0</v>
      </c>
      <c r="BB30" s="163">
        <f>SUM(AG30:BA30)-AV30-AW30</f>
        <v>3622.2349999999997</v>
      </c>
      <c r="BC30" s="164"/>
      <c r="BD30" s="31">
        <f>AC30+AF30-BB30-BC30</f>
        <v>-1038.409999999999</v>
      </c>
      <c r="BE30" s="31">
        <f>AB30-S30</f>
        <v>-3094.8999999999996</v>
      </c>
    </row>
    <row r="31" spans="1:57" ht="12.75">
      <c r="A31" s="13" t="s">
        <v>46</v>
      </c>
      <c r="B31" s="165">
        <v>656.5</v>
      </c>
      <c r="C31" s="135">
        <f>B31*8.65</f>
        <v>5678.725</v>
      </c>
      <c r="D31" s="134">
        <f>C31-E31-F31-G31-H31-I31-J31-K31-L31-M31-N31</f>
        <v>1180.2150000000006</v>
      </c>
      <c r="E31" s="166">
        <v>572.87</v>
      </c>
      <c r="F31" s="151">
        <v>18.46</v>
      </c>
      <c r="G31" s="151">
        <v>776.57</v>
      </c>
      <c r="H31" s="151">
        <v>25.01</v>
      </c>
      <c r="I31" s="151">
        <v>1507.29</v>
      </c>
      <c r="J31" s="151">
        <v>48.6</v>
      </c>
      <c r="K31" s="151">
        <v>1043.01</v>
      </c>
      <c r="L31" s="151">
        <v>33.63</v>
      </c>
      <c r="M31" s="152">
        <v>458.3</v>
      </c>
      <c r="N31" s="153">
        <v>14.77</v>
      </c>
      <c r="O31" s="154">
        <v>0</v>
      </c>
      <c r="P31" s="154">
        <v>0</v>
      </c>
      <c r="Q31" s="154">
        <v>0</v>
      </c>
      <c r="R31" s="154">
        <v>0</v>
      </c>
      <c r="S31" s="151">
        <f>E31+G31+I31+K31+M31+O31+Q31</f>
        <v>4358.04</v>
      </c>
      <c r="T31" s="155">
        <f>P31+N31+L31+J31+H31+F31+R31</f>
        <v>140.47</v>
      </c>
      <c r="U31" s="151">
        <v>308.42</v>
      </c>
      <c r="V31" s="151">
        <v>418.01</v>
      </c>
      <c r="W31" s="151">
        <v>805.99</v>
      </c>
      <c r="X31" s="151">
        <v>557.68</v>
      </c>
      <c r="Y31" s="151">
        <v>246.73</v>
      </c>
      <c r="Z31" s="151">
        <v>0</v>
      </c>
      <c r="AA31" s="154">
        <v>0</v>
      </c>
      <c r="AB31" s="154">
        <f>SUM(U31:AA31)</f>
        <v>2336.83</v>
      </c>
      <c r="AC31" s="156">
        <f>D31+T31+AB31</f>
        <v>3657.5150000000003</v>
      </c>
      <c r="AD31" s="157">
        <f>P31+Z31</f>
        <v>0</v>
      </c>
      <c r="AE31" s="157">
        <f>R31+AA31</f>
        <v>0</v>
      </c>
      <c r="AF31" s="157"/>
      <c r="AG31" s="158">
        <f>0.6*B31</f>
        <v>393.9</v>
      </c>
      <c r="AH31" s="158">
        <f>B31*0.2</f>
        <v>131.3</v>
      </c>
      <c r="AI31" s="158">
        <f>1*B31</f>
        <v>656.5</v>
      </c>
      <c r="AJ31" s="158">
        <v>0</v>
      </c>
      <c r="AK31" s="158">
        <f>0.98*B31</f>
        <v>643.37</v>
      </c>
      <c r="AL31" s="158">
        <v>0</v>
      </c>
      <c r="AM31" s="158">
        <f>2.25*B31</f>
        <v>1477.125</v>
      </c>
      <c r="AN31" s="158">
        <v>0</v>
      </c>
      <c r="AO31" s="158"/>
      <c r="AP31" s="158"/>
      <c r="AQ31" s="159"/>
      <c r="AR31" s="159"/>
      <c r="AS31" s="160"/>
      <c r="AT31" s="160"/>
      <c r="AU31" s="160">
        <f>AT31*0.18</f>
        <v>0</v>
      </c>
      <c r="AV31" s="161">
        <v>407</v>
      </c>
      <c r="AW31" s="162">
        <v>0.45</v>
      </c>
      <c r="AX31" s="158">
        <f>AV31*AW31*1.4</f>
        <v>256.40999999999997</v>
      </c>
      <c r="AY31" s="131"/>
      <c r="AZ31" s="163"/>
      <c r="BA31" s="163">
        <f>AZ31*0.18</f>
        <v>0</v>
      </c>
      <c r="BB31" s="163">
        <f>SUM(AG31:BA31)-AV31-AW31</f>
        <v>3558.605</v>
      </c>
      <c r="BC31" s="164"/>
      <c r="BD31" s="31">
        <f aca="true" t="shared" si="23" ref="BD31:BD41">AC31+AF31-BB31-BC31</f>
        <v>98.91000000000031</v>
      </c>
      <c r="BE31" s="31">
        <f aca="true" t="shared" si="24" ref="BE31:BE41">AB31-S31</f>
        <v>-2021.21</v>
      </c>
    </row>
    <row r="32" spans="1:57" ht="12.75">
      <c r="A32" s="13" t="s">
        <v>47</v>
      </c>
      <c r="B32" s="150">
        <v>656.5</v>
      </c>
      <c r="C32" s="135">
        <f>B32*8.65</f>
        <v>5678.725</v>
      </c>
      <c r="D32" s="134">
        <f>C32-E32-F32-G32-H32-I32-J32-K32-L32-M32-N32</f>
        <v>1180.1850000000006</v>
      </c>
      <c r="E32" s="151">
        <v>572.58</v>
      </c>
      <c r="F32" s="151">
        <v>18.46</v>
      </c>
      <c r="G32" s="151">
        <v>776.2</v>
      </c>
      <c r="H32" s="151">
        <v>25.01</v>
      </c>
      <c r="I32" s="151">
        <v>1507.82</v>
      </c>
      <c r="J32" s="151">
        <v>48.6</v>
      </c>
      <c r="K32" s="151">
        <v>1043.38</v>
      </c>
      <c r="L32" s="151">
        <v>33.63</v>
      </c>
      <c r="M32" s="152">
        <v>458.09</v>
      </c>
      <c r="N32" s="153">
        <v>14.77</v>
      </c>
      <c r="O32" s="154">
        <v>0</v>
      </c>
      <c r="P32" s="154">
        <v>0</v>
      </c>
      <c r="Q32" s="154">
        <v>0</v>
      </c>
      <c r="R32" s="154">
        <v>0</v>
      </c>
      <c r="S32" s="151">
        <f>E32+G32+I32+K32+M32+O32+Q32</f>
        <v>4358.070000000001</v>
      </c>
      <c r="T32" s="155">
        <f>P32+N32+L32+J32+H32+F32+R32</f>
        <v>140.47</v>
      </c>
      <c r="U32" s="151">
        <v>356.67</v>
      </c>
      <c r="V32" s="151">
        <v>483.38</v>
      </c>
      <c r="W32" s="151">
        <v>928.29</v>
      </c>
      <c r="X32" s="151">
        <v>642.32</v>
      </c>
      <c r="Y32" s="151">
        <v>285.35</v>
      </c>
      <c r="Z32" s="151">
        <v>0</v>
      </c>
      <c r="AA32" s="154">
        <v>0</v>
      </c>
      <c r="AB32" s="154">
        <f>SUM(U32:AA32)</f>
        <v>2696.0099999999998</v>
      </c>
      <c r="AC32" s="156">
        <f>D32+T32+AB32</f>
        <v>4016.6650000000004</v>
      </c>
      <c r="AD32" s="157">
        <f>P32+Z32</f>
        <v>0</v>
      </c>
      <c r="AE32" s="157">
        <f>R32+AA32</f>
        <v>0</v>
      </c>
      <c r="AF32" s="157"/>
      <c r="AG32" s="158">
        <f>0.6*B32</f>
        <v>393.9</v>
      </c>
      <c r="AH32" s="158">
        <f>B32*0.2</f>
        <v>131.3</v>
      </c>
      <c r="AI32" s="158">
        <f>1*B32</f>
        <v>656.5</v>
      </c>
      <c r="AJ32" s="158">
        <v>0</v>
      </c>
      <c r="AK32" s="158">
        <f>0.98*B32</f>
        <v>643.37</v>
      </c>
      <c r="AL32" s="158">
        <v>0</v>
      </c>
      <c r="AM32" s="158">
        <f>2.25*B32</f>
        <v>1477.125</v>
      </c>
      <c r="AN32" s="158">
        <v>0</v>
      </c>
      <c r="AO32" s="158"/>
      <c r="AP32" s="158"/>
      <c r="AQ32" s="159"/>
      <c r="AR32" s="159"/>
      <c r="AS32" s="160">
        <v>1267</v>
      </c>
      <c r="AT32" s="160"/>
      <c r="AU32" s="160">
        <f>AT32*0.18</f>
        <v>0</v>
      </c>
      <c r="AV32" s="161">
        <v>383</v>
      </c>
      <c r="AW32" s="162">
        <v>0.45</v>
      </c>
      <c r="AX32" s="158">
        <f>AV32*AW32*1.4</f>
        <v>241.28999999999996</v>
      </c>
      <c r="AY32" s="131"/>
      <c r="AZ32" s="163"/>
      <c r="BA32" s="163">
        <f>AZ32*0.18</f>
        <v>0</v>
      </c>
      <c r="BB32" s="163">
        <f>SUM(AG32:BA32)-AV32-AW32</f>
        <v>4810.485</v>
      </c>
      <c r="BC32" s="164"/>
      <c r="BD32" s="31">
        <f t="shared" si="23"/>
        <v>-793.8199999999993</v>
      </c>
      <c r="BE32" s="31">
        <f t="shared" si="24"/>
        <v>-1662.0600000000009</v>
      </c>
    </row>
    <row r="33" spans="1:57" ht="12.75">
      <c r="A33" s="13" t="s">
        <v>48</v>
      </c>
      <c r="B33" s="150">
        <v>656.5</v>
      </c>
      <c r="C33" s="135">
        <f>B33*8.65</f>
        <v>5678.725</v>
      </c>
      <c r="D33" s="118">
        <f>C33-E33-F33-G33-H33-I33-J33-K33-L33-M33-N33</f>
        <v>1180.215000000001</v>
      </c>
      <c r="E33" s="151">
        <v>572.58</v>
      </c>
      <c r="F33" s="151">
        <v>18.46</v>
      </c>
      <c r="G33" s="151">
        <v>776.19</v>
      </c>
      <c r="H33" s="151">
        <v>25.01</v>
      </c>
      <c r="I33" s="151">
        <v>1507.82</v>
      </c>
      <c r="J33" s="151">
        <v>48.6</v>
      </c>
      <c r="K33" s="151">
        <v>1043.37</v>
      </c>
      <c r="L33" s="151">
        <v>33.63</v>
      </c>
      <c r="M33" s="152">
        <v>458.08</v>
      </c>
      <c r="N33" s="153">
        <v>14.77</v>
      </c>
      <c r="O33" s="154">
        <v>0</v>
      </c>
      <c r="P33" s="154">
        <v>0</v>
      </c>
      <c r="Q33" s="154"/>
      <c r="R33" s="154"/>
      <c r="S33" s="151">
        <f>E33+G33+I33+K33+M33+O33+Q33</f>
        <v>4358.04</v>
      </c>
      <c r="T33" s="155">
        <f>P33+N33+L33+J33+H33+F33+R33</f>
        <v>140.47</v>
      </c>
      <c r="U33" s="151">
        <v>184.62</v>
      </c>
      <c r="V33" s="151">
        <v>249.25</v>
      </c>
      <c r="W33" s="151">
        <v>401.53</v>
      </c>
      <c r="X33" s="151">
        <v>276.94</v>
      </c>
      <c r="Y33" s="151">
        <v>147.68</v>
      </c>
      <c r="Z33" s="151">
        <v>0</v>
      </c>
      <c r="AA33" s="154">
        <v>0</v>
      </c>
      <c r="AB33" s="154">
        <f>SUM(U33:AA33)</f>
        <v>1260.02</v>
      </c>
      <c r="AC33" s="156">
        <f>D33+T33+AB33</f>
        <v>2580.705000000001</v>
      </c>
      <c r="AD33" s="157">
        <f>P33+Z33</f>
        <v>0</v>
      </c>
      <c r="AE33" s="157">
        <f>R33+AA33</f>
        <v>0</v>
      </c>
      <c r="AF33" s="157"/>
      <c r="AG33" s="158">
        <f>0.6*B33</f>
        <v>393.9</v>
      </c>
      <c r="AH33" s="158">
        <f>B33*0.2</f>
        <v>131.3</v>
      </c>
      <c r="AI33" s="158">
        <f>1*B33</f>
        <v>656.5</v>
      </c>
      <c r="AJ33" s="158">
        <v>0</v>
      </c>
      <c r="AK33" s="158">
        <f>0.98*B33</f>
        <v>643.37</v>
      </c>
      <c r="AL33" s="158">
        <v>0</v>
      </c>
      <c r="AM33" s="158">
        <f>2.25*B33</f>
        <v>1477.125</v>
      </c>
      <c r="AN33" s="158">
        <v>0</v>
      </c>
      <c r="AO33" s="158"/>
      <c r="AP33" s="158"/>
      <c r="AQ33" s="159"/>
      <c r="AR33" s="159"/>
      <c r="AS33" s="160"/>
      <c r="AT33" s="160"/>
      <c r="AU33" s="160">
        <f>AT33*0.18</f>
        <v>0</v>
      </c>
      <c r="AV33" s="161">
        <v>307</v>
      </c>
      <c r="AW33" s="162">
        <v>0.45</v>
      </c>
      <c r="AX33" s="158">
        <f>AV33*AW33*1.4</f>
        <v>193.41</v>
      </c>
      <c r="AY33" s="131"/>
      <c r="AZ33" s="163"/>
      <c r="BA33" s="163">
        <f>AZ33*0.18</f>
        <v>0</v>
      </c>
      <c r="BB33" s="163">
        <f>SUM(AG33:BA33)-AV33-AW33</f>
        <v>3495.605</v>
      </c>
      <c r="BC33" s="164"/>
      <c r="BD33" s="31">
        <f t="shared" si="23"/>
        <v>-914.8999999999992</v>
      </c>
      <c r="BE33" s="31">
        <f t="shared" si="24"/>
        <v>-3098.02</v>
      </c>
    </row>
    <row r="34" spans="1:57" ht="12.75">
      <c r="A34" s="13" t="s">
        <v>49</v>
      </c>
      <c r="B34" s="150">
        <v>656.5</v>
      </c>
      <c r="C34" s="135">
        <f>B34*8.65</f>
        <v>5678.725</v>
      </c>
      <c r="D34" s="134">
        <f>C34-E34-F34-G34-H34-I34-J34-K34-L34-M34-N34</f>
        <v>1180.215000000001</v>
      </c>
      <c r="E34" s="151">
        <v>572.58</v>
      </c>
      <c r="F34" s="151">
        <v>18.46</v>
      </c>
      <c r="G34" s="151">
        <v>776.19</v>
      </c>
      <c r="H34" s="151">
        <v>25.01</v>
      </c>
      <c r="I34" s="151">
        <v>1507.82</v>
      </c>
      <c r="J34" s="151">
        <v>48.6</v>
      </c>
      <c r="K34" s="151">
        <v>1043.37</v>
      </c>
      <c r="L34" s="151">
        <v>33.63</v>
      </c>
      <c r="M34" s="152">
        <v>458.08</v>
      </c>
      <c r="N34" s="153">
        <v>14.77</v>
      </c>
      <c r="O34" s="154">
        <v>0</v>
      </c>
      <c r="P34" s="154">
        <v>0</v>
      </c>
      <c r="Q34" s="154"/>
      <c r="R34" s="154"/>
      <c r="S34" s="151">
        <f>E34+G34+I34+K34+M34+O34+Q34</f>
        <v>4358.04</v>
      </c>
      <c r="T34" s="155">
        <f>P34+N34+L34+J34+H34+F34+R34</f>
        <v>140.47</v>
      </c>
      <c r="U34" s="167">
        <v>322.5</v>
      </c>
      <c r="V34" s="167">
        <v>437.01</v>
      </c>
      <c r="W34" s="167">
        <v>836.42</v>
      </c>
      <c r="X34" s="167">
        <v>578.72</v>
      </c>
      <c r="Y34" s="167">
        <v>258.01</v>
      </c>
      <c r="Z34" s="167">
        <v>0</v>
      </c>
      <c r="AA34" s="168">
        <v>0</v>
      </c>
      <c r="AB34" s="154">
        <f>SUM(U34:AA34)</f>
        <v>2432.66</v>
      </c>
      <c r="AC34" s="156">
        <f>D34+T34+AB34</f>
        <v>3753.345000000001</v>
      </c>
      <c r="AD34" s="157">
        <f>P34+Z34</f>
        <v>0</v>
      </c>
      <c r="AE34" s="157">
        <f>R34+AA34</f>
        <v>0</v>
      </c>
      <c r="AF34" s="157"/>
      <c r="AG34" s="158">
        <f>0.6*B34</f>
        <v>393.9</v>
      </c>
      <c r="AH34" s="158">
        <f>B34*0.2</f>
        <v>131.3</v>
      </c>
      <c r="AI34" s="158">
        <f>1*B34</f>
        <v>656.5</v>
      </c>
      <c r="AJ34" s="158">
        <v>0</v>
      </c>
      <c r="AK34" s="158">
        <f>0.98*B34</f>
        <v>643.37</v>
      </c>
      <c r="AL34" s="158">
        <v>0</v>
      </c>
      <c r="AM34" s="158">
        <f>2.25*B34</f>
        <v>1477.125</v>
      </c>
      <c r="AN34" s="158">
        <v>0</v>
      </c>
      <c r="AO34" s="158"/>
      <c r="AP34" s="158"/>
      <c r="AQ34" s="159"/>
      <c r="AR34" s="159"/>
      <c r="AS34" s="160">
        <v>323</v>
      </c>
      <c r="AT34" s="160"/>
      <c r="AU34" s="160">
        <f>AT34*0.18</f>
        <v>0</v>
      </c>
      <c r="AV34" s="161">
        <v>263</v>
      </c>
      <c r="AW34" s="162">
        <v>0.45</v>
      </c>
      <c r="AX34" s="158">
        <f>AV34*AW34*1.4</f>
        <v>165.69</v>
      </c>
      <c r="AY34" s="131"/>
      <c r="AZ34" s="163"/>
      <c r="BA34" s="163">
        <f>AZ34*0.18</f>
        <v>0</v>
      </c>
      <c r="BB34" s="163">
        <f>SUM(AG34:BA34)-AV34-AW34</f>
        <v>3790.885</v>
      </c>
      <c r="BC34" s="164"/>
      <c r="BD34" s="31">
        <f t="shared" si="23"/>
        <v>-37.539999999999054</v>
      </c>
      <c r="BE34" s="31">
        <f t="shared" si="24"/>
        <v>-1925.38</v>
      </c>
    </row>
    <row r="35" spans="1:57" ht="12.75">
      <c r="A35" s="13" t="s">
        <v>50</v>
      </c>
      <c r="B35" s="150">
        <v>656.5</v>
      </c>
      <c r="C35" s="135">
        <f aca="true" t="shared" si="25" ref="C35:C41">B35*8.65</f>
        <v>5678.725</v>
      </c>
      <c r="D35" s="118">
        <f aca="true" t="shared" si="26" ref="D35:D41">C35-E35-F35-G35-H35-I35-J35-K35-L35-M35-N35</f>
        <v>1180.215000000001</v>
      </c>
      <c r="E35" s="151">
        <v>572.58</v>
      </c>
      <c r="F35" s="151">
        <v>18.46</v>
      </c>
      <c r="G35" s="151">
        <v>776.19</v>
      </c>
      <c r="H35" s="151">
        <v>25.01</v>
      </c>
      <c r="I35" s="151">
        <v>1507.82</v>
      </c>
      <c r="J35" s="151">
        <v>48.6</v>
      </c>
      <c r="K35" s="151">
        <v>1043.37</v>
      </c>
      <c r="L35" s="151">
        <v>33.63</v>
      </c>
      <c r="M35" s="152">
        <v>458.08</v>
      </c>
      <c r="N35" s="153">
        <v>14.77</v>
      </c>
      <c r="O35" s="154">
        <v>0</v>
      </c>
      <c r="P35" s="154">
        <v>0</v>
      </c>
      <c r="Q35" s="154">
        <v>0</v>
      </c>
      <c r="R35" s="154">
        <v>0</v>
      </c>
      <c r="S35" s="151">
        <f aca="true" t="shared" si="27" ref="S35:S41">E35+G35+I35+K35+M35+O35+Q35</f>
        <v>4358.04</v>
      </c>
      <c r="T35" s="155">
        <f aca="true" t="shared" si="28" ref="T35:T41">P35+N35+L35+J35+H35+F35+R35</f>
        <v>140.47</v>
      </c>
      <c r="U35" s="151">
        <v>312.47</v>
      </c>
      <c r="V35" s="151">
        <v>423.59</v>
      </c>
      <c r="W35" s="151">
        <v>821.25</v>
      </c>
      <c r="X35" s="151">
        <v>568.21</v>
      </c>
      <c r="Y35" s="151">
        <v>249.98</v>
      </c>
      <c r="Z35" s="151">
        <v>0</v>
      </c>
      <c r="AA35" s="154">
        <v>0</v>
      </c>
      <c r="AB35" s="154">
        <f aca="true" t="shared" si="29" ref="AB35:AB41">SUM(U35:AA35)</f>
        <v>2375.5</v>
      </c>
      <c r="AC35" s="156">
        <f aca="true" t="shared" si="30" ref="AC35:AC41">D35+T35+AB35</f>
        <v>3696.1850000000013</v>
      </c>
      <c r="AD35" s="157">
        <f aca="true" t="shared" si="31" ref="AD35:AD41">P35+Z35</f>
        <v>0</v>
      </c>
      <c r="AE35" s="157">
        <f aca="true" t="shared" si="32" ref="AE35:AE41">R35+AA35</f>
        <v>0</v>
      </c>
      <c r="AF35" s="157"/>
      <c r="AG35" s="158">
        <f aca="true" t="shared" si="33" ref="AG35:AG41">0.6*B35</f>
        <v>393.9</v>
      </c>
      <c r="AH35" s="158">
        <f aca="true" t="shared" si="34" ref="AH35:AH41">B35*0.2</f>
        <v>131.3</v>
      </c>
      <c r="AI35" s="158">
        <f aca="true" t="shared" si="35" ref="AI35:AI41">1*B35</f>
        <v>656.5</v>
      </c>
      <c r="AJ35" s="158">
        <v>0</v>
      </c>
      <c r="AK35" s="158">
        <f aca="true" t="shared" si="36" ref="AK35:AK41">0.98*B35</f>
        <v>643.37</v>
      </c>
      <c r="AL35" s="158">
        <v>0</v>
      </c>
      <c r="AM35" s="158">
        <f aca="true" t="shared" si="37" ref="AM35:AM41">2.25*B35</f>
        <v>1477.125</v>
      </c>
      <c r="AN35" s="158">
        <v>0</v>
      </c>
      <c r="AO35" s="158"/>
      <c r="AP35" s="158"/>
      <c r="AQ35" s="159"/>
      <c r="AR35" s="159"/>
      <c r="AS35" s="160">
        <v>8936</v>
      </c>
      <c r="AT35" s="160"/>
      <c r="AU35" s="160">
        <f aca="true" t="shared" si="38" ref="AU35:AU41">AT35*0.18</f>
        <v>0</v>
      </c>
      <c r="AV35" s="161">
        <v>233</v>
      </c>
      <c r="AW35" s="162">
        <v>0.45</v>
      </c>
      <c r="AX35" s="158">
        <f aca="true" t="shared" si="39" ref="AX35:AX41">AV35*AW35*1.4</f>
        <v>146.79</v>
      </c>
      <c r="AY35" s="131"/>
      <c r="AZ35" s="163"/>
      <c r="BA35" s="163">
        <f aca="true" t="shared" si="40" ref="BA35:BA41">AZ35*0.18</f>
        <v>0</v>
      </c>
      <c r="BB35" s="163">
        <f aca="true" t="shared" si="41" ref="BB35:BB41">SUM(AG35:BA35)-AV35-AW35</f>
        <v>12384.985</v>
      </c>
      <c r="BC35" s="164"/>
      <c r="BD35" s="31">
        <f t="shared" si="23"/>
        <v>-8688.8</v>
      </c>
      <c r="BE35" s="31">
        <f t="shared" si="24"/>
        <v>-1982.54</v>
      </c>
    </row>
    <row r="36" spans="1:57" ht="12.75">
      <c r="A36" s="13" t="s">
        <v>51</v>
      </c>
      <c r="B36" s="150">
        <v>656.5</v>
      </c>
      <c r="C36" s="135">
        <f t="shared" si="25"/>
        <v>5678.725</v>
      </c>
      <c r="D36" s="118">
        <f t="shared" si="26"/>
        <v>1180.2150000000006</v>
      </c>
      <c r="E36" s="166">
        <v>591.04</v>
      </c>
      <c r="F36" s="151">
        <v>0</v>
      </c>
      <c r="G36" s="151">
        <v>801.2</v>
      </c>
      <c r="H36" s="151">
        <v>0</v>
      </c>
      <c r="I36" s="151">
        <v>1556.41</v>
      </c>
      <c r="J36" s="151">
        <v>0</v>
      </c>
      <c r="K36" s="151">
        <v>1077.01</v>
      </c>
      <c r="L36" s="151">
        <v>0</v>
      </c>
      <c r="M36" s="152">
        <v>472.85</v>
      </c>
      <c r="N36" s="153">
        <v>0</v>
      </c>
      <c r="O36" s="154">
        <v>0</v>
      </c>
      <c r="P36" s="154">
        <v>0</v>
      </c>
      <c r="Q36" s="154"/>
      <c r="R36" s="154"/>
      <c r="S36" s="151">
        <f t="shared" si="27"/>
        <v>4498.51</v>
      </c>
      <c r="T36" s="155">
        <f t="shared" si="28"/>
        <v>0</v>
      </c>
      <c r="U36" s="166">
        <v>297.5</v>
      </c>
      <c r="V36" s="151">
        <v>403.18</v>
      </c>
      <c r="W36" s="151">
        <v>774.66</v>
      </c>
      <c r="X36" s="151">
        <v>535.97</v>
      </c>
      <c r="Y36" s="151">
        <v>238.03</v>
      </c>
      <c r="Z36" s="151">
        <v>0</v>
      </c>
      <c r="AA36" s="154">
        <v>0</v>
      </c>
      <c r="AB36" s="154">
        <f t="shared" si="29"/>
        <v>2249.34</v>
      </c>
      <c r="AC36" s="156">
        <f t="shared" si="30"/>
        <v>3429.5550000000007</v>
      </c>
      <c r="AD36" s="157">
        <f t="shared" si="31"/>
        <v>0</v>
      </c>
      <c r="AE36" s="157">
        <f t="shared" si="32"/>
        <v>0</v>
      </c>
      <c r="AF36" s="157"/>
      <c r="AG36" s="158">
        <f t="shared" si="33"/>
        <v>393.9</v>
      </c>
      <c r="AH36" s="158">
        <f t="shared" si="34"/>
        <v>131.3</v>
      </c>
      <c r="AI36" s="158">
        <f t="shared" si="35"/>
        <v>656.5</v>
      </c>
      <c r="AJ36" s="158">
        <v>0</v>
      </c>
      <c r="AK36" s="158">
        <f t="shared" si="36"/>
        <v>643.37</v>
      </c>
      <c r="AL36" s="158">
        <v>0</v>
      </c>
      <c r="AM36" s="158">
        <f t="shared" si="37"/>
        <v>1477.125</v>
      </c>
      <c r="AN36" s="158">
        <v>0</v>
      </c>
      <c r="AO36" s="158"/>
      <c r="AP36" s="158"/>
      <c r="AQ36" s="159"/>
      <c r="AR36" s="159"/>
      <c r="AS36" s="160"/>
      <c r="AT36" s="160">
        <f>145.76</f>
        <v>145.76</v>
      </c>
      <c r="AU36" s="160">
        <f t="shared" si="38"/>
        <v>26.2368</v>
      </c>
      <c r="AV36" s="161">
        <v>248</v>
      </c>
      <c r="AW36" s="162">
        <v>0.45</v>
      </c>
      <c r="AX36" s="158">
        <f t="shared" si="39"/>
        <v>156.24</v>
      </c>
      <c r="AY36" s="131"/>
      <c r="AZ36" s="163"/>
      <c r="BA36" s="163">
        <f t="shared" si="40"/>
        <v>0</v>
      </c>
      <c r="BB36" s="163">
        <f t="shared" si="41"/>
        <v>3630.4318000000003</v>
      </c>
      <c r="BC36" s="164"/>
      <c r="BD36" s="31">
        <f t="shared" si="23"/>
        <v>-200.87679999999955</v>
      </c>
      <c r="BE36" s="31">
        <f t="shared" si="24"/>
        <v>-2249.17</v>
      </c>
    </row>
    <row r="37" spans="1:57" ht="12.75">
      <c r="A37" s="13" t="s">
        <v>52</v>
      </c>
      <c r="B37" s="150">
        <v>656.5</v>
      </c>
      <c r="C37" s="135">
        <f t="shared" si="25"/>
        <v>5678.725</v>
      </c>
      <c r="D37" s="118">
        <f t="shared" si="26"/>
        <v>1180.2350000000008</v>
      </c>
      <c r="E37" s="166">
        <v>591.04</v>
      </c>
      <c r="F37" s="151">
        <v>0</v>
      </c>
      <c r="G37" s="151">
        <v>801.2</v>
      </c>
      <c r="H37" s="151">
        <v>0</v>
      </c>
      <c r="I37" s="151">
        <v>1556.41</v>
      </c>
      <c r="J37" s="151">
        <v>0</v>
      </c>
      <c r="K37" s="151">
        <v>1077</v>
      </c>
      <c r="L37" s="151">
        <v>0</v>
      </c>
      <c r="M37" s="152">
        <v>472.84</v>
      </c>
      <c r="N37" s="153">
        <v>0</v>
      </c>
      <c r="O37" s="154">
        <v>0</v>
      </c>
      <c r="P37" s="154">
        <v>0</v>
      </c>
      <c r="Q37" s="154"/>
      <c r="R37" s="154"/>
      <c r="S37" s="151">
        <f t="shared" si="27"/>
        <v>4498.49</v>
      </c>
      <c r="T37" s="155">
        <f t="shared" si="28"/>
        <v>0</v>
      </c>
      <c r="U37" s="167">
        <v>230.44</v>
      </c>
      <c r="V37" s="167">
        <v>312.38</v>
      </c>
      <c r="W37" s="167">
        <v>604.21</v>
      </c>
      <c r="X37" s="167">
        <v>418.04</v>
      </c>
      <c r="Y37" s="167">
        <v>184.38</v>
      </c>
      <c r="Z37" s="167">
        <v>0</v>
      </c>
      <c r="AA37" s="168">
        <v>0</v>
      </c>
      <c r="AB37" s="154">
        <f t="shared" si="29"/>
        <v>1749.4499999999998</v>
      </c>
      <c r="AC37" s="156">
        <f t="shared" si="30"/>
        <v>2929.6850000000004</v>
      </c>
      <c r="AD37" s="157">
        <f t="shared" si="31"/>
        <v>0</v>
      </c>
      <c r="AE37" s="157">
        <f t="shared" si="32"/>
        <v>0</v>
      </c>
      <c r="AF37" s="157"/>
      <c r="AG37" s="158">
        <f t="shared" si="33"/>
        <v>393.9</v>
      </c>
      <c r="AH37" s="158">
        <f t="shared" si="34"/>
        <v>131.3</v>
      </c>
      <c r="AI37" s="158">
        <f t="shared" si="35"/>
        <v>656.5</v>
      </c>
      <c r="AJ37" s="158">
        <v>0</v>
      </c>
      <c r="AK37" s="158">
        <f t="shared" si="36"/>
        <v>643.37</v>
      </c>
      <c r="AL37" s="158">
        <v>0</v>
      </c>
      <c r="AM37" s="158">
        <f t="shared" si="37"/>
        <v>1477.125</v>
      </c>
      <c r="AN37" s="158">
        <v>0</v>
      </c>
      <c r="AO37" s="158"/>
      <c r="AP37" s="158"/>
      <c r="AQ37" s="159"/>
      <c r="AR37" s="159"/>
      <c r="AS37" s="160">
        <v>15276</v>
      </c>
      <c r="AT37" s="160">
        <f>47.8</f>
        <v>47.8</v>
      </c>
      <c r="AU37" s="160">
        <v>0</v>
      </c>
      <c r="AV37" s="161">
        <v>293</v>
      </c>
      <c r="AW37" s="162">
        <v>0.45</v>
      </c>
      <c r="AX37" s="158">
        <f t="shared" si="39"/>
        <v>184.58999999999997</v>
      </c>
      <c r="AY37" s="131"/>
      <c r="AZ37" s="163"/>
      <c r="BA37" s="163">
        <f t="shared" si="40"/>
        <v>0</v>
      </c>
      <c r="BB37" s="163">
        <f t="shared" si="41"/>
        <v>18810.585</v>
      </c>
      <c r="BC37" s="164"/>
      <c r="BD37" s="31">
        <f t="shared" si="23"/>
        <v>-15880.899999999998</v>
      </c>
      <c r="BE37" s="31">
        <f t="shared" si="24"/>
        <v>-2749.04</v>
      </c>
    </row>
    <row r="38" spans="1:57" ht="12.75">
      <c r="A38" s="13" t="s">
        <v>53</v>
      </c>
      <c r="B38" s="150">
        <v>656.5</v>
      </c>
      <c r="C38" s="135">
        <f t="shared" si="25"/>
        <v>5678.725</v>
      </c>
      <c r="D38" s="118">
        <f t="shared" si="26"/>
        <v>1180.2150000000006</v>
      </c>
      <c r="E38" s="151">
        <v>591.04</v>
      </c>
      <c r="F38" s="151">
        <v>0</v>
      </c>
      <c r="G38" s="151">
        <v>801.2</v>
      </c>
      <c r="H38" s="151">
        <v>0</v>
      </c>
      <c r="I38" s="151">
        <v>1556.41</v>
      </c>
      <c r="J38" s="151">
        <v>0</v>
      </c>
      <c r="K38" s="151">
        <v>1077.01</v>
      </c>
      <c r="L38" s="151">
        <v>0</v>
      </c>
      <c r="M38" s="152">
        <v>472.85</v>
      </c>
      <c r="N38" s="153">
        <v>0</v>
      </c>
      <c r="O38" s="154">
        <v>0</v>
      </c>
      <c r="P38" s="154">
        <v>0</v>
      </c>
      <c r="Q38" s="154"/>
      <c r="R38" s="154"/>
      <c r="S38" s="151">
        <f t="shared" si="27"/>
        <v>4498.51</v>
      </c>
      <c r="T38" s="155">
        <f t="shared" si="28"/>
        <v>0</v>
      </c>
      <c r="U38" s="151">
        <v>435.71</v>
      </c>
      <c r="V38" s="151">
        <v>590.56</v>
      </c>
      <c r="W38" s="151">
        <v>1138.83</v>
      </c>
      <c r="X38" s="151">
        <v>787.93</v>
      </c>
      <c r="Y38" s="151">
        <v>348.58</v>
      </c>
      <c r="Z38" s="151">
        <v>0</v>
      </c>
      <c r="AA38" s="154">
        <v>0</v>
      </c>
      <c r="AB38" s="154">
        <f t="shared" si="29"/>
        <v>3301.6099999999997</v>
      </c>
      <c r="AC38" s="156">
        <f t="shared" si="30"/>
        <v>4481.825000000001</v>
      </c>
      <c r="AD38" s="157">
        <f t="shared" si="31"/>
        <v>0</v>
      </c>
      <c r="AE38" s="157">
        <f t="shared" si="32"/>
        <v>0</v>
      </c>
      <c r="AF38" s="157"/>
      <c r="AG38" s="158">
        <f t="shared" si="33"/>
        <v>393.9</v>
      </c>
      <c r="AH38" s="158">
        <f t="shared" si="34"/>
        <v>131.3</v>
      </c>
      <c r="AI38" s="158">
        <f t="shared" si="35"/>
        <v>656.5</v>
      </c>
      <c r="AJ38" s="158">
        <v>0</v>
      </c>
      <c r="AK38" s="158">
        <f t="shared" si="36"/>
        <v>643.37</v>
      </c>
      <c r="AL38" s="158">
        <v>0</v>
      </c>
      <c r="AM38" s="158">
        <f t="shared" si="37"/>
        <v>1477.125</v>
      </c>
      <c r="AN38" s="158">
        <v>0</v>
      </c>
      <c r="AO38" s="158"/>
      <c r="AP38" s="158"/>
      <c r="AQ38" s="159"/>
      <c r="AR38" s="159"/>
      <c r="AS38" s="160"/>
      <c r="AT38" s="160"/>
      <c r="AU38" s="169">
        <f t="shared" si="38"/>
        <v>0</v>
      </c>
      <c r="AV38" s="161">
        <v>349</v>
      </c>
      <c r="AW38" s="162">
        <v>0.45</v>
      </c>
      <c r="AX38" s="158">
        <f t="shared" si="39"/>
        <v>219.87</v>
      </c>
      <c r="AY38" s="131"/>
      <c r="AZ38" s="163"/>
      <c r="BA38" s="163">
        <f t="shared" si="40"/>
        <v>0</v>
      </c>
      <c r="BB38" s="163">
        <f t="shared" si="41"/>
        <v>3522.065</v>
      </c>
      <c r="BC38" s="164"/>
      <c r="BD38" s="31">
        <f t="shared" si="23"/>
        <v>959.7600000000007</v>
      </c>
      <c r="BE38" s="31">
        <f t="shared" si="24"/>
        <v>-1196.9000000000005</v>
      </c>
    </row>
    <row r="39" spans="1:57" ht="12.75">
      <c r="A39" s="32" t="s">
        <v>41</v>
      </c>
      <c r="B39" s="170">
        <v>633.7</v>
      </c>
      <c r="C39" s="135">
        <f t="shared" si="25"/>
        <v>5481.505000000001</v>
      </c>
      <c r="D39" s="118">
        <f t="shared" si="26"/>
        <v>982.9950000000014</v>
      </c>
      <c r="E39" s="102">
        <v>591.04</v>
      </c>
      <c r="F39" s="102">
        <v>0</v>
      </c>
      <c r="G39" s="102">
        <v>801.2</v>
      </c>
      <c r="H39" s="102">
        <v>0</v>
      </c>
      <c r="I39" s="102">
        <v>1556.41</v>
      </c>
      <c r="J39" s="102">
        <v>0</v>
      </c>
      <c r="K39" s="102">
        <v>1077.01</v>
      </c>
      <c r="L39" s="102">
        <v>0</v>
      </c>
      <c r="M39" s="103">
        <v>472.85</v>
      </c>
      <c r="N39" s="145">
        <v>0</v>
      </c>
      <c r="O39" s="125">
        <v>0</v>
      </c>
      <c r="P39" s="125">
        <v>0</v>
      </c>
      <c r="Q39" s="125"/>
      <c r="R39" s="125"/>
      <c r="S39" s="151">
        <f t="shared" si="27"/>
        <v>4498.51</v>
      </c>
      <c r="T39" s="155">
        <f t="shared" si="28"/>
        <v>0</v>
      </c>
      <c r="U39" s="151">
        <v>299.56</v>
      </c>
      <c r="V39" s="151">
        <v>406.02</v>
      </c>
      <c r="W39" s="151">
        <v>784.97</v>
      </c>
      <c r="X39" s="151">
        <v>543.08</v>
      </c>
      <c r="Y39" s="151">
        <v>239.67</v>
      </c>
      <c r="Z39" s="151">
        <v>0</v>
      </c>
      <c r="AA39" s="154">
        <v>0</v>
      </c>
      <c r="AB39" s="154">
        <f t="shared" si="29"/>
        <v>2273.3</v>
      </c>
      <c r="AC39" s="156">
        <f t="shared" si="30"/>
        <v>3256.2950000000014</v>
      </c>
      <c r="AD39" s="157">
        <f t="shared" si="31"/>
        <v>0</v>
      </c>
      <c r="AE39" s="157">
        <f t="shared" si="32"/>
        <v>0</v>
      </c>
      <c r="AF39" s="157"/>
      <c r="AG39" s="158">
        <f t="shared" si="33"/>
        <v>380.22</v>
      </c>
      <c r="AH39" s="158">
        <f t="shared" si="34"/>
        <v>126.74000000000001</v>
      </c>
      <c r="AI39" s="158">
        <f t="shared" si="35"/>
        <v>633.7</v>
      </c>
      <c r="AJ39" s="158">
        <v>0</v>
      </c>
      <c r="AK39" s="158">
        <f t="shared" si="36"/>
        <v>621.0260000000001</v>
      </c>
      <c r="AL39" s="158">
        <v>0</v>
      </c>
      <c r="AM39" s="158">
        <f t="shared" si="37"/>
        <v>1425.825</v>
      </c>
      <c r="AN39" s="158">
        <v>0</v>
      </c>
      <c r="AO39" s="158"/>
      <c r="AP39" s="158"/>
      <c r="AQ39" s="159"/>
      <c r="AR39" s="159"/>
      <c r="AS39" s="160"/>
      <c r="AT39" s="160"/>
      <c r="AU39" s="160">
        <f t="shared" si="38"/>
        <v>0</v>
      </c>
      <c r="AV39" s="161">
        <v>425</v>
      </c>
      <c r="AW39" s="162">
        <v>0.45</v>
      </c>
      <c r="AX39" s="158">
        <f t="shared" si="39"/>
        <v>267.75</v>
      </c>
      <c r="AY39" s="131"/>
      <c r="AZ39" s="163"/>
      <c r="BA39" s="163">
        <f t="shared" si="40"/>
        <v>0</v>
      </c>
      <c r="BB39" s="163">
        <f t="shared" si="41"/>
        <v>3455.2610000000004</v>
      </c>
      <c r="BC39" s="164"/>
      <c r="BD39" s="31">
        <f t="shared" si="23"/>
        <v>-198.96599999999899</v>
      </c>
      <c r="BE39" s="31">
        <f t="shared" si="24"/>
        <v>-2225.21</v>
      </c>
    </row>
    <row r="40" spans="1:57" ht="12.75">
      <c r="A40" s="13" t="s">
        <v>42</v>
      </c>
      <c r="B40" s="150">
        <v>633.7</v>
      </c>
      <c r="C40" s="135">
        <f t="shared" si="25"/>
        <v>5481.505000000001</v>
      </c>
      <c r="D40" s="118">
        <f t="shared" si="26"/>
        <v>4448.515</v>
      </c>
      <c r="E40" s="151">
        <v>128.2</v>
      </c>
      <c r="F40" s="151">
        <v>0</v>
      </c>
      <c r="G40" s="151">
        <v>174.14</v>
      </c>
      <c r="H40" s="151">
        <v>0</v>
      </c>
      <c r="I40" s="151">
        <v>370.97</v>
      </c>
      <c r="J40" s="151">
        <v>0</v>
      </c>
      <c r="K40" s="151">
        <v>257.16</v>
      </c>
      <c r="L40" s="151">
        <v>0</v>
      </c>
      <c r="M40" s="152">
        <v>102.52</v>
      </c>
      <c r="N40" s="153">
        <v>0</v>
      </c>
      <c r="O40" s="154">
        <v>0</v>
      </c>
      <c r="P40" s="154">
        <v>0</v>
      </c>
      <c r="Q40" s="154"/>
      <c r="R40" s="154"/>
      <c r="S40" s="151">
        <f t="shared" si="27"/>
        <v>1032.99</v>
      </c>
      <c r="T40" s="155">
        <f t="shared" si="28"/>
        <v>0</v>
      </c>
      <c r="U40" s="166">
        <v>504.98</v>
      </c>
      <c r="V40" s="151">
        <v>684.46</v>
      </c>
      <c r="W40" s="151">
        <v>2320.61</v>
      </c>
      <c r="X40" s="151">
        <v>913.75</v>
      </c>
      <c r="Y40" s="151">
        <v>403.99</v>
      </c>
      <c r="Z40" s="151">
        <v>0</v>
      </c>
      <c r="AA40" s="154">
        <v>0</v>
      </c>
      <c r="AB40" s="154">
        <f t="shared" si="29"/>
        <v>4827.79</v>
      </c>
      <c r="AC40" s="156">
        <f t="shared" si="30"/>
        <v>9276.305</v>
      </c>
      <c r="AD40" s="157">
        <f t="shared" si="31"/>
        <v>0</v>
      </c>
      <c r="AE40" s="157">
        <f t="shared" si="32"/>
        <v>0</v>
      </c>
      <c r="AF40" s="157"/>
      <c r="AG40" s="158">
        <f t="shared" si="33"/>
        <v>380.22</v>
      </c>
      <c r="AH40" s="158">
        <f t="shared" si="34"/>
        <v>126.74000000000001</v>
      </c>
      <c r="AI40" s="158">
        <f t="shared" si="35"/>
        <v>633.7</v>
      </c>
      <c r="AJ40" s="158">
        <v>0</v>
      </c>
      <c r="AK40" s="158">
        <f t="shared" si="36"/>
        <v>621.0260000000001</v>
      </c>
      <c r="AL40" s="158">
        <v>0</v>
      </c>
      <c r="AM40" s="158">
        <f t="shared" si="37"/>
        <v>1425.825</v>
      </c>
      <c r="AN40" s="158">
        <v>0</v>
      </c>
      <c r="AO40" s="158"/>
      <c r="AP40" s="158"/>
      <c r="AQ40" s="159"/>
      <c r="AR40" s="159"/>
      <c r="AS40" s="160"/>
      <c r="AT40" s="160"/>
      <c r="AU40" s="160">
        <f t="shared" si="38"/>
        <v>0</v>
      </c>
      <c r="AV40" s="161">
        <v>470</v>
      </c>
      <c r="AW40" s="162">
        <v>0.45</v>
      </c>
      <c r="AX40" s="158">
        <f t="shared" si="39"/>
        <v>296.09999999999997</v>
      </c>
      <c r="AY40" s="131"/>
      <c r="AZ40" s="163"/>
      <c r="BA40" s="163">
        <f t="shared" si="40"/>
        <v>0</v>
      </c>
      <c r="BB40" s="163">
        <f t="shared" si="41"/>
        <v>3483.6110000000003</v>
      </c>
      <c r="BC40" s="164"/>
      <c r="BD40" s="31">
        <f t="shared" si="23"/>
        <v>5792.6939999999995</v>
      </c>
      <c r="BE40" s="31">
        <f t="shared" si="24"/>
        <v>3794.8</v>
      </c>
    </row>
    <row r="41" spans="1:57" ht="13.5" thickBot="1">
      <c r="A41" s="53" t="s">
        <v>43</v>
      </c>
      <c r="B41" s="150">
        <v>633.7</v>
      </c>
      <c r="C41" s="135">
        <f t="shared" si="25"/>
        <v>5481.505000000001</v>
      </c>
      <c r="D41" s="118">
        <f t="shared" si="26"/>
        <v>1139.1850000000006</v>
      </c>
      <c r="E41" s="151">
        <v>570.52</v>
      </c>
      <c r="F41" s="151">
        <v>0</v>
      </c>
      <c r="G41" s="151">
        <v>773.38</v>
      </c>
      <c r="H41" s="151">
        <v>0</v>
      </c>
      <c r="I41" s="151">
        <v>1502.37</v>
      </c>
      <c r="J41" s="151">
        <v>0</v>
      </c>
      <c r="K41" s="151">
        <v>1039.62</v>
      </c>
      <c r="L41" s="151">
        <v>0</v>
      </c>
      <c r="M41" s="152">
        <v>456.43</v>
      </c>
      <c r="N41" s="153">
        <v>0</v>
      </c>
      <c r="O41" s="154">
        <v>0</v>
      </c>
      <c r="P41" s="154">
        <v>0</v>
      </c>
      <c r="Q41" s="154"/>
      <c r="R41" s="154"/>
      <c r="S41" s="151">
        <f t="shared" si="27"/>
        <v>4342.32</v>
      </c>
      <c r="T41" s="155">
        <f t="shared" si="28"/>
        <v>0</v>
      </c>
      <c r="U41" s="151">
        <v>214.97</v>
      </c>
      <c r="V41" s="151">
        <v>291.36</v>
      </c>
      <c r="W41" s="151">
        <v>563.97</v>
      </c>
      <c r="X41" s="151">
        <v>390.23</v>
      </c>
      <c r="Y41" s="151">
        <v>171.96</v>
      </c>
      <c r="Z41" s="151">
        <v>0</v>
      </c>
      <c r="AA41" s="154">
        <v>0</v>
      </c>
      <c r="AB41" s="154">
        <f t="shared" si="29"/>
        <v>1632.4900000000002</v>
      </c>
      <c r="AC41" s="156">
        <f t="shared" si="30"/>
        <v>2771.675000000001</v>
      </c>
      <c r="AD41" s="157">
        <f t="shared" si="31"/>
        <v>0</v>
      </c>
      <c r="AE41" s="157">
        <f t="shared" si="32"/>
        <v>0</v>
      </c>
      <c r="AF41" s="157"/>
      <c r="AG41" s="158">
        <f t="shared" si="33"/>
        <v>380.22</v>
      </c>
      <c r="AH41" s="158">
        <f t="shared" si="34"/>
        <v>126.74000000000001</v>
      </c>
      <c r="AI41" s="158">
        <f t="shared" si="35"/>
        <v>633.7</v>
      </c>
      <c r="AJ41" s="158">
        <v>0</v>
      </c>
      <c r="AK41" s="158">
        <f t="shared" si="36"/>
        <v>621.0260000000001</v>
      </c>
      <c r="AL41" s="158">
        <v>0</v>
      </c>
      <c r="AM41" s="158">
        <f t="shared" si="37"/>
        <v>1425.825</v>
      </c>
      <c r="AN41" s="158">
        <v>0</v>
      </c>
      <c r="AO41" s="158"/>
      <c r="AP41" s="158"/>
      <c r="AQ41" s="159"/>
      <c r="AR41" s="159"/>
      <c r="AS41" s="160"/>
      <c r="AT41" s="160"/>
      <c r="AU41" s="160">
        <f t="shared" si="38"/>
        <v>0</v>
      </c>
      <c r="AV41" s="161">
        <v>514</v>
      </c>
      <c r="AW41" s="162">
        <v>0.45</v>
      </c>
      <c r="AX41" s="158">
        <f t="shared" si="39"/>
        <v>323.82</v>
      </c>
      <c r="AY41" s="131"/>
      <c r="AZ41" s="163"/>
      <c r="BA41" s="163">
        <f t="shared" si="40"/>
        <v>0</v>
      </c>
      <c r="BB41" s="163">
        <f t="shared" si="41"/>
        <v>3511.3310000000006</v>
      </c>
      <c r="BC41" s="164"/>
      <c r="BD41" s="31">
        <f t="shared" si="23"/>
        <v>-739.6559999999995</v>
      </c>
      <c r="BE41" s="31">
        <f t="shared" si="24"/>
        <v>-2709.8299999999995</v>
      </c>
    </row>
    <row r="42" spans="1:57" s="28" customFormat="1" ht="13.5" thickBot="1">
      <c r="A42" s="148" t="s">
        <v>5</v>
      </c>
      <c r="B42" s="171"/>
      <c r="C42" s="172">
        <f aca="true" t="shared" si="42" ref="C42:BD42">SUM(C30:C41)</f>
        <v>67553.04000000001</v>
      </c>
      <c r="D42" s="172">
        <f t="shared" si="42"/>
        <v>17192.62000000001</v>
      </c>
      <c r="E42" s="172">
        <f t="shared" si="42"/>
        <v>6498.65</v>
      </c>
      <c r="F42" s="172">
        <f t="shared" si="42"/>
        <v>110.76000000000002</v>
      </c>
      <c r="G42" s="172">
        <f t="shared" si="42"/>
        <v>8809.85</v>
      </c>
      <c r="H42" s="172">
        <f t="shared" si="42"/>
        <v>150.06</v>
      </c>
      <c r="I42" s="172">
        <f t="shared" si="42"/>
        <v>17145.359999999997</v>
      </c>
      <c r="J42" s="172">
        <f t="shared" si="42"/>
        <v>291.6</v>
      </c>
      <c r="K42" s="172">
        <f t="shared" si="42"/>
        <v>11864.689999999999</v>
      </c>
      <c r="L42" s="172">
        <f t="shared" si="42"/>
        <v>201.78</v>
      </c>
      <c r="M42" s="172">
        <f t="shared" si="42"/>
        <v>5199.050000000001</v>
      </c>
      <c r="N42" s="172">
        <f t="shared" si="42"/>
        <v>88.61999999999999</v>
      </c>
      <c r="O42" s="172">
        <f t="shared" si="42"/>
        <v>0</v>
      </c>
      <c r="P42" s="172">
        <f t="shared" si="42"/>
        <v>0</v>
      </c>
      <c r="Q42" s="172">
        <f t="shared" si="42"/>
        <v>0</v>
      </c>
      <c r="R42" s="172">
        <f t="shared" si="42"/>
        <v>0</v>
      </c>
      <c r="S42" s="172">
        <f t="shared" si="42"/>
        <v>49517.600000000006</v>
      </c>
      <c r="T42" s="172">
        <f t="shared" si="42"/>
        <v>842.82</v>
      </c>
      <c r="U42" s="172">
        <f t="shared" si="42"/>
        <v>3637.1499999999996</v>
      </c>
      <c r="V42" s="172">
        <f t="shared" si="42"/>
        <v>4928.53</v>
      </c>
      <c r="W42" s="172">
        <f t="shared" si="42"/>
        <v>10411.699999999999</v>
      </c>
      <c r="X42" s="172">
        <f t="shared" si="42"/>
        <v>6510.93</v>
      </c>
      <c r="Y42" s="172">
        <f t="shared" si="42"/>
        <v>2909.83</v>
      </c>
      <c r="Z42" s="172">
        <f t="shared" si="42"/>
        <v>0</v>
      </c>
      <c r="AA42" s="172">
        <f t="shared" si="42"/>
        <v>0</v>
      </c>
      <c r="AB42" s="172">
        <f t="shared" si="42"/>
        <v>28398.140000000003</v>
      </c>
      <c r="AC42" s="172">
        <f t="shared" si="42"/>
        <v>46433.58000000001</v>
      </c>
      <c r="AD42" s="172">
        <f t="shared" si="42"/>
        <v>0</v>
      </c>
      <c r="AE42" s="172">
        <f t="shared" si="42"/>
        <v>0</v>
      </c>
      <c r="AF42" s="172">
        <f t="shared" si="42"/>
        <v>0</v>
      </c>
      <c r="AG42" s="172">
        <f t="shared" si="42"/>
        <v>4685.760000000001</v>
      </c>
      <c r="AH42" s="172">
        <f t="shared" si="42"/>
        <v>1561.9199999999998</v>
      </c>
      <c r="AI42" s="172">
        <f t="shared" si="42"/>
        <v>7809.599999999999</v>
      </c>
      <c r="AJ42" s="172">
        <f t="shared" si="42"/>
        <v>0</v>
      </c>
      <c r="AK42" s="172">
        <f t="shared" si="42"/>
        <v>7653.407999999999</v>
      </c>
      <c r="AL42" s="172">
        <f t="shared" si="42"/>
        <v>0</v>
      </c>
      <c r="AM42" s="172">
        <f t="shared" si="42"/>
        <v>17571.600000000002</v>
      </c>
      <c r="AN42" s="172">
        <f t="shared" si="42"/>
        <v>0</v>
      </c>
      <c r="AO42" s="172">
        <f t="shared" si="42"/>
        <v>0</v>
      </c>
      <c r="AP42" s="172">
        <f t="shared" si="42"/>
        <v>0</v>
      </c>
      <c r="AQ42" s="172">
        <f t="shared" si="42"/>
        <v>0</v>
      </c>
      <c r="AR42" s="172">
        <f t="shared" si="42"/>
        <v>0</v>
      </c>
      <c r="AS42" s="172">
        <f t="shared" si="42"/>
        <v>25802</v>
      </c>
      <c r="AT42" s="172">
        <f t="shared" si="42"/>
        <v>193.56</v>
      </c>
      <c r="AU42" s="172">
        <f t="shared" si="42"/>
        <v>26.2368</v>
      </c>
      <c r="AV42" s="172">
        <f t="shared" si="42"/>
        <v>4400</v>
      </c>
      <c r="AW42" s="172">
        <f t="shared" si="42"/>
        <v>5.400000000000001</v>
      </c>
      <c r="AX42" s="172">
        <f t="shared" si="42"/>
        <v>2772</v>
      </c>
      <c r="AY42" s="172">
        <f t="shared" si="42"/>
        <v>0</v>
      </c>
      <c r="AZ42" s="172">
        <f t="shared" si="42"/>
        <v>0</v>
      </c>
      <c r="BA42" s="172">
        <f t="shared" si="42"/>
        <v>0</v>
      </c>
      <c r="BB42" s="172">
        <f t="shared" si="42"/>
        <v>68076.0848</v>
      </c>
      <c r="BC42" s="172">
        <f t="shared" si="42"/>
        <v>0</v>
      </c>
      <c r="BD42" s="172">
        <f t="shared" si="42"/>
        <v>-21642.50479999999</v>
      </c>
      <c r="BE42" s="172">
        <f>SUM(BE30:BE41)</f>
        <v>-21119.46</v>
      </c>
    </row>
    <row r="43" spans="1:57" s="28" customFormat="1" ht="13.5" thickBot="1">
      <c r="A43" s="55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4"/>
    </row>
    <row r="44" spans="1:57" s="28" customFormat="1" ht="13.5" thickBot="1">
      <c r="A44" s="149" t="s">
        <v>54</v>
      </c>
      <c r="B44" s="175"/>
      <c r="C44" s="176">
        <f aca="true" t="shared" si="43" ref="C44:BD44">C42+C28</f>
        <v>152142.255</v>
      </c>
      <c r="D44" s="176">
        <f t="shared" si="43"/>
        <v>33452.50207555001</v>
      </c>
      <c r="E44" s="176">
        <f t="shared" si="43"/>
        <v>14634.019999999999</v>
      </c>
      <c r="F44" s="176">
        <f t="shared" si="43"/>
        <v>416.08000000000004</v>
      </c>
      <c r="G44" s="176">
        <f t="shared" si="43"/>
        <v>19818.15</v>
      </c>
      <c r="H44" s="176">
        <f t="shared" si="43"/>
        <v>562.9399999999999</v>
      </c>
      <c r="I44" s="176">
        <f t="shared" si="43"/>
        <v>36938.98999999999</v>
      </c>
      <c r="J44" s="176">
        <f t="shared" si="43"/>
        <v>1023.2600000000001</v>
      </c>
      <c r="K44" s="176">
        <f t="shared" si="43"/>
        <v>25543.53</v>
      </c>
      <c r="L44" s="176">
        <f t="shared" si="43"/>
        <v>707.28</v>
      </c>
      <c r="M44" s="176">
        <f t="shared" si="43"/>
        <v>11707.52</v>
      </c>
      <c r="N44" s="176">
        <f t="shared" si="43"/>
        <v>332.92</v>
      </c>
      <c r="O44" s="176">
        <f t="shared" si="43"/>
        <v>0</v>
      </c>
      <c r="P44" s="176">
        <f t="shared" si="43"/>
        <v>0</v>
      </c>
      <c r="Q44" s="176">
        <f t="shared" si="43"/>
        <v>0</v>
      </c>
      <c r="R44" s="176">
        <f t="shared" si="43"/>
        <v>0</v>
      </c>
      <c r="S44" s="176">
        <f t="shared" si="43"/>
        <v>108642.20999999999</v>
      </c>
      <c r="T44" s="176">
        <f t="shared" si="43"/>
        <v>3042.4800000000005</v>
      </c>
      <c r="U44" s="176">
        <f t="shared" si="43"/>
        <v>7625.76</v>
      </c>
      <c r="V44" s="176">
        <f t="shared" si="43"/>
        <v>10323.99</v>
      </c>
      <c r="W44" s="176">
        <f t="shared" si="43"/>
        <v>19975.479999999996</v>
      </c>
      <c r="X44" s="176">
        <f t="shared" si="43"/>
        <v>13117.599999999999</v>
      </c>
      <c r="Y44" s="176">
        <f t="shared" si="43"/>
        <v>6100.68</v>
      </c>
      <c r="Z44" s="176">
        <f t="shared" si="43"/>
        <v>0</v>
      </c>
      <c r="AA44" s="176">
        <f t="shared" si="43"/>
        <v>0</v>
      </c>
      <c r="AB44" s="176">
        <f t="shared" si="43"/>
        <v>57143.51000000001</v>
      </c>
      <c r="AC44" s="176">
        <f t="shared" si="43"/>
        <v>93638.49207555002</v>
      </c>
      <c r="AD44" s="176">
        <f t="shared" si="43"/>
        <v>0</v>
      </c>
      <c r="AE44" s="176">
        <f t="shared" si="43"/>
        <v>0</v>
      </c>
      <c r="AF44" s="176">
        <f t="shared" si="43"/>
        <v>0</v>
      </c>
      <c r="AG44" s="176">
        <f t="shared" si="43"/>
        <v>10395.66</v>
      </c>
      <c r="AH44" s="176">
        <f t="shared" si="43"/>
        <v>3483.140668</v>
      </c>
      <c r="AI44" s="176">
        <f t="shared" si="43"/>
        <v>15815.31227775</v>
      </c>
      <c r="AJ44" s="176">
        <f t="shared" si="43"/>
        <v>1441.028209995</v>
      </c>
      <c r="AK44" s="176">
        <f t="shared" si="43"/>
        <v>15745.08235739</v>
      </c>
      <c r="AL44" s="176">
        <f t="shared" si="43"/>
        <v>1456.5013843302</v>
      </c>
      <c r="AM44" s="176">
        <f t="shared" si="43"/>
        <v>35315.54770196763</v>
      </c>
      <c r="AN44" s="176">
        <f t="shared" si="43"/>
        <v>3193.9105863541727</v>
      </c>
      <c r="AO44" s="176">
        <f t="shared" si="43"/>
        <v>0</v>
      </c>
      <c r="AP44" s="176">
        <f t="shared" si="43"/>
        <v>0</v>
      </c>
      <c r="AQ44" s="176">
        <f t="shared" si="43"/>
        <v>0</v>
      </c>
      <c r="AR44" s="176">
        <f t="shared" si="43"/>
        <v>0</v>
      </c>
      <c r="AS44" s="176">
        <f t="shared" si="43"/>
        <v>37208.880000000005</v>
      </c>
      <c r="AT44" s="176">
        <f t="shared" si="43"/>
        <v>1120.68</v>
      </c>
      <c r="AU44" s="176">
        <f t="shared" si="43"/>
        <v>2246.3568</v>
      </c>
      <c r="AV44" s="176">
        <f t="shared" si="43"/>
        <v>4400</v>
      </c>
      <c r="AW44" s="176">
        <f t="shared" si="43"/>
        <v>5.400000000000001</v>
      </c>
      <c r="AX44" s="176">
        <f t="shared" si="43"/>
        <v>5388.768</v>
      </c>
      <c r="AY44" s="176">
        <f t="shared" si="43"/>
        <v>0</v>
      </c>
      <c r="AZ44" s="176">
        <f t="shared" si="43"/>
        <v>0</v>
      </c>
      <c r="BA44" s="176">
        <f t="shared" si="43"/>
        <v>0</v>
      </c>
      <c r="BB44" s="176">
        <f t="shared" si="43"/>
        <v>132810.867985787</v>
      </c>
      <c r="BC44" s="176">
        <f t="shared" si="43"/>
        <v>0</v>
      </c>
      <c r="BD44" s="176">
        <f t="shared" si="43"/>
        <v>-39172.375910236995</v>
      </c>
      <c r="BE44" s="176">
        <f>BE42+BE28</f>
        <v>-51498.7</v>
      </c>
    </row>
  </sheetData>
  <sheetProtection/>
  <mergeCells count="66">
    <mergeCell ref="AZ5:AZ6"/>
    <mergeCell ref="Z5:Z6"/>
    <mergeCell ref="AA5:AA6"/>
    <mergeCell ref="AB5:AB6"/>
    <mergeCell ref="AG5:AG6"/>
    <mergeCell ref="AE3:AE6"/>
    <mergeCell ref="AV5:AX5"/>
    <mergeCell ref="AT5:AT6"/>
    <mergeCell ref="AU5:AU6"/>
    <mergeCell ref="AY5:AY6"/>
    <mergeCell ref="U5:U6"/>
    <mergeCell ref="V5:V6"/>
    <mergeCell ref="P5:P6"/>
    <mergeCell ref="Q5:Q6"/>
    <mergeCell ref="R5:R6"/>
    <mergeCell ref="S5:S6"/>
    <mergeCell ref="AM5:AM6"/>
    <mergeCell ref="BD3:BD6"/>
    <mergeCell ref="E5:E6"/>
    <mergeCell ref="F5:F6"/>
    <mergeCell ref="G5:G6"/>
    <mergeCell ref="H5:H6"/>
    <mergeCell ref="I5:I6"/>
    <mergeCell ref="J5:J6"/>
    <mergeCell ref="X5:X6"/>
    <mergeCell ref="Y5:Y6"/>
    <mergeCell ref="AO5:AO6"/>
    <mergeCell ref="AP5:AP6"/>
    <mergeCell ref="K5:K6"/>
    <mergeCell ref="L5:L6"/>
    <mergeCell ref="BE3:BE6"/>
    <mergeCell ref="AH5:AH6"/>
    <mergeCell ref="AI5:AI6"/>
    <mergeCell ref="AJ5:AJ6"/>
    <mergeCell ref="AK5:AK6"/>
    <mergeCell ref="AL5:AL6"/>
    <mergeCell ref="M5:M6"/>
    <mergeCell ref="N5:N6"/>
    <mergeCell ref="BA5:BA6"/>
    <mergeCell ref="BB5:BB6"/>
    <mergeCell ref="W5:W6"/>
    <mergeCell ref="BC3:BC6"/>
    <mergeCell ref="AR5:AR6"/>
    <mergeCell ref="AD3:AD6"/>
    <mergeCell ref="AG3:BB4"/>
    <mergeCell ref="AN5:AN6"/>
    <mergeCell ref="E4:F4"/>
    <mergeCell ref="G4:H4"/>
    <mergeCell ref="AS5:AS6"/>
    <mergeCell ref="AQ5:AQ6"/>
    <mergeCell ref="S3:T4"/>
    <mergeCell ref="U3:AB4"/>
    <mergeCell ref="AC3:AC6"/>
    <mergeCell ref="M4:N4"/>
    <mergeCell ref="O4:P4"/>
    <mergeCell ref="Q4:R4"/>
    <mergeCell ref="I4:J4"/>
    <mergeCell ref="K4:L4"/>
    <mergeCell ref="O5:O6"/>
    <mergeCell ref="T5:T6"/>
    <mergeCell ref="A1:N1"/>
    <mergeCell ref="A3:A6"/>
    <mergeCell ref="B3:B6"/>
    <mergeCell ref="C3:C6"/>
    <mergeCell ref="D3:D6"/>
    <mergeCell ref="E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23">
      <selection activeCell="I51" sqref="I51:M51"/>
    </sheetView>
  </sheetViews>
  <sheetFormatPr defaultColWidth="9.00390625" defaultRowHeight="12.75"/>
  <cols>
    <col min="1" max="1" width="10.125" style="2" bestFit="1" customWidth="1"/>
    <col min="2" max="2" width="8.12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4" t="s">
        <v>55</v>
      </c>
    </row>
    <row r="2" ht="18.75">
      <c r="E2" s="34" t="s">
        <v>56</v>
      </c>
    </row>
    <row r="6" spans="1:15" ht="12.75">
      <c r="A6" s="306" t="s">
        <v>88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 ht="12.75">
      <c r="A7" s="325" t="s">
        <v>91</v>
      </c>
      <c r="B7" s="325"/>
      <c r="C7" s="325"/>
      <c r="D7" s="325"/>
      <c r="E7" s="325"/>
      <c r="F7" s="325"/>
      <c r="G7" s="325"/>
      <c r="H7" s="113"/>
      <c r="I7" s="113"/>
      <c r="J7" s="113"/>
      <c r="K7" s="113"/>
      <c r="L7" s="113"/>
      <c r="M7" s="113"/>
      <c r="N7" s="113"/>
      <c r="O7" s="113"/>
    </row>
    <row r="8" spans="1:15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5" ht="13.5" thickBot="1">
      <c r="A9" s="36" t="s">
        <v>57</v>
      </c>
      <c r="D9" s="4"/>
      <c r="E9" s="36">
        <v>8.65</v>
      </c>
    </row>
    <row r="10" spans="1:16" ht="12.75" customHeight="1">
      <c r="A10" s="270" t="s">
        <v>58</v>
      </c>
      <c r="B10" s="308" t="s">
        <v>1</v>
      </c>
      <c r="C10" s="311" t="s">
        <v>59</v>
      </c>
      <c r="D10" s="314" t="s">
        <v>3</v>
      </c>
      <c r="E10" s="317" t="s">
        <v>60</v>
      </c>
      <c r="F10" s="318"/>
      <c r="G10" s="326" t="s">
        <v>75</v>
      </c>
      <c r="H10" s="326"/>
      <c r="I10" s="321" t="s">
        <v>10</v>
      </c>
      <c r="J10" s="294"/>
      <c r="K10" s="294"/>
      <c r="L10" s="294"/>
      <c r="M10" s="294"/>
      <c r="N10" s="322"/>
      <c r="O10" s="337" t="s">
        <v>61</v>
      </c>
      <c r="P10" s="337" t="s">
        <v>12</v>
      </c>
    </row>
    <row r="11" spans="1:16" ht="12.75">
      <c r="A11" s="271"/>
      <c r="B11" s="309"/>
      <c r="C11" s="312"/>
      <c r="D11" s="315"/>
      <c r="E11" s="319"/>
      <c r="F11" s="320"/>
      <c r="G11" s="327"/>
      <c r="H11" s="327"/>
      <c r="I11" s="323"/>
      <c r="J11" s="287"/>
      <c r="K11" s="287"/>
      <c r="L11" s="287"/>
      <c r="M11" s="287"/>
      <c r="N11" s="324"/>
      <c r="O11" s="338"/>
      <c r="P11" s="338"/>
    </row>
    <row r="12" spans="1:16" ht="26.25" customHeight="1">
      <c r="A12" s="271"/>
      <c r="B12" s="309"/>
      <c r="C12" s="312"/>
      <c r="D12" s="315"/>
      <c r="E12" s="340" t="s">
        <v>62</v>
      </c>
      <c r="F12" s="341"/>
      <c r="G12" s="38" t="s">
        <v>63</v>
      </c>
      <c r="H12" s="342" t="s">
        <v>7</v>
      </c>
      <c r="I12" s="344" t="s">
        <v>64</v>
      </c>
      <c r="J12" s="333" t="s">
        <v>32</v>
      </c>
      <c r="K12" s="333" t="s">
        <v>65</v>
      </c>
      <c r="L12" s="333" t="s">
        <v>37</v>
      </c>
      <c r="M12" s="333" t="s">
        <v>66</v>
      </c>
      <c r="N12" s="335" t="s">
        <v>39</v>
      </c>
      <c r="O12" s="338"/>
      <c r="P12" s="338"/>
    </row>
    <row r="13" spans="1:16" ht="66.75" customHeight="1" thickBot="1">
      <c r="A13" s="307"/>
      <c r="B13" s="310"/>
      <c r="C13" s="313"/>
      <c r="D13" s="316"/>
      <c r="E13" s="39" t="s">
        <v>67</v>
      </c>
      <c r="F13" s="40" t="s">
        <v>21</v>
      </c>
      <c r="G13" s="41" t="s">
        <v>76</v>
      </c>
      <c r="H13" s="343"/>
      <c r="I13" s="345"/>
      <c r="J13" s="334"/>
      <c r="K13" s="334"/>
      <c r="L13" s="334"/>
      <c r="M13" s="334"/>
      <c r="N13" s="336"/>
      <c r="O13" s="339"/>
      <c r="P13" s="339"/>
    </row>
    <row r="14" spans="1:16" ht="13.5" thickBot="1">
      <c r="A14" s="42">
        <v>1</v>
      </c>
      <c r="B14" s="43">
        <v>2</v>
      </c>
      <c r="C14" s="42">
        <v>3</v>
      </c>
      <c r="D14" s="43">
        <v>4</v>
      </c>
      <c r="E14" s="42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4">
        <v>16</v>
      </c>
    </row>
    <row r="15" spans="1:16" ht="12.75">
      <c r="A15" s="8" t="s">
        <v>40</v>
      </c>
      <c r="B15" s="9"/>
      <c r="C15" s="37"/>
      <c r="D15" s="8"/>
      <c r="E15" s="9"/>
      <c r="F15" s="10"/>
      <c r="G15" s="45"/>
      <c r="H15" s="37"/>
      <c r="I15" s="8"/>
      <c r="J15" s="9"/>
      <c r="K15" s="9"/>
      <c r="L15" s="9"/>
      <c r="M15" s="9"/>
      <c r="N15" s="10"/>
      <c r="O15" s="46"/>
      <c r="P15" s="47"/>
    </row>
    <row r="16" spans="1:16" ht="12.75">
      <c r="A16" s="13" t="s">
        <v>41</v>
      </c>
      <c r="B16" s="14">
        <f>Лист1!B9</f>
        <v>633.7</v>
      </c>
      <c r="C16" s="48">
        <f>Лист1!C9</f>
        <v>5481.505000000001</v>
      </c>
      <c r="D16" s="49">
        <f>Лист1!D9</f>
        <v>1320.3849244000003</v>
      </c>
      <c r="E16" s="19">
        <f>Лист1!S9</f>
        <v>3537.51</v>
      </c>
      <c r="F16" s="21">
        <f>Лист1!T9</f>
        <v>153.70000000000002</v>
      </c>
      <c r="G16" s="50">
        <f>Лист1!AB9</f>
        <v>153.78</v>
      </c>
      <c r="H16" s="50">
        <f>Лист1!AC9</f>
        <v>1627.8649244000003</v>
      </c>
      <c r="I16" s="51">
        <f>Лист1!AG9</f>
        <v>380.22</v>
      </c>
      <c r="J16" s="19">
        <f>Лист1!AI9+Лист1!AJ9</f>
        <v>636.9470788</v>
      </c>
      <c r="K16" s="19">
        <f>Лист1!AH9+Лист1!AK9+Лист1!AL9+Лист1!AM9+Лист1!AN9+Лист1!AO9+Лист1!AP9</f>
        <v>2236.57640747</v>
      </c>
      <c r="L16" s="20">
        <f>Лист1!AS9+Лист1!AU9</f>
        <v>0</v>
      </c>
      <c r="M16" s="20">
        <f>Лист1!AX9</f>
        <v>0</v>
      </c>
      <c r="N16" s="21">
        <f>Лист1!BB9</f>
        <v>3253.74348627</v>
      </c>
      <c r="O16" s="52">
        <f>Лист1!BD9</f>
        <v>-1625.8785618699999</v>
      </c>
      <c r="P16" s="52">
        <f>Лист1!BE9</f>
        <v>-3383.73</v>
      </c>
    </row>
    <row r="17" spans="1:16" ht="12.75">
      <c r="A17" s="13" t="s">
        <v>42</v>
      </c>
      <c r="B17" s="14">
        <f>Лист1!B10</f>
        <v>633.7</v>
      </c>
      <c r="C17" s="48">
        <f>Лист1!C10</f>
        <v>5481.505000000001</v>
      </c>
      <c r="D17" s="49">
        <f>Лист1!D10</f>
        <v>1320.3849244000003</v>
      </c>
      <c r="E17" s="19">
        <f>Лист1!S10</f>
        <v>3485.7200000000003</v>
      </c>
      <c r="F17" s="21">
        <f>Лист1!T10</f>
        <v>153.70000000000002</v>
      </c>
      <c r="G17" s="50">
        <f>Лист1!AB10</f>
        <v>321.97</v>
      </c>
      <c r="H17" s="50">
        <f>Лист1!AC10</f>
        <v>1796.0549244000003</v>
      </c>
      <c r="I17" s="51">
        <f>Лист1!AG10</f>
        <v>380.22</v>
      </c>
      <c r="J17" s="19">
        <f>Лист1!AI10+Лист1!AJ10</f>
        <v>636.9470788</v>
      </c>
      <c r="K17" s="19">
        <f>Лист1!AH10+Лист1!AK10+Лист1!AL10+Лист1!AM10+Лист1!AN10+Лист1!AO10+Лист1!AP10</f>
        <v>2229.8262350699997</v>
      </c>
      <c r="L17" s="20">
        <f>Лист1!AS10+Лист1!AU10</f>
        <v>0</v>
      </c>
      <c r="M17" s="20">
        <f>Лист1!AX10</f>
        <v>0</v>
      </c>
      <c r="N17" s="21">
        <f>Лист1!BB10</f>
        <v>3246.9933138700003</v>
      </c>
      <c r="O17" s="52">
        <f>Лист1!BD10</f>
        <v>-1450.93838947</v>
      </c>
      <c r="P17" s="52">
        <f>Лист1!BE10</f>
        <v>-3163.75</v>
      </c>
    </row>
    <row r="18" spans="1:18" ht="13.5" thickBot="1">
      <c r="A18" s="53" t="s">
        <v>43</v>
      </c>
      <c r="B18" s="79">
        <f>Лист1!B11</f>
        <v>633.7</v>
      </c>
      <c r="C18" s="54">
        <f>Лист1!C11</f>
        <v>5481.505000000001</v>
      </c>
      <c r="D18" s="80">
        <f>Лист1!D11</f>
        <v>1317.4797267500003</v>
      </c>
      <c r="E18" s="81">
        <f>Лист1!S11</f>
        <v>3373.2000000000003</v>
      </c>
      <c r="F18" s="85">
        <f>Лист1!T11</f>
        <v>153.70000000000002</v>
      </c>
      <c r="G18" s="82">
        <f>Лист1!AB11</f>
        <v>2877.84</v>
      </c>
      <c r="H18" s="82">
        <f>Лист1!AC11</f>
        <v>4349.019726750001</v>
      </c>
      <c r="I18" s="83">
        <f>Лист1!AG11</f>
        <v>380.22</v>
      </c>
      <c r="J18" s="81">
        <f>Лист1!AI11+Лист1!AJ11</f>
        <v>635.0926191200001</v>
      </c>
      <c r="K18" s="81">
        <f>Лист1!AH11+Лист1!AK11+Лист1!AL11+Лист1!AM11+Лист1!AN11+Лист1!AO11+Лист1!AP11</f>
        <v>2226.281082801</v>
      </c>
      <c r="L18" s="84">
        <f>Лист1!AS11+Лист1!AU11</f>
        <v>2030.78</v>
      </c>
      <c r="M18" s="84">
        <f>Лист1!AX11</f>
        <v>0</v>
      </c>
      <c r="N18" s="85">
        <f>Лист1!BB11</f>
        <v>5272.373701920999</v>
      </c>
      <c r="O18" s="52">
        <f>Лист1!BD11</f>
        <v>-923.3539751709986</v>
      </c>
      <c r="P18" s="86">
        <f>Лист1!BE11</f>
        <v>-495.3600000000001</v>
      </c>
      <c r="Q18" s="1"/>
      <c r="R18" s="1"/>
    </row>
    <row r="19" spans="1:18" s="28" customFormat="1" ht="13.5" thickBot="1">
      <c r="A19" s="55" t="s">
        <v>5</v>
      </c>
      <c r="B19" s="90"/>
      <c r="C19" s="91">
        <f>SUM(C16:C18)</f>
        <v>16444.515000000003</v>
      </c>
      <c r="D19" s="98">
        <f aca="true" t="shared" si="0" ref="D19:P19">SUM(D16:D18)</f>
        <v>3958.249575550001</v>
      </c>
      <c r="E19" s="91">
        <f t="shared" si="0"/>
        <v>10396.43</v>
      </c>
      <c r="F19" s="92">
        <f t="shared" si="0"/>
        <v>461.1</v>
      </c>
      <c r="G19" s="97">
        <f t="shared" si="0"/>
        <v>3353.59</v>
      </c>
      <c r="H19" s="91">
        <f t="shared" si="0"/>
        <v>7772.939575550001</v>
      </c>
      <c r="I19" s="91">
        <f t="shared" si="0"/>
        <v>1140.66</v>
      </c>
      <c r="J19" s="91">
        <f t="shared" si="0"/>
        <v>1908.98677672</v>
      </c>
      <c r="K19" s="91">
        <f t="shared" si="0"/>
        <v>6692.683725340999</v>
      </c>
      <c r="L19" s="91">
        <f t="shared" si="0"/>
        <v>2030.78</v>
      </c>
      <c r="M19" s="91">
        <f t="shared" si="0"/>
        <v>0</v>
      </c>
      <c r="N19" s="91">
        <f t="shared" si="0"/>
        <v>11773.110502061001</v>
      </c>
      <c r="O19" s="91">
        <f t="shared" si="0"/>
        <v>-4000.1709265109985</v>
      </c>
      <c r="P19" s="92">
        <f t="shared" si="0"/>
        <v>-7042.84</v>
      </c>
      <c r="Q19" s="62"/>
      <c r="R19" s="63"/>
    </row>
    <row r="20" spans="1:18" ht="12.75">
      <c r="A20" s="8" t="s">
        <v>44</v>
      </c>
      <c r="B20" s="87"/>
      <c r="C20" s="64"/>
      <c r="D20" s="65"/>
      <c r="E20" s="66"/>
      <c r="F20" s="67"/>
      <c r="G20" s="68"/>
      <c r="H20" s="68"/>
      <c r="I20" s="69"/>
      <c r="J20" s="66"/>
      <c r="K20" s="66"/>
      <c r="L20" s="88"/>
      <c r="M20" s="88"/>
      <c r="N20" s="67"/>
      <c r="O20" s="89"/>
      <c r="P20" s="89"/>
      <c r="Q20" s="1"/>
      <c r="R20" s="1"/>
    </row>
    <row r="21" spans="1:18" ht="12.75">
      <c r="A21" s="13" t="s">
        <v>45</v>
      </c>
      <c r="B21" s="14">
        <f>Лист1!B14</f>
        <v>656.5</v>
      </c>
      <c r="C21" s="48">
        <f>Лист1!C14</f>
        <v>5678.725</v>
      </c>
      <c r="D21" s="49">
        <f>Лист1!D14</f>
        <v>709.840625</v>
      </c>
      <c r="E21" s="19">
        <f>Лист1!S14</f>
        <v>3431.5899999999992</v>
      </c>
      <c r="F21" s="21">
        <f>Лист1!T14</f>
        <v>153.70000000000002</v>
      </c>
      <c r="G21" s="50">
        <f>Лист1!AB14</f>
        <v>727.33</v>
      </c>
      <c r="H21" s="50">
        <f>Лист1!AC14</f>
        <v>1590.870625</v>
      </c>
      <c r="I21" s="51">
        <f>Лист1!AG14</f>
        <v>354.51</v>
      </c>
      <c r="J21" s="19">
        <f>Лист1!AI14+Лист1!AJ14</f>
        <v>570.8694565</v>
      </c>
      <c r="K21" s="19">
        <f>Лист1!AH14+Лист1!AK14+Лист1!AL14+Лист1!AM14+Лист1!AN14+Лист1!AO14+Лист1!AP14</f>
        <v>1960.6107142699998</v>
      </c>
      <c r="L21" s="20">
        <f>Лист1!AS14+Лист1!AT14+Лист1!AU14</f>
        <v>0</v>
      </c>
      <c r="M21" s="20">
        <f>Лист1!AX14</f>
        <v>302.11776000000003</v>
      </c>
      <c r="N21" s="21">
        <f>Лист1!BB14</f>
        <v>2885.99017077</v>
      </c>
      <c r="O21" s="52">
        <f>Лист1!BD14</f>
        <v>-1295.11954577</v>
      </c>
      <c r="P21" s="52">
        <f>Лист1!BE14</f>
        <v>-2704.2599999999993</v>
      </c>
      <c r="Q21" s="1"/>
      <c r="R21" s="1"/>
    </row>
    <row r="22" spans="1:18" ht="12.75">
      <c r="A22" s="13" t="s">
        <v>46</v>
      </c>
      <c r="B22" s="14">
        <f>Лист1!B15</f>
        <v>656.5</v>
      </c>
      <c r="C22" s="48">
        <f>Лист1!C15</f>
        <v>5678.725</v>
      </c>
      <c r="D22" s="49">
        <f>Лист1!D15</f>
        <v>709.840625</v>
      </c>
      <c r="E22" s="19">
        <f>Лист1!S15</f>
        <v>3431.5899999999992</v>
      </c>
      <c r="F22" s="21">
        <f>Лист1!T15</f>
        <v>153.70000000000002</v>
      </c>
      <c r="G22" s="50">
        <f>Лист1!AB15</f>
        <v>2030.72</v>
      </c>
      <c r="H22" s="50">
        <f>Лист1!AC15</f>
        <v>2894.260625</v>
      </c>
      <c r="I22" s="51">
        <f>Лист1!AG15</f>
        <v>354.51</v>
      </c>
      <c r="J22" s="19">
        <f>Лист1!AI15+Лист1!AJ15</f>
        <v>570.8930565</v>
      </c>
      <c r="K22" s="19">
        <f>Лист1!AH15+Лист1!AK15+Лист1!AL15+Лист1!AM15+Лист1!AN15+Лист1!AO15+Лист1!AP15</f>
        <v>1963.44108272</v>
      </c>
      <c r="L22" s="20">
        <f>Лист1!AS15+Лист1!AT15+Лист1!AU15</f>
        <v>1906.88</v>
      </c>
      <c r="M22" s="20">
        <f>Лист1!AX15</f>
        <v>242.05104</v>
      </c>
      <c r="N22" s="21">
        <f>Лист1!BB15</f>
        <v>4795.72413922</v>
      </c>
      <c r="O22" s="52">
        <f>Лист1!BD15</f>
        <v>-1901.4635142200004</v>
      </c>
      <c r="P22" s="52">
        <f>Лист1!BE15</f>
        <v>-1400.8699999999992</v>
      </c>
      <c r="Q22" s="1"/>
      <c r="R22" s="1"/>
    </row>
    <row r="23" spans="1:18" ht="12.75">
      <c r="A23" s="13" t="s">
        <v>47</v>
      </c>
      <c r="B23" s="14">
        <f>Лист1!B16</f>
        <v>656.5</v>
      </c>
      <c r="C23" s="48">
        <f>Лист1!C16</f>
        <v>5678.725</v>
      </c>
      <c r="D23" s="49">
        <f>Лист1!D16</f>
        <v>709.840625</v>
      </c>
      <c r="E23" s="19">
        <f>Лист1!S16</f>
        <v>3431.5899999999992</v>
      </c>
      <c r="F23" s="21">
        <f>Лист1!T16</f>
        <v>153.70000000000002</v>
      </c>
      <c r="G23" s="50">
        <f>Лист1!AB16</f>
        <v>2115.1099999999997</v>
      </c>
      <c r="H23" s="50">
        <f>Лист1!AC16</f>
        <v>2978.6506249999998</v>
      </c>
      <c r="I23" s="51">
        <f>Лист1!AG16</f>
        <v>354.51</v>
      </c>
      <c r="J23" s="19">
        <f>Лист1!AI16+Лист1!AJ16</f>
        <v>571.22229125</v>
      </c>
      <c r="K23" s="19">
        <f>Лист1!AH16+Лист1!AK16+Лист1!AL16+Лист1!AM16+Лист1!AN16+Лист1!AO16+Лист1!AP16</f>
        <v>1898.1299023699999</v>
      </c>
      <c r="L23" s="20">
        <f>Лист1!AS16+Лист1!AT16+Лист1!AU16</f>
        <v>0</v>
      </c>
      <c r="M23" s="20">
        <f>Лист1!AX16</f>
        <v>227.77776</v>
      </c>
      <c r="N23" s="21">
        <f>Лист1!BB16</f>
        <v>2823.8621936199993</v>
      </c>
      <c r="O23" s="52">
        <f>Лист1!BD16</f>
        <v>154.78843138000047</v>
      </c>
      <c r="P23" s="52">
        <f>Лист1!BE16</f>
        <v>-1316.4799999999996</v>
      </c>
      <c r="Q23" s="1"/>
      <c r="R23" s="1"/>
    </row>
    <row r="24" spans="1:18" ht="12.75">
      <c r="A24" s="13" t="s">
        <v>48</v>
      </c>
      <c r="B24" s="14">
        <f>Лист1!B17</f>
        <v>656.5</v>
      </c>
      <c r="C24" s="48">
        <f>Лист1!C17</f>
        <v>5678.725</v>
      </c>
      <c r="D24" s="49">
        <f>Лист1!D17</f>
        <v>709.840625</v>
      </c>
      <c r="E24" s="19">
        <f>Лист1!S17</f>
        <v>3589.6400000000003</v>
      </c>
      <c r="F24" s="21">
        <f>Лист1!T17</f>
        <v>153.70000000000002</v>
      </c>
      <c r="G24" s="50">
        <f>Лист1!AB17</f>
        <v>1260.02</v>
      </c>
      <c r="H24" s="50">
        <f>Лист1!AC17</f>
        <v>2123.560625</v>
      </c>
      <c r="I24" s="51">
        <f>Лист1!AG17</f>
        <v>354.51</v>
      </c>
      <c r="J24" s="19">
        <f>Лист1!AI17+Лист1!AJ17</f>
        <v>588.2766512999999</v>
      </c>
      <c r="K24" s="19">
        <f>Лист1!AH17+Лист1!AK17+Лист1!AL17+Лист1!AM17+Лист1!AN17+Лист1!AO17+Лист1!AP17</f>
        <v>1925.02433084</v>
      </c>
      <c r="L24" s="20">
        <f>Лист1!AS17+Лист1!AT17+Лист1!AU17</f>
        <v>365.8</v>
      </c>
      <c r="M24" s="20">
        <f>Лист1!AX17</f>
        <v>182.57904</v>
      </c>
      <c r="N24" s="21">
        <f>Лист1!BB17</f>
        <v>4188.13658214</v>
      </c>
      <c r="O24" s="52">
        <f>Лист1!BD17</f>
        <v>-2064.5759571400004</v>
      </c>
      <c r="P24" s="52">
        <f>Лист1!BE17</f>
        <v>-2329.6200000000003</v>
      </c>
      <c r="Q24" s="1"/>
      <c r="R24" s="1"/>
    </row>
    <row r="25" spans="1:18" ht="12.75">
      <c r="A25" s="13" t="s">
        <v>49</v>
      </c>
      <c r="B25" s="14">
        <f>Лист1!B18</f>
        <v>656.5</v>
      </c>
      <c r="C25" s="48">
        <f>Лист1!C18</f>
        <v>5678.725</v>
      </c>
      <c r="D25" s="49">
        <f>Лист1!D18</f>
        <v>1194.8650000000011</v>
      </c>
      <c r="E25" s="19">
        <f>Лист1!S18</f>
        <v>4343.39</v>
      </c>
      <c r="F25" s="21">
        <f>Лист1!T18</f>
        <v>140.47</v>
      </c>
      <c r="G25" s="50">
        <f>Лист1!AB18</f>
        <v>1816.9699999999998</v>
      </c>
      <c r="H25" s="50">
        <f>Лист1!AC18</f>
        <v>3152.305000000001</v>
      </c>
      <c r="I25" s="51">
        <f>Лист1!AG18</f>
        <v>393.9</v>
      </c>
      <c r="J25" s="19">
        <f>Лист1!AI18+Лист1!AJ18</f>
        <v>658.4694999999999</v>
      </c>
      <c r="K25" s="19">
        <f>Лист1!AH18+Лист1!AK18+Лист1!AL18+Лист1!AM18+Лист1!AN18+Лист1!AO18+Лист1!AP18</f>
        <v>2255.2088</v>
      </c>
      <c r="L25" s="20">
        <f>Лист1!AS18+Лист1!AT18+Лист1!AU18</f>
        <v>211.0784</v>
      </c>
      <c r="M25" s="20">
        <f>Лист1!AX18</f>
        <v>156.41136000000003</v>
      </c>
      <c r="N25" s="21">
        <f>Лист1!BB18</f>
        <v>3675.06806</v>
      </c>
      <c r="O25" s="52">
        <f>Лист1!BD18</f>
        <v>-522.7630599999989</v>
      </c>
      <c r="P25" s="52">
        <f>Лист1!BE18</f>
        <v>-2526.4200000000005</v>
      </c>
      <c r="Q25" s="1"/>
      <c r="R25" s="1"/>
    </row>
    <row r="26" spans="1:18" ht="12.75">
      <c r="A26" s="13" t="s">
        <v>50</v>
      </c>
      <c r="B26" s="14">
        <f>Лист1!B19</f>
        <v>656.5</v>
      </c>
      <c r="C26" s="48">
        <f>Лист1!C19</f>
        <v>5678.725</v>
      </c>
      <c r="D26" s="49">
        <f>Лист1!D19</f>
        <v>1181.1949999999995</v>
      </c>
      <c r="E26" s="19">
        <f>Лист1!S19</f>
        <v>4357.0599999999995</v>
      </c>
      <c r="F26" s="21">
        <f>Лист1!T19</f>
        <v>140.47</v>
      </c>
      <c r="G26" s="50">
        <f>Лист1!AB19</f>
        <v>543.28</v>
      </c>
      <c r="H26" s="50">
        <f>Лист1!AC19</f>
        <v>1864.9449999999995</v>
      </c>
      <c r="I26" s="51">
        <f>Лист1!AG19</f>
        <v>393.9</v>
      </c>
      <c r="J26" s="19">
        <f>Лист1!AI19+Лист1!AJ19</f>
        <v>658.4694999999999</v>
      </c>
      <c r="K26" s="19">
        <f>Лист1!AH19+Лист1!AK19+Лист1!AL19+Лист1!AM19+Лист1!AN19+Лист1!AO19+Лист1!AP19</f>
        <v>2255.2678849999998</v>
      </c>
      <c r="L26" s="20">
        <f>Лист1!AS19+Лист1!AT19+Лист1!AU19</f>
        <v>0</v>
      </c>
      <c r="M26" s="20">
        <f>Лист1!AX19</f>
        <v>138.56976</v>
      </c>
      <c r="N26" s="21">
        <f>Лист1!BB19</f>
        <v>3446.2071449999994</v>
      </c>
      <c r="O26" s="52">
        <f>Лист1!BD19</f>
        <v>-1581.262145</v>
      </c>
      <c r="P26" s="52">
        <f>Лист1!BE19</f>
        <v>-3813.7799999999997</v>
      </c>
      <c r="Q26" s="1"/>
      <c r="R26" s="1"/>
    </row>
    <row r="27" spans="1:18" ht="12.75">
      <c r="A27" s="13" t="s">
        <v>51</v>
      </c>
      <c r="B27" s="14">
        <f>Лист1!B20</f>
        <v>656.5</v>
      </c>
      <c r="C27" s="48">
        <f>Лист1!C20</f>
        <v>5678.725</v>
      </c>
      <c r="D27" s="49">
        <f>Лист1!D20</f>
        <v>1181.1849999999995</v>
      </c>
      <c r="E27" s="19">
        <f>Лист1!S20</f>
        <v>4357.07</v>
      </c>
      <c r="F27" s="21">
        <f>Лист1!T20</f>
        <v>140.47</v>
      </c>
      <c r="G27" s="50">
        <f>Лист1!AB20</f>
        <v>1754.9700000000003</v>
      </c>
      <c r="H27" s="50">
        <f>Лист1!AC20</f>
        <v>3076.625</v>
      </c>
      <c r="I27" s="51">
        <f>Лист1!AG20</f>
        <v>393.9</v>
      </c>
      <c r="J27" s="19">
        <f>Лист1!AI20+Лист1!AJ20</f>
        <v>649.0533861499999</v>
      </c>
      <c r="K27" s="19">
        <f>Лист1!AH20+Лист1!AK20+Лист1!AL20+Лист1!AM20+Лист1!AN20+Лист1!AO20+Лист1!AP20</f>
        <v>2232.9774779</v>
      </c>
      <c r="L27" s="20">
        <f>Лист1!AS20+Лист1!AT20+Лист1!AU20</f>
        <v>0</v>
      </c>
      <c r="M27" s="20">
        <f>Лист1!AX20</f>
        <v>147.49056000000002</v>
      </c>
      <c r="N27" s="21">
        <f>Лист1!BB20</f>
        <v>3423.42142405</v>
      </c>
      <c r="O27" s="52">
        <f>Лист1!BD20</f>
        <v>-346.79642405000004</v>
      </c>
      <c r="P27" s="52">
        <f>Лист1!BE20</f>
        <v>-2602.0999999999995</v>
      </c>
      <c r="Q27" s="1"/>
      <c r="R27" s="1"/>
    </row>
    <row r="28" spans="1:18" ht="12.75">
      <c r="A28" s="13" t="s">
        <v>52</v>
      </c>
      <c r="B28" s="14">
        <f>Лист1!B21</f>
        <v>656.5</v>
      </c>
      <c r="C28" s="48">
        <f>Лист1!C21</f>
        <v>5678.725</v>
      </c>
      <c r="D28" s="49">
        <f>Лист1!D21</f>
        <v>1181.2149999999997</v>
      </c>
      <c r="E28" s="19">
        <f>Лист1!S21</f>
        <v>4357.040000000001</v>
      </c>
      <c r="F28" s="21">
        <f>Лист1!T21</f>
        <v>140.47</v>
      </c>
      <c r="G28" s="50">
        <f>Лист1!AB21</f>
        <v>2564.69</v>
      </c>
      <c r="H28" s="50">
        <f>Лист1!AC21</f>
        <v>3886.375</v>
      </c>
      <c r="I28" s="51">
        <f>Лист1!AG21</f>
        <v>393.9</v>
      </c>
      <c r="J28" s="19">
        <f>Лист1!AI21+Лист1!AJ21</f>
        <v>648.76365957</v>
      </c>
      <c r="K28" s="19">
        <f>Лист1!AH21+Лист1!AK21+Лист1!AL21+Лист1!AM21+Лист1!AN21+Лист1!AO21+Лист1!AP21</f>
        <v>2232.505717</v>
      </c>
      <c r="L28" s="20">
        <f>Лист1!AS21+Лист1!AT21+Лист1!AU21</f>
        <v>8497.3216</v>
      </c>
      <c r="M28" s="20">
        <f>Лист1!AX21</f>
        <v>174.25295999999997</v>
      </c>
      <c r="N28" s="21">
        <f>Лист1!BB21</f>
        <v>11946.743936570001</v>
      </c>
      <c r="O28" s="52">
        <f>Лист1!BD21</f>
        <v>-8060.368936570001</v>
      </c>
      <c r="P28" s="52">
        <f>Лист1!BE21</f>
        <v>-1792.3500000000008</v>
      </c>
      <c r="Q28" s="1"/>
      <c r="R28" s="1"/>
    </row>
    <row r="29" spans="1:18" ht="12.75">
      <c r="A29" s="13" t="s">
        <v>53</v>
      </c>
      <c r="B29" s="14">
        <f>Лист1!B22</f>
        <v>656.5</v>
      </c>
      <c r="C29" s="48">
        <f>Лист1!C22</f>
        <v>5678.725</v>
      </c>
      <c r="D29" s="49">
        <f>Лист1!D22</f>
        <v>1181.1949999999995</v>
      </c>
      <c r="E29" s="19">
        <f>Лист1!S22</f>
        <v>4357.0599999999995</v>
      </c>
      <c r="F29" s="21">
        <f>Лист1!T22</f>
        <v>140.47</v>
      </c>
      <c r="G29" s="50">
        <f>Лист1!AB22</f>
        <v>1642.2700000000002</v>
      </c>
      <c r="H29" s="50">
        <f>Лист1!AC22</f>
        <v>2963.9349999999995</v>
      </c>
      <c r="I29" s="51">
        <f>Лист1!AG22</f>
        <v>393.9</v>
      </c>
      <c r="J29" s="19">
        <f>Лист1!AI22+Лист1!AJ22</f>
        <v>648.6517197549999</v>
      </c>
      <c r="K29" s="19">
        <f>Лист1!AH22+Лист1!AK22+Лист1!AL22+Лист1!AM22+Лист1!AN22+Лист1!AO22+Лист1!AP22</f>
        <v>2232.2123626009998</v>
      </c>
      <c r="L29" s="20">
        <f>Лист1!AS22+Лист1!AT22+Лист1!AU22</f>
        <v>0</v>
      </c>
      <c r="M29" s="20">
        <f>Лист1!AX22</f>
        <v>207.55728000000005</v>
      </c>
      <c r="N29" s="21">
        <f>Лист1!BB22</f>
        <v>3482.321362356</v>
      </c>
      <c r="O29" s="52">
        <f>Лист1!BD22</f>
        <v>-518.3863623560005</v>
      </c>
      <c r="P29" s="52">
        <f>Лист1!BE22</f>
        <v>-2714.789999999999</v>
      </c>
      <c r="Q29" s="1"/>
      <c r="R29" s="1"/>
    </row>
    <row r="30" spans="1:18" ht="12.75">
      <c r="A30" s="13" t="s">
        <v>41</v>
      </c>
      <c r="B30" s="14">
        <f>Лист1!B23</f>
        <v>656.5</v>
      </c>
      <c r="C30" s="48">
        <f>Лист1!C23</f>
        <v>5678.725</v>
      </c>
      <c r="D30" s="49">
        <f>Лист1!D23</f>
        <v>1181.1949999999995</v>
      </c>
      <c r="E30" s="19">
        <f>Лист1!S23</f>
        <v>4357.0599999999995</v>
      </c>
      <c r="F30" s="21">
        <f>Лист1!T23</f>
        <v>140.47</v>
      </c>
      <c r="G30" s="50">
        <f>Лист1!AB23</f>
        <v>4030.13</v>
      </c>
      <c r="H30" s="50">
        <f>Лист1!AC23</f>
        <v>5351.795</v>
      </c>
      <c r="I30" s="51">
        <f>Лист1!AG23</f>
        <v>393.9</v>
      </c>
      <c r="J30" s="19">
        <f>Лист1!AI23+Лист1!AJ23</f>
        <v>656.1454899999999</v>
      </c>
      <c r="K30" s="19">
        <f>Лист1!AH23+Лист1!AK23+Лист1!AL23+Лист1!AM23+Лист1!AN23+Лист1!AO23+Лист1!AP23</f>
        <v>2251.4011</v>
      </c>
      <c r="L30" s="20">
        <f>Лист1!AS23+Лист1!AT23+Лист1!AU23</f>
        <v>0</v>
      </c>
      <c r="M30" s="20">
        <f>Лист1!AX23</f>
        <v>252.756</v>
      </c>
      <c r="N30" s="21">
        <f>Лист1!BB23</f>
        <v>3554.20259</v>
      </c>
      <c r="O30" s="52">
        <f>Лист1!BD23</f>
        <v>1797.5924100000002</v>
      </c>
      <c r="P30" s="52">
        <f>Лист1!BE23</f>
        <v>-326.9299999999994</v>
      </c>
      <c r="Q30" s="1"/>
      <c r="R30" s="1"/>
    </row>
    <row r="31" spans="1:18" ht="12.75">
      <c r="A31" s="13" t="s">
        <v>42</v>
      </c>
      <c r="B31" s="14">
        <f>Лист1!B24</f>
        <v>656.5</v>
      </c>
      <c r="C31" s="48">
        <f>Лист1!C24</f>
        <v>5678.725</v>
      </c>
      <c r="D31" s="49">
        <f>Лист1!D24</f>
        <v>1181.1949999999995</v>
      </c>
      <c r="E31" s="19">
        <f>Лист1!S24</f>
        <v>4357.0599999999995</v>
      </c>
      <c r="F31" s="21">
        <f>Лист1!T24</f>
        <v>140.47</v>
      </c>
      <c r="G31" s="50">
        <f>Лист1!AB24</f>
        <v>4122.04</v>
      </c>
      <c r="H31" s="50">
        <f>Лист1!AC24</f>
        <v>5443.705</v>
      </c>
      <c r="I31" s="51">
        <f>Лист1!AG24</f>
        <v>393.9</v>
      </c>
      <c r="J31" s="19">
        <f>Лист1!AI24+Лист1!AJ24</f>
        <v>658.4694999999999</v>
      </c>
      <c r="K31" s="19">
        <f>Лист1!AH24+Лист1!AK24+Лист1!AL24+Лист1!AM24+Лист1!AN24+Лист1!AO24+Лист1!AP24</f>
        <v>2253.8958</v>
      </c>
      <c r="L31" s="20">
        <f>Лист1!AS24+Лист1!AT24+Лист1!AU24</f>
        <v>1542.26</v>
      </c>
      <c r="M31" s="20">
        <f>Лист1!AX24</f>
        <v>279.5184</v>
      </c>
      <c r="N31" s="21">
        <f>Лист1!BB24</f>
        <v>5128.043699999999</v>
      </c>
      <c r="O31" s="52">
        <f>Лист1!BD24</f>
        <v>315.66130000000067</v>
      </c>
      <c r="P31" s="52">
        <f>Лист1!BE24</f>
        <v>-235.01999999999953</v>
      </c>
      <c r="Q31" s="1"/>
      <c r="R31" s="1"/>
    </row>
    <row r="32" spans="1:18" ht="13.5" thickBot="1">
      <c r="A32" s="53" t="s">
        <v>43</v>
      </c>
      <c r="B32" s="14">
        <f>Лист1!B25</f>
        <v>656.5</v>
      </c>
      <c r="C32" s="48">
        <f>Лист1!C25</f>
        <v>5678.725</v>
      </c>
      <c r="D32" s="49">
        <f>Лист1!D25</f>
        <v>1180.225</v>
      </c>
      <c r="E32" s="19">
        <f>Лист1!S25</f>
        <v>4358.03</v>
      </c>
      <c r="F32" s="21">
        <f>Лист1!T25</f>
        <v>140.47</v>
      </c>
      <c r="G32" s="50">
        <f>Лист1!AB25</f>
        <v>2784.25</v>
      </c>
      <c r="H32" s="50">
        <f>Лист1!AC25</f>
        <v>4104.945</v>
      </c>
      <c r="I32" s="51">
        <f>Лист1!AG25</f>
        <v>393.9</v>
      </c>
      <c r="J32" s="19">
        <f>Лист1!AI25+Лист1!AJ25</f>
        <v>658.4694999999999</v>
      </c>
      <c r="K32" s="19">
        <f>Лист1!AH25+Лист1!AK25+Лист1!AL25+Лист1!AM25+Лист1!AN25+Лист1!AO25+Лист1!AP25</f>
        <v>2253.8958</v>
      </c>
      <c r="L32" s="20">
        <f>Лист1!AS25+Лист1!AT25+Лист1!AU25</f>
        <v>0</v>
      </c>
      <c r="M32" s="20">
        <f>Лист1!AX25</f>
        <v>305.68608</v>
      </c>
      <c r="N32" s="21">
        <f>Лист1!BB25</f>
        <v>3611.9513799999995</v>
      </c>
      <c r="O32" s="52">
        <f>Лист1!BD25</f>
        <v>492.9936200000002</v>
      </c>
      <c r="P32" s="52">
        <f>Лист1!BE25</f>
        <v>-1573.7799999999997</v>
      </c>
      <c r="Q32" s="1"/>
      <c r="R32" s="1"/>
    </row>
    <row r="33" spans="1:18" s="28" customFormat="1" ht="13.5" thickBot="1">
      <c r="A33" s="55" t="s">
        <v>5</v>
      </c>
      <c r="B33" s="56"/>
      <c r="C33" s="57">
        <f aca="true" t="shared" si="1" ref="C33:P33">SUM(C21:C32)</f>
        <v>68144.7</v>
      </c>
      <c r="D33" s="58">
        <f t="shared" si="1"/>
        <v>12301.6325</v>
      </c>
      <c r="E33" s="57">
        <f t="shared" si="1"/>
        <v>48728.179999999986</v>
      </c>
      <c r="F33" s="59">
        <f t="shared" si="1"/>
        <v>1738.5600000000002</v>
      </c>
      <c r="G33" s="60">
        <f t="shared" si="1"/>
        <v>25391.780000000002</v>
      </c>
      <c r="H33" s="57">
        <f t="shared" si="1"/>
        <v>39431.9725</v>
      </c>
      <c r="I33" s="58">
        <f t="shared" si="1"/>
        <v>4569.24</v>
      </c>
      <c r="J33" s="57">
        <f t="shared" si="1"/>
        <v>7537.753711025</v>
      </c>
      <c r="K33" s="57">
        <f>SUM(K21:K32)</f>
        <v>25714.570972700993</v>
      </c>
      <c r="L33" s="57">
        <f t="shared" si="1"/>
        <v>12523.34</v>
      </c>
      <c r="M33" s="57">
        <f t="shared" si="1"/>
        <v>2616.768</v>
      </c>
      <c r="N33" s="59">
        <f t="shared" si="1"/>
        <v>52961.67268372601</v>
      </c>
      <c r="O33" s="61">
        <f t="shared" si="1"/>
        <v>-13529.700183726</v>
      </c>
      <c r="P33" s="61">
        <f t="shared" si="1"/>
        <v>-23336.399999999998</v>
      </c>
      <c r="Q33" s="63"/>
      <c r="R33" s="63"/>
    </row>
    <row r="34" spans="1:18" ht="13.5" thickBot="1">
      <c r="A34" s="331" t="s">
        <v>92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70"/>
      <c r="Q34" s="1"/>
      <c r="R34" s="1"/>
    </row>
    <row r="35" spans="1:18" s="28" customFormat="1" ht="13.5" thickBot="1">
      <c r="A35" s="71" t="s">
        <v>54</v>
      </c>
      <c r="B35" s="72"/>
      <c r="C35" s="73">
        <f>C19+C33</f>
        <v>84589.215</v>
      </c>
      <c r="D35" s="74">
        <f aca="true" t="shared" si="2" ref="D35:P35">D19+D33</f>
        <v>16259.88207555</v>
      </c>
      <c r="E35" s="72">
        <f t="shared" si="2"/>
        <v>59124.609999999986</v>
      </c>
      <c r="F35" s="73">
        <f t="shared" si="2"/>
        <v>2199.6600000000003</v>
      </c>
      <c r="G35" s="74">
        <f t="shared" si="2"/>
        <v>28745.370000000003</v>
      </c>
      <c r="H35" s="73">
        <f t="shared" si="2"/>
        <v>47204.912075550004</v>
      </c>
      <c r="I35" s="74">
        <f t="shared" si="2"/>
        <v>5709.9</v>
      </c>
      <c r="J35" s="72">
        <f t="shared" si="2"/>
        <v>9446.740487744999</v>
      </c>
      <c r="K35" s="72">
        <f t="shared" si="2"/>
        <v>32407.254698041994</v>
      </c>
      <c r="L35" s="72">
        <f t="shared" si="2"/>
        <v>14554.12</v>
      </c>
      <c r="M35" s="72">
        <f t="shared" si="2"/>
        <v>2616.768</v>
      </c>
      <c r="N35" s="75">
        <f t="shared" si="2"/>
        <v>64734.783185787004</v>
      </c>
      <c r="O35" s="76">
        <f t="shared" si="2"/>
        <v>-17529.871110237</v>
      </c>
      <c r="P35" s="76">
        <f t="shared" si="2"/>
        <v>-30379.239999999998</v>
      </c>
      <c r="Q35" s="77"/>
      <c r="R35" s="63"/>
    </row>
    <row r="36" spans="1:18" ht="12.75">
      <c r="A36" s="8" t="s">
        <v>89</v>
      </c>
      <c r="B36" s="87"/>
      <c r="C36" s="64"/>
      <c r="D36" s="65"/>
      <c r="E36" s="66"/>
      <c r="F36" s="67"/>
      <c r="G36" s="68"/>
      <c r="H36" s="68"/>
      <c r="I36" s="69"/>
      <c r="J36" s="66"/>
      <c r="K36" s="66"/>
      <c r="L36" s="88"/>
      <c r="M36" s="88"/>
      <c r="N36" s="67"/>
      <c r="O36" s="89"/>
      <c r="P36" s="89"/>
      <c r="Q36" s="1"/>
      <c r="R36" s="1"/>
    </row>
    <row r="37" spans="1:18" ht="12.75">
      <c r="A37" s="13" t="s">
        <v>45</v>
      </c>
      <c r="B37" s="14">
        <f>Лист1!B30</f>
        <v>656.5</v>
      </c>
      <c r="C37" s="48">
        <f>Лист1!C30</f>
        <v>5678.725</v>
      </c>
      <c r="D37" s="49">
        <f>Лист1!D30</f>
        <v>1180.2150000000006</v>
      </c>
      <c r="E37" s="19">
        <f>Лист1!S30</f>
        <v>4358.04</v>
      </c>
      <c r="F37" s="21">
        <f>Лист1!T30</f>
        <v>140.47</v>
      </c>
      <c r="G37" s="50">
        <f>Лист1!AB30</f>
        <v>1263.14</v>
      </c>
      <c r="H37" s="50">
        <f>Лист1!AC30</f>
        <v>2583.8250000000007</v>
      </c>
      <c r="I37" s="51">
        <f>Лист1!AG30</f>
        <v>393.9</v>
      </c>
      <c r="J37" s="19">
        <f>Лист1!AI30+Лист1!AJ30</f>
        <v>656.5</v>
      </c>
      <c r="K37" s="19">
        <f>Лист1!AH30+Лист1!AK30+Лист1!AL30+Лист1!AM30+Лист1!AN30+Лист1!AO30+Лист1!AP30</f>
        <v>2251.795</v>
      </c>
      <c r="L37" s="20">
        <f>Лист1!AS30+Лист1!AT30+Лист1!AU30</f>
        <v>0</v>
      </c>
      <c r="M37" s="20">
        <f>Лист1!AX30</f>
        <v>320.03999999999996</v>
      </c>
      <c r="N37" s="21">
        <f>Лист1!BB30</f>
        <v>3622.2349999999997</v>
      </c>
      <c r="O37" s="52">
        <f>Лист1!BD30</f>
        <v>-1038.409999999999</v>
      </c>
      <c r="P37" s="52">
        <f>Лист1!BE30</f>
        <v>-3094.8999999999996</v>
      </c>
      <c r="Q37" s="1"/>
      <c r="R37" s="1"/>
    </row>
    <row r="38" spans="1:18" ht="12.75">
      <c r="A38" s="13" t="s">
        <v>46</v>
      </c>
      <c r="B38" s="14">
        <f>Лист1!B31</f>
        <v>656.5</v>
      </c>
      <c r="C38" s="48">
        <f>Лист1!C31</f>
        <v>5678.725</v>
      </c>
      <c r="D38" s="49">
        <f>Лист1!D31</f>
        <v>1180.2150000000006</v>
      </c>
      <c r="E38" s="19">
        <f>Лист1!S31</f>
        <v>4358.04</v>
      </c>
      <c r="F38" s="21">
        <f>Лист1!T31</f>
        <v>140.47</v>
      </c>
      <c r="G38" s="50">
        <f>Лист1!AB31</f>
        <v>2336.83</v>
      </c>
      <c r="H38" s="50">
        <f>Лист1!AC31</f>
        <v>3657.5150000000003</v>
      </c>
      <c r="I38" s="51">
        <f>Лист1!AG31</f>
        <v>393.9</v>
      </c>
      <c r="J38" s="19">
        <f>Лист1!AI31+Лист1!AJ31</f>
        <v>656.5</v>
      </c>
      <c r="K38" s="19">
        <f>Лист1!AH31+Лист1!AK31+Лист1!AL31+Лист1!AM31+Лист1!AN31+Лист1!AO31+Лист1!AP31</f>
        <v>2251.795</v>
      </c>
      <c r="L38" s="20">
        <f>Лист1!AS31+Лист1!AT31+Лист1!AU31</f>
        <v>0</v>
      </c>
      <c r="M38" s="20">
        <f>Лист1!AX31</f>
        <v>256.40999999999997</v>
      </c>
      <c r="N38" s="21">
        <f>Лист1!BB31</f>
        <v>3558.605</v>
      </c>
      <c r="O38" s="52">
        <f>Лист1!BD31</f>
        <v>98.91000000000031</v>
      </c>
      <c r="P38" s="52">
        <f>Лист1!BE31</f>
        <v>-2021.21</v>
      </c>
      <c r="Q38" s="1"/>
      <c r="R38" s="1"/>
    </row>
    <row r="39" spans="1:18" ht="12.75">
      <c r="A39" s="13" t="s">
        <v>47</v>
      </c>
      <c r="B39" s="14">
        <f>Лист1!B32</f>
        <v>656.5</v>
      </c>
      <c r="C39" s="48">
        <f>Лист1!C32</f>
        <v>5678.725</v>
      </c>
      <c r="D39" s="49">
        <f>Лист1!D32</f>
        <v>1180.1850000000006</v>
      </c>
      <c r="E39" s="19">
        <f>Лист1!S32</f>
        <v>4358.070000000001</v>
      </c>
      <c r="F39" s="21">
        <f>Лист1!T32</f>
        <v>140.47</v>
      </c>
      <c r="G39" s="50">
        <f>Лист1!AB32</f>
        <v>2696.0099999999998</v>
      </c>
      <c r="H39" s="50">
        <f>Лист1!AC32</f>
        <v>4016.6650000000004</v>
      </c>
      <c r="I39" s="51">
        <f>Лист1!AG32</f>
        <v>393.9</v>
      </c>
      <c r="J39" s="19">
        <f>Лист1!AI32+Лист1!AJ32</f>
        <v>656.5</v>
      </c>
      <c r="K39" s="19">
        <f>Лист1!AH32+Лист1!AK32+Лист1!AL32+Лист1!AM32+Лист1!AN32+Лист1!AO32+Лист1!AP32</f>
        <v>2251.795</v>
      </c>
      <c r="L39" s="20">
        <f>Лист1!AS32+Лист1!AT32+Лист1!AU32</f>
        <v>1267</v>
      </c>
      <c r="M39" s="20">
        <f>Лист1!AX32</f>
        <v>241.28999999999996</v>
      </c>
      <c r="N39" s="21">
        <f>Лист1!BB32</f>
        <v>4810.485</v>
      </c>
      <c r="O39" s="52">
        <f>Лист1!BD32</f>
        <v>-793.8199999999993</v>
      </c>
      <c r="P39" s="52">
        <f>Лист1!BE32</f>
        <v>-1662.0600000000009</v>
      </c>
      <c r="Q39" s="1"/>
      <c r="R39" s="1"/>
    </row>
    <row r="40" spans="1:18" ht="12.75">
      <c r="A40" s="13" t="s">
        <v>48</v>
      </c>
      <c r="B40" s="14">
        <f>Лист1!B33</f>
        <v>656.5</v>
      </c>
      <c r="C40" s="48">
        <f>Лист1!C33</f>
        <v>5678.725</v>
      </c>
      <c r="D40" s="49">
        <f>Лист1!D33</f>
        <v>1180.215000000001</v>
      </c>
      <c r="E40" s="19">
        <f>Лист1!S33</f>
        <v>4358.04</v>
      </c>
      <c r="F40" s="21">
        <f>Лист1!T33</f>
        <v>140.47</v>
      </c>
      <c r="G40" s="50">
        <f>Лист1!AB33</f>
        <v>1260.02</v>
      </c>
      <c r="H40" s="50">
        <f>Лист1!AC33</f>
        <v>2580.705000000001</v>
      </c>
      <c r="I40" s="51">
        <f>Лист1!AG33</f>
        <v>393.9</v>
      </c>
      <c r="J40" s="19">
        <f>Лист1!AI33+Лист1!AJ33</f>
        <v>656.5</v>
      </c>
      <c r="K40" s="19">
        <f>Лист1!AH33+Лист1!AK33+Лист1!AL33+Лист1!AM33+Лист1!AN33+Лист1!AO33+Лист1!AP33</f>
        <v>2251.795</v>
      </c>
      <c r="L40" s="20">
        <f>Лист1!AS33+Лист1!AT33+Лист1!AU33</f>
        <v>0</v>
      </c>
      <c r="M40" s="20">
        <f>Лист1!AX33</f>
        <v>193.41</v>
      </c>
      <c r="N40" s="21">
        <f>Лист1!BB33</f>
        <v>3495.605</v>
      </c>
      <c r="O40" s="52">
        <f>Лист1!BD33</f>
        <v>-914.8999999999992</v>
      </c>
      <c r="P40" s="52">
        <f>Лист1!BE33</f>
        <v>-3098.02</v>
      </c>
      <c r="Q40" s="1"/>
      <c r="R40" s="1"/>
    </row>
    <row r="41" spans="1:18" ht="12.75">
      <c r="A41" s="13" t="s">
        <v>49</v>
      </c>
      <c r="B41" s="14">
        <f>Лист1!B34</f>
        <v>656.5</v>
      </c>
      <c r="C41" s="48">
        <f>Лист1!C34</f>
        <v>5678.725</v>
      </c>
      <c r="D41" s="49">
        <f>Лист1!D34</f>
        <v>1180.215000000001</v>
      </c>
      <c r="E41" s="19">
        <f>Лист1!S34</f>
        <v>4358.04</v>
      </c>
      <c r="F41" s="21">
        <f>Лист1!T34</f>
        <v>140.47</v>
      </c>
      <c r="G41" s="50">
        <f>Лист1!AB34</f>
        <v>2432.66</v>
      </c>
      <c r="H41" s="50">
        <f>Лист1!AC34</f>
        <v>3753.345000000001</v>
      </c>
      <c r="I41" s="51">
        <f>Лист1!AG34</f>
        <v>393.9</v>
      </c>
      <c r="J41" s="19">
        <f>Лист1!AI34+Лист1!AJ34</f>
        <v>656.5</v>
      </c>
      <c r="K41" s="19">
        <f>Лист1!AH34+Лист1!AK34+Лист1!AL34+Лист1!AM34+Лист1!AN34+Лист1!AO34+Лист1!AP34</f>
        <v>2251.795</v>
      </c>
      <c r="L41" s="20">
        <f>Лист1!AS34+Лист1!AT34+Лист1!AU34</f>
        <v>323</v>
      </c>
      <c r="M41" s="20">
        <f>Лист1!AX34</f>
        <v>165.69</v>
      </c>
      <c r="N41" s="21">
        <f>Лист1!BB34</f>
        <v>3790.885</v>
      </c>
      <c r="O41" s="52">
        <f>Лист1!BD34</f>
        <v>-37.539999999999054</v>
      </c>
      <c r="P41" s="52">
        <f>Лист1!BE34</f>
        <v>-1925.38</v>
      </c>
      <c r="Q41" s="1"/>
      <c r="R41" s="1"/>
    </row>
    <row r="42" spans="1:18" ht="12.75">
      <c r="A42" s="13" t="s">
        <v>50</v>
      </c>
      <c r="B42" s="14">
        <f>Лист1!B35</f>
        <v>656.5</v>
      </c>
      <c r="C42" s="48">
        <f>Лист1!C35</f>
        <v>5678.725</v>
      </c>
      <c r="D42" s="49">
        <f>Лист1!D35</f>
        <v>1180.215000000001</v>
      </c>
      <c r="E42" s="19">
        <f>Лист1!S35</f>
        <v>4358.04</v>
      </c>
      <c r="F42" s="21">
        <f>Лист1!T35</f>
        <v>140.47</v>
      </c>
      <c r="G42" s="50">
        <f>Лист1!AB35</f>
        <v>2375.5</v>
      </c>
      <c r="H42" s="50">
        <f>Лист1!AC35</f>
        <v>3696.1850000000013</v>
      </c>
      <c r="I42" s="51">
        <f>Лист1!AG35</f>
        <v>393.9</v>
      </c>
      <c r="J42" s="19">
        <f>Лист1!AI35+Лист1!AJ35</f>
        <v>656.5</v>
      </c>
      <c r="K42" s="19">
        <f>Лист1!AH35+Лист1!AK35+Лист1!AL35+Лист1!AM35+Лист1!AN35+Лист1!AO35+Лист1!AP35</f>
        <v>2251.795</v>
      </c>
      <c r="L42" s="20">
        <f>Лист1!AS35+Лист1!AT35+Лист1!AU35</f>
        <v>8936</v>
      </c>
      <c r="M42" s="20">
        <f>Лист1!AX35</f>
        <v>146.79</v>
      </c>
      <c r="N42" s="21">
        <f>Лист1!BB35</f>
        <v>12384.985</v>
      </c>
      <c r="O42" s="52">
        <f>Лист1!BD35</f>
        <v>-8688.8</v>
      </c>
      <c r="P42" s="52">
        <f>Лист1!BE35</f>
        <v>-1982.54</v>
      </c>
      <c r="Q42" s="1"/>
      <c r="R42" s="1"/>
    </row>
    <row r="43" spans="1:18" ht="12.75">
      <c r="A43" s="13" t="s">
        <v>51</v>
      </c>
      <c r="B43" s="14">
        <f>Лист1!B36</f>
        <v>656.5</v>
      </c>
      <c r="C43" s="48">
        <f>Лист1!C36</f>
        <v>5678.725</v>
      </c>
      <c r="D43" s="49">
        <f>Лист1!D36</f>
        <v>1180.2150000000006</v>
      </c>
      <c r="E43" s="19">
        <f>Лист1!S36</f>
        <v>4498.51</v>
      </c>
      <c r="F43" s="21">
        <f>Лист1!T36</f>
        <v>0</v>
      </c>
      <c r="G43" s="50">
        <f>Лист1!AB36</f>
        <v>2249.34</v>
      </c>
      <c r="H43" s="50">
        <f>Лист1!AC36</f>
        <v>3429.5550000000007</v>
      </c>
      <c r="I43" s="51">
        <f>Лист1!AG36</f>
        <v>393.9</v>
      </c>
      <c r="J43" s="19">
        <f>Лист1!AI36+Лист1!AJ36</f>
        <v>656.5</v>
      </c>
      <c r="K43" s="19">
        <f>Лист1!AH36+Лист1!AK36+Лист1!AL36+Лист1!AM36+Лист1!AN36+Лист1!AO36+Лист1!AP36</f>
        <v>2251.795</v>
      </c>
      <c r="L43" s="20">
        <f>Лист1!AS36+Лист1!AT36+Лист1!AU36</f>
        <v>171.99679999999998</v>
      </c>
      <c r="M43" s="20">
        <f>Лист1!AX36</f>
        <v>156.24</v>
      </c>
      <c r="N43" s="21">
        <f>Лист1!BB36</f>
        <v>3630.4318000000003</v>
      </c>
      <c r="O43" s="52">
        <f>Лист1!BD36</f>
        <v>-200.87679999999955</v>
      </c>
      <c r="P43" s="52">
        <f>Лист1!BE36</f>
        <v>-2249.17</v>
      </c>
      <c r="Q43" s="1"/>
      <c r="R43" s="1"/>
    </row>
    <row r="44" spans="1:18" ht="12.75">
      <c r="A44" s="13" t="s">
        <v>52</v>
      </c>
      <c r="B44" s="14">
        <f>Лист1!B37</f>
        <v>656.5</v>
      </c>
      <c r="C44" s="48">
        <f>Лист1!C37</f>
        <v>5678.725</v>
      </c>
      <c r="D44" s="49">
        <f>Лист1!D37</f>
        <v>1180.2350000000008</v>
      </c>
      <c r="E44" s="19">
        <f>Лист1!S37</f>
        <v>4498.49</v>
      </c>
      <c r="F44" s="21">
        <f>Лист1!T37</f>
        <v>0</v>
      </c>
      <c r="G44" s="50">
        <f>Лист1!AB37</f>
        <v>1749.4499999999998</v>
      </c>
      <c r="H44" s="50">
        <f>Лист1!AC37</f>
        <v>2929.6850000000004</v>
      </c>
      <c r="I44" s="51">
        <f>Лист1!AG37</f>
        <v>393.9</v>
      </c>
      <c r="J44" s="19">
        <f>Лист1!AI37+Лист1!AJ37</f>
        <v>656.5</v>
      </c>
      <c r="K44" s="19">
        <f>Лист1!AH37+Лист1!AK37+Лист1!AL37+Лист1!AM37+Лист1!AN37+Лист1!AO37+Лист1!AP37</f>
        <v>2251.795</v>
      </c>
      <c r="L44" s="20">
        <f>Лист1!AS37+Лист1!AT37+Лист1!AU37</f>
        <v>15323.8</v>
      </c>
      <c r="M44" s="20">
        <f>Лист1!AX37</f>
        <v>184.58999999999997</v>
      </c>
      <c r="N44" s="21">
        <f>Лист1!BB37</f>
        <v>18810.585</v>
      </c>
      <c r="O44" s="52">
        <f>Лист1!BD37</f>
        <v>-15880.899999999998</v>
      </c>
      <c r="P44" s="52">
        <f>Лист1!BE37</f>
        <v>-2749.04</v>
      </c>
      <c r="Q44" s="1"/>
      <c r="R44" s="1"/>
    </row>
    <row r="45" spans="1:18" ht="12.75">
      <c r="A45" s="13" t="s">
        <v>53</v>
      </c>
      <c r="B45" s="14">
        <f>Лист1!B38</f>
        <v>656.5</v>
      </c>
      <c r="C45" s="48">
        <f>Лист1!C38</f>
        <v>5678.725</v>
      </c>
      <c r="D45" s="49">
        <f>Лист1!D38</f>
        <v>1180.2150000000006</v>
      </c>
      <c r="E45" s="19">
        <f>Лист1!S38</f>
        <v>4498.51</v>
      </c>
      <c r="F45" s="21">
        <f>Лист1!T38</f>
        <v>0</v>
      </c>
      <c r="G45" s="50">
        <f>Лист1!AB38</f>
        <v>3301.6099999999997</v>
      </c>
      <c r="H45" s="50">
        <f>Лист1!AC38</f>
        <v>4481.825000000001</v>
      </c>
      <c r="I45" s="51">
        <f>Лист1!AG38</f>
        <v>393.9</v>
      </c>
      <c r="J45" s="19">
        <f>Лист1!AI38+Лист1!AJ38</f>
        <v>656.5</v>
      </c>
      <c r="K45" s="19">
        <f>Лист1!AH38+Лист1!AK38+Лист1!AL38+Лист1!AM38+Лист1!AN38+Лист1!AO38+Лист1!AP38</f>
        <v>2251.795</v>
      </c>
      <c r="L45" s="20">
        <f>Лист1!AS38+Лист1!AT38+Лист1!AU38</f>
        <v>0</v>
      </c>
      <c r="M45" s="20">
        <f>Лист1!AX38</f>
        <v>219.87</v>
      </c>
      <c r="N45" s="21">
        <f>Лист1!BB38</f>
        <v>3522.065</v>
      </c>
      <c r="O45" s="52">
        <f>Лист1!BD38</f>
        <v>959.7600000000007</v>
      </c>
      <c r="P45" s="52">
        <f>Лист1!BE38</f>
        <v>-1196.9000000000005</v>
      </c>
      <c r="Q45" s="1"/>
      <c r="R45" s="1"/>
    </row>
    <row r="46" spans="1:18" ht="12.75">
      <c r="A46" s="13" t="s">
        <v>41</v>
      </c>
      <c r="B46" s="14">
        <f>Лист1!B39</f>
        <v>633.7</v>
      </c>
      <c r="C46" s="48">
        <f>Лист1!C39</f>
        <v>5481.505000000001</v>
      </c>
      <c r="D46" s="49">
        <f>Лист1!D39</f>
        <v>982.9950000000014</v>
      </c>
      <c r="E46" s="19">
        <f>Лист1!S39</f>
        <v>4498.51</v>
      </c>
      <c r="F46" s="21">
        <f>Лист1!T39</f>
        <v>0</v>
      </c>
      <c r="G46" s="50">
        <f>Лист1!AB39</f>
        <v>2273.3</v>
      </c>
      <c r="H46" s="50">
        <f>Лист1!AC39</f>
        <v>3256.2950000000014</v>
      </c>
      <c r="I46" s="51">
        <f>Лист1!AG39</f>
        <v>380.22</v>
      </c>
      <c r="J46" s="19">
        <f>Лист1!AI39+Лист1!AJ39</f>
        <v>633.7</v>
      </c>
      <c r="K46" s="19">
        <f>Лист1!AH39+Лист1!AK39+Лист1!AL39+Лист1!AM39+Лист1!AN39+Лист1!AO39+Лист1!AP39</f>
        <v>2173.5910000000003</v>
      </c>
      <c r="L46" s="20">
        <f>Лист1!AS39+Лист1!AT39+Лист1!AU39</f>
        <v>0</v>
      </c>
      <c r="M46" s="20">
        <f>Лист1!AX39</f>
        <v>267.75</v>
      </c>
      <c r="N46" s="21">
        <f>Лист1!BB39</f>
        <v>3455.2610000000004</v>
      </c>
      <c r="O46" s="52">
        <f>Лист1!BD39</f>
        <v>-198.96599999999899</v>
      </c>
      <c r="P46" s="52">
        <f>Лист1!BE39</f>
        <v>-2225.21</v>
      </c>
      <c r="Q46" s="1"/>
      <c r="R46" s="1"/>
    </row>
    <row r="47" spans="1:18" ht="12.75">
      <c r="A47" s="13" t="s">
        <v>42</v>
      </c>
      <c r="B47" s="14">
        <f>Лист1!B40</f>
        <v>633.7</v>
      </c>
      <c r="C47" s="48">
        <f>Лист1!C40</f>
        <v>5481.505000000001</v>
      </c>
      <c r="D47" s="49">
        <f>Лист1!D40</f>
        <v>4448.515</v>
      </c>
      <c r="E47" s="19">
        <f>Лист1!S40</f>
        <v>1032.99</v>
      </c>
      <c r="F47" s="21">
        <f>Лист1!T40</f>
        <v>0</v>
      </c>
      <c r="G47" s="50">
        <f>Лист1!AB40</f>
        <v>4827.79</v>
      </c>
      <c r="H47" s="50">
        <f>Лист1!AC40</f>
        <v>9276.305</v>
      </c>
      <c r="I47" s="51">
        <f>Лист1!AG40</f>
        <v>380.22</v>
      </c>
      <c r="J47" s="19">
        <f>Лист1!AI40+Лист1!AJ40</f>
        <v>633.7</v>
      </c>
      <c r="K47" s="19">
        <f>Лист1!AH40+Лист1!AK40+Лист1!AL40+Лист1!AM40+Лист1!AN40+Лист1!AO40+Лист1!AP40</f>
        <v>2173.5910000000003</v>
      </c>
      <c r="L47" s="20">
        <f>Лист1!AS40+Лист1!AT40+Лист1!AU40</f>
        <v>0</v>
      </c>
      <c r="M47" s="20">
        <f>Лист1!AX40</f>
        <v>296.09999999999997</v>
      </c>
      <c r="N47" s="21">
        <f>Лист1!BB40</f>
        <v>3483.6110000000003</v>
      </c>
      <c r="O47" s="52">
        <f>Лист1!BD40</f>
        <v>5792.6939999999995</v>
      </c>
      <c r="P47" s="52">
        <f>Лист1!BE40</f>
        <v>3794.8</v>
      </c>
      <c r="Q47" s="1"/>
      <c r="R47" s="1"/>
    </row>
    <row r="48" spans="1:18" ht="13.5" thickBot="1">
      <c r="A48" s="53" t="s">
        <v>43</v>
      </c>
      <c r="B48" s="14">
        <f>Лист1!B41</f>
        <v>633.7</v>
      </c>
      <c r="C48" s="48">
        <f>Лист1!C41</f>
        <v>5481.505000000001</v>
      </c>
      <c r="D48" s="49">
        <f>Лист1!D41</f>
        <v>1139.1850000000006</v>
      </c>
      <c r="E48" s="19">
        <f>Лист1!S41</f>
        <v>4342.32</v>
      </c>
      <c r="F48" s="21">
        <f>Лист1!T41</f>
        <v>0</v>
      </c>
      <c r="G48" s="50">
        <f>Лист1!AB41</f>
        <v>1632.4900000000002</v>
      </c>
      <c r="H48" s="50">
        <f>Лист1!AC41</f>
        <v>2771.675000000001</v>
      </c>
      <c r="I48" s="51">
        <f>Лист1!AG41</f>
        <v>380.22</v>
      </c>
      <c r="J48" s="19">
        <f>Лист1!AI41+Лист1!AJ41</f>
        <v>633.7</v>
      </c>
      <c r="K48" s="19">
        <f>Лист1!AH41+Лист1!AK41+Лист1!AL41+Лист1!AM41+Лист1!AN41+Лист1!AO41+Лист1!AP41</f>
        <v>2173.5910000000003</v>
      </c>
      <c r="L48" s="20">
        <f>Лист1!AS41+Лист1!AT41+Лист1!AU41</f>
        <v>0</v>
      </c>
      <c r="M48" s="20">
        <f>Лист1!AX41</f>
        <v>323.82</v>
      </c>
      <c r="N48" s="21">
        <f>Лист1!BB41</f>
        <v>3511.3310000000006</v>
      </c>
      <c r="O48" s="52">
        <f>Лист1!BD41</f>
        <v>-739.6559999999995</v>
      </c>
      <c r="P48" s="52">
        <f>Лист1!BE41</f>
        <v>-2709.8299999999995</v>
      </c>
      <c r="Q48" s="1"/>
      <c r="R48" s="1"/>
    </row>
    <row r="49" spans="1:18" s="28" customFormat="1" ht="13.5" thickBot="1">
      <c r="A49" s="55" t="s">
        <v>5</v>
      </c>
      <c r="B49" s="56"/>
      <c r="C49" s="57">
        <f aca="true" t="shared" si="3" ref="C49:J49">SUM(C37:C48)</f>
        <v>67553.04000000001</v>
      </c>
      <c r="D49" s="58">
        <f t="shared" si="3"/>
        <v>17192.62000000001</v>
      </c>
      <c r="E49" s="57">
        <f t="shared" si="3"/>
        <v>49517.600000000006</v>
      </c>
      <c r="F49" s="59">
        <f t="shared" si="3"/>
        <v>842.82</v>
      </c>
      <c r="G49" s="60">
        <f t="shared" si="3"/>
        <v>28398.140000000003</v>
      </c>
      <c r="H49" s="57">
        <f t="shared" si="3"/>
        <v>46433.58000000001</v>
      </c>
      <c r="I49" s="58">
        <f t="shared" si="3"/>
        <v>4685.760000000001</v>
      </c>
      <c r="J49" s="57">
        <f t="shared" si="3"/>
        <v>7809.599999999999</v>
      </c>
      <c r="K49" s="57">
        <f aca="true" t="shared" si="4" ref="K49:P49">SUM(K37:K48)</f>
        <v>26786.928</v>
      </c>
      <c r="L49" s="57">
        <f t="shared" si="4"/>
        <v>26021.7968</v>
      </c>
      <c r="M49" s="57">
        <f t="shared" si="4"/>
        <v>2772</v>
      </c>
      <c r="N49" s="59">
        <f t="shared" si="4"/>
        <v>68076.0848</v>
      </c>
      <c r="O49" s="61">
        <f t="shared" si="4"/>
        <v>-21642.50479999999</v>
      </c>
      <c r="P49" s="61">
        <f t="shared" si="4"/>
        <v>-21119.46</v>
      </c>
      <c r="Q49" s="63"/>
      <c r="R49" s="63"/>
    </row>
    <row r="50" spans="1:18" ht="13.5" thickBot="1">
      <c r="A50" s="331" t="s">
        <v>68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70"/>
      <c r="Q50" s="1"/>
      <c r="R50" s="1"/>
    </row>
    <row r="51" spans="1:18" s="28" customFormat="1" ht="13.5" thickBot="1">
      <c r="A51" s="71" t="s">
        <v>54</v>
      </c>
      <c r="B51" s="72"/>
      <c r="C51" s="73">
        <f>C35+C49</f>
        <v>152142.255</v>
      </c>
      <c r="D51" s="74">
        <f aca="true" t="shared" si="5" ref="D51:P51">D35+D49</f>
        <v>33452.50207555001</v>
      </c>
      <c r="E51" s="72">
        <f t="shared" si="5"/>
        <v>108642.20999999999</v>
      </c>
      <c r="F51" s="73">
        <f t="shared" si="5"/>
        <v>3042.4800000000005</v>
      </c>
      <c r="G51" s="74">
        <f t="shared" si="5"/>
        <v>57143.51000000001</v>
      </c>
      <c r="H51" s="73">
        <f t="shared" si="5"/>
        <v>93638.49207555002</v>
      </c>
      <c r="I51" s="74">
        <f t="shared" si="5"/>
        <v>10395.66</v>
      </c>
      <c r="J51" s="72">
        <f t="shared" si="5"/>
        <v>17256.340487744998</v>
      </c>
      <c r="K51" s="72">
        <f t="shared" si="5"/>
        <v>59194.182698041994</v>
      </c>
      <c r="L51" s="72">
        <f t="shared" si="5"/>
        <v>40575.9168</v>
      </c>
      <c r="M51" s="72">
        <f t="shared" si="5"/>
        <v>5388.768</v>
      </c>
      <c r="N51" s="75">
        <f t="shared" si="5"/>
        <v>132810.867985787</v>
      </c>
      <c r="O51" s="76">
        <f t="shared" si="5"/>
        <v>-39172.375910236995</v>
      </c>
      <c r="P51" s="76">
        <f t="shared" si="5"/>
        <v>-51498.7</v>
      </c>
      <c r="Q51" s="77"/>
      <c r="R51" s="63"/>
    </row>
    <row r="55" spans="1:18" ht="12.75">
      <c r="A55" s="28" t="s">
        <v>85</v>
      </c>
      <c r="D55" s="177" t="s">
        <v>90</v>
      </c>
      <c r="Q55" s="1"/>
      <c r="R55" s="1"/>
    </row>
    <row r="56" spans="1:18" ht="12.75">
      <c r="A56" s="32" t="s">
        <v>69</v>
      </c>
      <c r="B56" s="32" t="s">
        <v>70</v>
      </c>
      <c r="C56" s="330" t="s">
        <v>71</v>
      </c>
      <c r="D56" s="330"/>
      <c r="Q56" s="1"/>
      <c r="R56" s="1"/>
    </row>
    <row r="57" spans="1:18" ht="12.75">
      <c r="A57" s="136">
        <v>24155.63</v>
      </c>
      <c r="B57" s="136">
        <v>0</v>
      </c>
      <c r="C57" s="328">
        <f>A57-B57</f>
        <v>24155.63</v>
      </c>
      <c r="D57" s="329"/>
      <c r="Q57" s="1"/>
      <c r="R57" s="1"/>
    </row>
    <row r="58" spans="1:18" ht="12.75">
      <c r="A58" s="78"/>
      <c r="Q58" s="1"/>
      <c r="R58" s="1"/>
    </row>
    <row r="59" spans="1:18" ht="12.75">
      <c r="A59" s="78"/>
      <c r="Q59" s="1"/>
      <c r="R59" s="1"/>
    </row>
    <row r="60" spans="1:18" ht="12.75">
      <c r="A60" s="2" t="s">
        <v>72</v>
      </c>
      <c r="G60" s="2" t="s">
        <v>73</v>
      </c>
      <c r="Q60" s="1"/>
      <c r="R60" s="1"/>
    </row>
    <row r="61" ht="12.75">
      <c r="A61" s="1"/>
    </row>
    <row r="62" ht="12.75">
      <c r="A62" s="1" t="s">
        <v>84</v>
      </c>
    </row>
    <row r="63" ht="12.75">
      <c r="A63" s="2" t="s">
        <v>74</v>
      </c>
    </row>
  </sheetData>
  <sheetProtection/>
  <mergeCells count="23">
    <mergeCell ref="P10:P13"/>
    <mergeCell ref="E12:F12"/>
    <mergeCell ref="H12:H13"/>
    <mergeCell ref="I12:I13"/>
    <mergeCell ref="J12:J13"/>
    <mergeCell ref="K12:K13"/>
    <mergeCell ref="L12:L13"/>
    <mergeCell ref="O10:O13"/>
    <mergeCell ref="C57:D57"/>
    <mergeCell ref="C56:D56"/>
    <mergeCell ref="A34:O34"/>
    <mergeCell ref="M12:M13"/>
    <mergeCell ref="N12:N13"/>
    <mergeCell ref="A50:O50"/>
    <mergeCell ref="A6:O6"/>
    <mergeCell ref="A10:A13"/>
    <mergeCell ref="B10:B13"/>
    <mergeCell ref="C10:C13"/>
    <mergeCell ref="D10:D13"/>
    <mergeCell ref="E10:F11"/>
    <mergeCell ref="I10:N11"/>
    <mergeCell ref="A7:G7"/>
    <mergeCell ref="G10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4" sqref="BF2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0.8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5" width="9.25390625" style="2" customWidth="1"/>
    <col min="46" max="46" width="10.125" style="2" bestFit="1" customWidth="1"/>
    <col min="47" max="47" width="11.625" style="2" customWidth="1"/>
    <col min="48" max="48" width="10.875" style="2" customWidth="1"/>
    <col min="49" max="49" width="10.625" style="2" customWidth="1"/>
    <col min="50" max="50" width="9.25390625" style="2" customWidth="1"/>
    <col min="51" max="51" width="10.625" style="2" customWidth="1"/>
    <col min="52" max="52" width="9.25390625" style="2" bestFit="1" customWidth="1"/>
    <col min="53" max="54" width="10.125" style="2" bestFit="1" customWidth="1"/>
    <col min="55" max="56" width="10.375" style="2" customWidth="1"/>
    <col min="57" max="57" width="10.75390625" style="2" customWidth="1"/>
    <col min="58" max="58" width="14.00390625" style="2" customWidth="1"/>
    <col min="59" max="59" width="12.25390625" style="2" customWidth="1"/>
    <col min="60" max="16384" width="9.125" style="2" customWidth="1"/>
  </cols>
  <sheetData>
    <row r="1" spans="1:18" ht="21" customHeight="1">
      <c r="A1" s="269" t="s">
        <v>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60" ht="29.25" customHeight="1" thickBot="1">
      <c r="A3" s="380" t="s">
        <v>0</v>
      </c>
      <c r="B3" s="382" t="s">
        <v>1</v>
      </c>
      <c r="C3" s="384" t="s">
        <v>2</v>
      </c>
      <c r="D3" s="386" t="s">
        <v>3</v>
      </c>
      <c r="E3" s="380" t="s">
        <v>94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18"/>
      <c r="S3" s="380"/>
      <c r="T3" s="388"/>
      <c r="U3" s="380" t="s">
        <v>5</v>
      </c>
      <c r="V3" s="388"/>
      <c r="W3" s="392" t="s">
        <v>6</v>
      </c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4"/>
      <c r="AJ3" s="354" t="s">
        <v>95</v>
      </c>
      <c r="AK3" s="359" t="s">
        <v>10</v>
      </c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1"/>
      <c r="BF3" s="367" t="s">
        <v>11</v>
      </c>
      <c r="BG3" s="404" t="s">
        <v>12</v>
      </c>
      <c r="BH3" s="181"/>
    </row>
    <row r="4" spans="1:59" ht="51.75" customHeight="1" hidden="1" thickBot="1">
      <c r="A4" s="381"/>
      <c r="B4" s="383"/>
      <c r="C4" s="385"/>
      <c r="D4" s="387"/>
      <c r="E4" s="381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41"/>
      <c r="S4" s="390"/>
      <c r="T4" s="391"/>
      <c r="U4" s="390"/>
      <c r="V4" s="391"/>
      <c r="W4" s="395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7"/>
      <c r="AJ4" s="355"/>
      <c r="AK4" s="362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4"/>
      <c r="BF4" s="368"/>
      <c r="BG4" s="405"/>
    </row>
    <row r="5" spans="1:61" ht="19.5" customHeight="1">
      <c r="A5" s="381"/>
      <c r="B5" s="383"/>
      <c r="C5" s="385"/>
      <c r="D5" s="387"/>
      <c r="E5" s="407" t="s">
        <v>13</v>
      </c>
      <c r="F5" s="408"/>
      <c r="G5" s="407" t="s">
        <v>96</v>
      </c>
      <c r="H5" s="408"/>
      <c r="I5" s="407" t="s">
        <v>14</v>
      </c>
      <c r="J5" s="408"/>
      <c r="K5" s="407" t="s">
        <v>16</v>
      </c>
      <c r="L5" s="408"/>
      <c r="M5" s="407" t="s">
        <v>15</v>
      </c>
      <c r="N5" s="408"/>
      <c r="O5" s="411" t="s">
        <v>17</v>
      </c>
      <c r="P5" s="411"/>
      <c r="Q5" s="407" t="s">
        <v>97</v>
      </c>
      <c r="R5" s="408"/>
      <c r="S5" s="411" t="s">
        <v>98</v>
      </c>
      <c r="T5" s="408"/>
      <c r="U5" s="402" t="s">
        <v>20</v>
      </c>
      <c r="V5" s="348" t="s">
        <v>21</v>
      </c>
      <c r="W5" s="346" t="s">
        <v>22</v>
      </c>
      <c r="X5" s="346" t="s">
        <v>99</v>
      </c>
      <c r="Y5" s="346" t="s">
        <v>23</v>
      </c>
      <c r="Z5" s="346" t="s">
        <v>25</v>
      </c>
      <c r="AA5" s="346" t="s">
        <v>24</v>
      </c>
      <c r="AB5" s="346" t="s">
        <v>26</v>
      </c>
      <c r="AC5" s="346" t="s">
        <v>27</v>
      </c>
      <c r="AD5" s="378" t="s">
        <v>28</v>
      </c>
      <c r="AE5" s="378" t="s">
        <v>100</v>
      </c>
      <c r="AF5" s="398" t="s">
        <v>29</v>
      </c>
      <c r="AG5" s="400" t="s">
        <v>101</v>
      </c>
      <c r="AH5" s="370" t="s">
        <v>8</v>
      </c>
      <c r="AI5" s="372" t="s">
        <v>9</v>
      </c>
      <c r="AJ5" s="355"/>
      <c r="AK5" s="374" t="s">
        <v>102</v>
      </c>
      <c r="AL5" s="352" t="s">
        <v>103</v>
      </c>
      <c r="AM5" s="352" t="s">
        <v>104</v>
      </c>
      <c r="AN5" s="350" t="s">
        <v>105</v>
      </c>
      <c r="AO5" s="352" t="s">
        <v>106</v>
      </c>
      <c r="AP5" s="350" t="s">
        <v>107</v>
      </c>
      <c r="AQ5" s="350" t="s">
        <v>108</v>
      </c>
      <c r="AR5" s="350" t="s">
        <v>121</v>
      </c>
      <c r="AS5" s="350" t="s">
        <v>109</v>
      </c>
      <c r="AT5" s="350" t="s">
        <v>36</v>
      </c>
      <c r="AU5" s="277" t="s">
        <v>110</v>
      </c>
      <c r="AV5" s="292" t="s">
        <v>111</v>
      </c>
      <c r="AW5" s="277" t="s">
        <v>112</v>
      </c>
      <c r="AX5" s="304" t="s">
        <v>113</v>
      </c>
      <c r="AY5" s="178"/>
      <c r="AZ5" s="357" t="s">
        <v>19</v>
      </c>
      <c r="BA5" s="350" t="s">
        <v>38</v>
      </c>
      <c r="BB5" s="350" t="s">
        <v>33</v>
      </c>
      <c r="BC5" s="376" t="s">
        <v>39</v>
      </c>
      <c r="BD5" s="365" t="s">
        <v>86</v>
      </c>
      <c r="BE5" s="350" t="s">
        <v>114</v>
      </c>
      <c r="BF5" s="368"/>
      <c r="BG5" s="405"/>
      <c r="BH5" s="182"/>
      <c r="BI5" s="183"/>
    </row>
    <row r="6" spans="1:61" ht="56.25" customHeight="1" thickBot="1">
      <c r="A6" s="381"/>
      <c r="B6" s="383"/>
      <c r="C6" s="385"/>
      <c r="D6" s="387"/>
      <c r="E6" s="409"/>
      <c r="F6" s="410"/>
      <c r="G6" s="409"/>
      <c r="H6" s="410"/>
      <c r="I6" s="409"/>
      <c r="J6" s="410"/>
      <c r="K6" s="409"/>
      <c r="L6" s="410"/>
      <c r="M6" s="409"/>
      <c r="N6" s="410"/>
      <c r="O6" s="412"/>
      <c r="P6" s="412"/>
      <c r="Q6" s="409"/>
      <c r="R6" s="410"/>
      <c r="S6" s="413"/>
      <c r="T6" s="410"/>
      <c r="U6" s="403"/>
      <c r="V6" s="349"/>
      <c r="W6" s="347"/>
      <c r="X6" s="347"/>
      <c r="Y6" s="347"/>
      <c r="Z6" s="347"/>
      <c r="AA6" s="347"/>
      <c r="AB6" s="347"/>
      <c r="AC6" s="347"/>
      <c r="AD6" s="379"/>
      <c r="AE6" s="379"/>
      <c r="AF6" s="399"/>
      <c r="AG6" s="401"/>
      <c r="AH6" s="371"/>
      <c r="AI6" s="373"/>
      <c r="AJ6" s="356"/>
      <c r="AK6" s="375"/>
      <c r="AL6" s="353"/>
      <c r="AM6" s="353"/>
      <c r="AN6" s="351"/>
      <c r="AO6" s="353"/>
      <c r="AP6" s="351"/>
      <c r="AQ6" s="351"/>
      <c r="AR6" s="351"/>
      <c r="AS6" s="351"/>
      <c r="AT6" s="351"/>
      <c r="AU6" s="278"/>
      <c r="AV6" s="293"/>
      <c r="AW6" s="278"/>
      <c r="AX6" s="305"/>
      <c r="AY6" s="179" t="s">
        <v>115</v>
      </c>
      <c r="AZ6" s="358"/>
      <c r="BA6" s="351"/>
      <c r="BB6" s="351"/>
      <c r="BC6" s="377"/>
      <c r="BD6" s="366"/>
      <c r="BE6" s="351"/>
      <c r="BF6" s="369"/>
      <c r="BG6" s="406"/>
      <c r="BH6" s="182"/>
      <c r="BI6" s="183"/>
    </row>
    <row r="7" spans="1:61" ht="19.5" customHeight="1" thickBot="1">
      <c r="A7" s="184">
        <v>1</v>
      </c>
      <c r="B7" s="185">
        <v>2</v>
      </c>
      <c r="C7" s="185">
        <v>3</v>
      </c>
      <c r="D7" s="184">
        <v>4</v>
      </c>
      <c r="E7" s="185">
        <v>5</v>
      </c>
      <c r="F7" s="185">
        <v>6</v>
      </c>
      <c r="G7" s="184">
        <v>7</v>
      </c>
      <c r="H7" s="185">
        <v>8</v>
      </c>
      <c r="I7" s="185">
        <v>9</v>
      </c>
      <c r="J7" s="184">
        <v>10</v>
      </c>
      <c r="K7" s="185">
        <v>11</v>
      </c>
      <c r="L7" s="185">
        <v>12</v>
      </c>
      <c r="M7" s="184">
        <v>13</v>
      </c>
      <c r="N7" s="185">
        <v>14</v>
      </c>
      <c r="O7" s="185">
        <v>15</v>
      </c>
      <c r="P7" s="184">
        <v>16</v>
      </c>
      <c r="Q7" s="185">
        <v>17</v>
      </c>
      <c r="R7" s="185">
        <v>18</v>
      </c>
      <c r="S7" s="184">
        <v>19</v>
      </c>
      <c r="T7" s="185">
        <v>20</v>
      </c>
      <c r="U7" s="185">
        <v>21</v>
      </c>
      <c r="V7" s="184">
        <v>22</v>
      </c>
      <c r="W7" s="185">
        <v>23</v>
      </c>
      <c r="X7" s="184">
        <v>24</v>
      </c>
      <c r="Y7" s="185">
        <v>25</v>
      </c>
      <c r="Z7" s="184">
        <v>26</v>
      </c>
      <c r="AA7" s="185">
        <v>27</v>
      </c>
      <c r="AB7" s="184">
        <v>28</v>
      </c>
      <c r="AC7" s="185">
        <v>29</v>
      </c>
      <c r="AD7" s="184">
        <v>30</v>
      </c>
      <c r="AE7" s="184">
        <v>31</v>
      </c>
      <c r="AF7" s="185">
        <v>32</v>
      </c>
      <c r="AG7" s="184">
        <v>33</v>
      </c>
      <c r="AH7" s="185">
        <v>34</v>
      </c>
      <c r="AI7" s="184">
        <v>35</v>
      </c>
      <c r="AJ7" s="185">
        <v>36</v>
      </c>
      <c r="AK7" s="184">
        <v>37</v>
      </c>
      <c r="AL7" s="185">
        <v>38</v>
      </c>
      <c r="AM7" s="184">
        <v>39</v>
      </c>
      <c r="AN7" s="184">
        <v>40</v>
      </c>
      <c r="AO7" s="185">
        <v>41</v>
      </c>
      <c r="AP7" s="184">
        <v>42</v>
      </c>
      <c r="AQ7" s="185">
        <v>43</v>
      </c>
      <c r="AR7" s="184"/>
      <c r="AS7" s="184">
        <v>44</v>
      </c>
      <c r="AT7" s="185">
        <v>45</v>
      </c>
      <c r="AU7" s="184">
        <v>46</v>
      </c>
      <c r="AV7" s="185">
        <v>47</v>
      </c>
      <c r="AW7" s="184">
        <v>48</v>
      </c>
      <c r="AX7" s="184">
        <v>49</v>
      </c>
      <c r="AY7" s="185"/>
      <c r="AZ7" s="185">
        <v>50</v>
      </c>
      <c r="BA7" s="185">
        <v>51</v>
      </c>
      <c r="BB7" s="185">
        <v>52</v>
      </c>
      <c r="BC7" s="185">
        <v>53</v>
      </c>
      <c r="BD7" s="185">
        <v>54</v>
      </c>
      <c r="BE7" s="185"/>
      <c r="BF7" s="185">
        <v>55</v>
      </c>
      <c r="BG7" s="185">
        <v>56</v>
      </c>
      <c r="BH7" s="183"/>
      <c r="BI7" s="183"/>
    </row>
    <row r="8" spans="1:59" s="28" customFormat="1" ht="13.5" thickBot="1">
      <c r="A8" s="33" t="s">
        <v>54</v>
      </c>
      <c r="B8" s="146"/>
      <c r="C8" s="146">
        <f>Лист1!C44</f>
        <v>152142.255</v>
      </c>
      <c r="D8" s="146">
        <f>Лист1!D44</f>
        <v>33452.50207555001</v>
      </c>
      <c r="E8" s="146">
        <f>Лист1!E44</f>
        <v>14634.019999999999</v>
      </c>
      <c r="F8" s="146">
        <f>Лист1!F44</f>
        <v>416.08000000000004</v>
      </c>
      <c r="G8" s="146">
        <f>0</f>
        <v>0</v>
      </c>
      <c r="H8" s="146">
        <f>0</f>
        <v>0</v>
      </c>
      <c r="I8" s="146">
        <f>Лист1!G44</f>
        <v>19818.15</v>
      </c>
      <c r="J8" s="146">
        <f>Лист1!H44</f>
        <v>562.9399999999999</v>
      </c>
      <c r="K8" s="146">
        <f>Лист1!K44</f>
        <v>25543.53</v>
      </c>
      <c r="L8" s="146">
        <f>Лист1!L44</f>
        <v>707.28</v>
      </c>
      <c r="M8" s="146">
        <f>Лист1!I44</f>
        <v>36938.98999999999</v>
      </c>
      <c r="N8" s="146">
        <f>Лист1!J44</f>
        <v>1023.2600000000001</v>
      </c>
      <c r="O8" s="146">
        <f>Лист1!M44</f>
        <v>11707.52</v>
      </c>
      <c r="P8" s="146">
        <f>Лист1!N44</f>
        <v>332.92</v>
      </c>
      <c r="Q8" s="146">
        <f>'[3]Лист1'!O44</f>
        <v>0</v>
      </c>
      <c r="R8" s="146">
        <f>'[3]Лист1'!P44</f>
        <v>0</v>
      </c>
      <c r="S8" s="146">
        <f>'[3]Лист1'!Q44</f>
        <v>0</v>
      </c>
      <c r="T8" s="146">
        <f>'[3]Лист1'!R44</f>
        <v>0</v>
      </c>
      <c r="U8" s="146">
        <f>Лист1!S44</f>
        <v>108642.20999999999</v>
      </c>
      <c r="V8" s="146">
        <f>Лист1!T44</f>
        <v>3042.4800000000005</v>
      </c>
      <c r="W8" s="146">
        <f>Лист1!U44</f>
        <v>7625.76</v>
      </c>
      <c r="X8" s="146">
        <v>0</v>
      </c>
      <c r="Y8" s="146">
        <f>Лист1!V44</f>
        <v>10323.99</v>
      </c>
      <c r="Z8" s="146">
        <f>Лист1!X44</f>
        <v>13117.599999999999</v>
      </c>
      <c r="AA8" s="146">
        <f>Лист1!W44</f>
        <v>19975.479999999996</v>
      </c>
      <c r="AB8" s="146">
        <f>Лист1!Y44</f>
        <v>6100.68</v>
      </c>
      <c r="AC8" s="146">
        <f>'[2]Лист1'!Z46</f>
        <v>0</v>
      </c>
      <c r="AD8" s="146">
        <f>'[2]Лист1'!AA46</f>
        <v>0</v>
      </c>
      <c r="AF8" s="146">
        <f>Лист1!AB44</f>
        <v>57143.51000000001</v>
      </c>
      <c r="AG8" s="146">
        <f>Лист1!AC44</f>
        <v>93638.49207555002</v>
      </c>
      <c r="AH8" s="146">
        <f>'[2]Лист1'!AD46</f>
        <v>0</v>
      </c>
      <c r="AI8" s="146">
        <f>'[2]Лист1'!AE46</f>
        <v>0</v>
      </c>
      <c r="AJ8" s="146">
        <f>'[2]Лист1'!AF46</f>
        <v>0</v>
      </c>
      <c r="AK8" s="31">
        <f>Лист1!AG44</f>
        <v>10395.66</v>
      </c>
      <c r="AL8" s="31">
        <f>Лист1!AH44</f>
        <v>3483.140668</v>
      </c>
      <c r="AM8" s="146">
        <f>Лист1!AI44+Лист1!AJ44</f>
        <v>17256.340487745</v>
      </c>
      <c r="AN8" s="146">
        <v>0</v>
      </c>
      <c r="AO8" s="146">
        <f>Лист1!AK44+Лист1!AL44</f>
        <v>17201.5837417202</v>
      </c>
      <c r="AP8" s="146">
        <f>Лист1!AM44+Лист1!AN44</f>
        <v>38509.4582883218</v>
      </c>
      <c r="AQ8" s="146">
        <v>0</v>
      </c>
      <c r="AR8" s="146">
        <v>0</v>
      </c>
      <c r="AS8" s="146">
        <v>0</v>
      </c>
      <c r="AT8" s="146">
        <f>'[3]Лист1'!AO44+'[3]Лист1'!AP44</f>
        <v>0</v>
      </c>
      <c r="AU8" s="146">
        <f>Лист1!AS44+Лист1!AU44</f>
        <v>39455.236800000006</v>
      </c>
      <c r="AV8" s="146">
        <f>0</f>
        <v>0</v>
      </c>
      <c r="AW8" s="146">
        <f>Лист1!AT44</f>
        <v>1120.68</v>
      </c>
      <c r="AX8" s="146">
        <f>'[1]Лист1'!AQ44+'[1]Лист1'!AR44</f>
        <v>0</v>
      </c>
      <c r="AY8" s="186">
        <f>Лист1!AX44</f>
        <v>5388.768</v>
      </c>
      <c r="AZ8" s="186">
        <f>'[2]Лист1'!AY46</f>
        <v>0</v>
      </c>
      <c r="BA8" s="186">
        <f>'[2]Лист1'!AZ46</f>
        <v>0</v>
      </c>
      <c r="BB8" s="186">
        <f>'[2]Лист1'!BA46</f>
        <v>0</v>
      </c>
      <c r="BC8" s="186">
        <f>Лист1!BB44</f>
        <v>132810.867985787</v>
      </c>
      <c r="BD8" s="186">
        <f>'[2]Лист1'!BC46</f>
        <v>0</v>
      </c>
      <c r="BE8" s="187">
        <f>BC8</f>
        <v>132810.867985787</v>
      </c>
      <c r="BF8" s="188">
        <f>Лист1!BD44</f>
        <v>-39172.375910236995</v>
      </c>
      <c r="BG8" s="188">
        <f>Лист1!BE44</f>
        <v>-51498.7</v>
      </c>
    </row>
    <row r="9" spans="1:60" ht="13.5" thickBot="1">
      <c r="A9" s="5" t="s">
        <v>116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189"/>
      <c r="BF9" s="188"/>
      <c r="BG9" s="190"/>
      <c r="BH9" s="1"/>
    </row>
    <row r="10" spans="1:75" ht="13.5" thickBot="1">
      <c r="A10" s="13" t="s">
        <v>45</v>
      </c>
      <c r="B10" s="150">
        <v>633.7</v>
      </c>
      <c r="C10" s="135">
        <f>(B10*0.87)+((B10*5.17*0.9*0.9)+(B10*2.51*0.9*0.9))</f>
        <v>4493.439960000001</v>
      </c>
      <c r="D10" s="118">
        <v>475.9502</v>
      </c>
      <c r="E10" s="154">
        <v>0</v>
      </c>
      <c r="F10" s="154">
        <v>0</v>
      </c>
      <c r="G10" s="151">
        <v>2594.5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1286.86</v>
      </c>
      <c r="N10" s="151">
        <v>0</v>
      </c>
      <c r="O10" s="152">
        <v>551.51</v>
      </c>
      <c r="P10" s="248">
        <v>0</v>
      </c>
      <c r="Q10" s="261">
        <v>0</v>
      </c>
      <c r="R10" s="262">
        <v>0</v>
      </c>
      <c r="S10" s="247">
        <v>0</v>
      </c>
      <c r="T10" s="250">
        <v>0</v>
      </c>
      <c r="U10" s="263">
        <f>E10+G10+I10+K10+M10+O10+Q10+S10</f>
        <v>4432.87</v>
      </c>
      <c r="V10" s="264">
        <f>F10+H10+J10+L10+N10+P10+R10+T10</f>
        <v>0</v>
      </c>
      <c r="W10" s="151">
        <v>218.51</v>
      </c>
      <c r="X10" s="151"/>
      <c r="Y10" s="151">
        <v>296.14</v>
      </c>
      <c r="Z10" s="151">
        <v>394.46</v>
      </c>
      <c r="AA10" s="151">
        <v>570.11</v>
      </c>
      <c r="AB10" s="151">
        <v>174.82</v>
      </c>
      <c r="AC10" s="151">
        <v>0</v>
      </c>
      <c r="AD10" s="154">
        <v>0</v>
      </c>
      <c r="AE10" s="252">
        <v>0</v>
      </c>
      <c r="AF10" s="252">
        <f>SUM(W10:AE10)</f>
        <v>1654.0399999999997</v>
      </c>
      <c r="AG10" s="192">
        <f>AF10+V10+D10</f>
        <v>2129.9901999999997</v>
      </c>
      <c r="AH10" s="193">
        <f>AC10</f>
        <v>0</v>
      </c>
      <c r="AI10" s="193">
        <f>AD10</f>
        <v>0</v>
      </c>
      <c r="AJ10" s="216"/>
      <c r="AK10" s="158">
        <f>0.67*B10</f>
        <v>424.57900000000006</v>
      </c>
      <c r="AL10" s="158">
        <f>B10*0.2</f>
        <v>126.74000000000001</v>
      </c>
      <c r="AM10" s="158">
        <f>B10*1</f>
        <v>633.7</v>
      </c>
      <c r="AN10" s="158">
        <f>B10*0.21</f>
        <v>133.077</v>
      </c>
      <c r="AO10" s="158">
        <f>2.02*B10</f>
        <v>1280.074</v>
      </c>
      <c r="AP10" s="158">
        <f>B10*1.03</f>
        <v>652.711</v>
      </c>
      <c r="AQ10" s="158">
        <f>B10*0.75</f>
        <v>475.27500000000003</v>
      </c>
      <c r="AR10" s="158">
        <f>B10*0.75</f>
        <v>475.27500000000003</v>
      </c>
      <c r="AS10" s="198">
        <v>0</v>
      </c>
      <c r="AT10" s="198"/>
      <c r="AU10" s="217"/>
      <c r="AV10" s="217"/>
      <c r="AW10" s="217"/>
      <c r="AX10" s="217"/>
      <c r="AY10" s="198"/>
      <c r="AZ10" s="132"/>
      <c r="BA10" s="132"/>
      <c r="BB10" s="163">
        <f>AZ10*0.18</f>
        <v>0</v>
      </c>
      <c r="BC10" s="163">
        <f>SUM(AK10:BB10)</f>
        <v>4201.4310000000005</v>
      </c>
      <c r="BD10" s="194"/>
      <c r="BE10" s="194">
        <f aca="true" t="shared" si="0" ref="BE10:BE21">BC10</f>
        <v>4201.4310000000005</v>
      </c>
      <c r="BF10" s="194">
        <f>AG10-BE10</f>
        <v>-2071.4408000000008</v>
      </c>
      <c r="BG10" s="133">
        <f aca="true" t="shared" si="1" ref="BG10:BG21">AF10-U10</f>
        <v>-2778.83</v>
      </c>
      <c r="BH10" s="133"/>
      <c r="BI10" s="133"/>
      <c r="BJ10" s="140"/>
      <c r="BK10" s="132"/>
      <c r="BL10" s="194"/>
      <c r="BM10" s="133"/>
      <c r="BN10" s="140"/>
      <c r="BO10" s="133"/>
      <c r="BP10" s="188"/>
      <c r="BQ10" s="190"/>
      <c r="BR10" s="188"/>
      <c r="BS10" s="195"/>
      <c r="BT10" s="77"/>
      <c r="BU10" s="196"/>
      <c r="BV10" s="77"/>
      <c r="BW10" s="196"/>
    </row>
    <row r="11" spans="1:68" ht="13.5" thickBot="1">
      <c r="A11" s="13" t="s">
        <v>46</v>
      </c>
      <c r="B11" s="150">
        <v>633.7</v>
      </c>
      <c r="C11" s="135">
        <f>(B11*0.87)+((B11*5.17*0.9*0.9)+(B11*2.51*0.9*0.9))</f>
        <v>4493.439960000001</v>
      </c>
      <c r="D11" s="118">
        <v>475.9502</v>
      </c>
      <c r="E11" s="154">
        <v>0</v>
      </c>
      <c r="F11" s="154">
        <v>0</v>
      </c>
      <c r="G11" s="151">
        <v>2717.66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1286.85</v>
      </c>
      <c r="N11" s="151">
        <v>0</v>
      </c>
      <c r="O11" s="152">
        <v>551.51</v>
      </c>
      <c r="P11" s="153">
        <v>0</v>
      </c>
      <c r="Q11" s="154">
        <v>0</v>
      </c>
      <c r="R11" s="154">
        <v>0</v>
      </c>
      <c r="S11" s="154">
        <v>0</v>
      </c>
      <c r="T11" s="151">
        <v>0</v>
      </c>
      <c r="U11" s="251">
        <f aca="true" t="shared" si="2" ref="U11:V21">E11+G11+I11+K11+M11+O11+Q11+S11</f>
        <v>4556.0199999999995</v>
      </c>
      <c r="V11" s="264">
        <f t="shared" si="2"/>
        <v>0</v>
      </c>
      <c r="W11" s="151">
        <v>123.85</v>
      </c>
      <c r="X11" s="154">
        <v>1052.44</v>
      </c>
      <c r="Y11" s="151">
        <v>167.87</v>
      </c>
      <c r="Z11" s="151">
        <v>224.07</v>
      </c>
      <c r="AA11" s="151">
        <v>833.72</v>
      </c>
      <c r="AB11" s="151">
        <v>317.62</v>
      </c>
      <c r="AC11" s="151">
        <v>0</v>
      </c>
      <c r="AD11" s="154">
        <v>0</v>
      </c>
      <c r="AE11" s="154">
        <v>0</v>
      </c>
      <c r="AF11" s="252">
        <f>SUM(W11:AE11)</f>
        <v>2719.5699999999997</v>
      </c>
      <c r="AG11" s="192">
        <f>AF11+V11+D11</f>
        <v>3195.5202</v>
      </c>
      <c r="AH11" s="193">
        <f aca="true" t="shared" si="3" ref="AH11:AI21">AC11</f>
        <v>0</v>
      </c>
      <c r="AI11" s="193">
        <f t="shared" si="3"/>
        <v>0</v>
      </c>
      <c r="AJ11" s="216"/>
      <c r="AK11" s="158">
        <f aca="true" t="shared" si="4" ref="AK11:AK21">0.67*B11</f>
        <v>424.57900000000006</v>
      </c>
      <c r="AL11" s="158">
        <f aca="true" t="shared" si="5" ref="AL11:AL21">B11*0.2</f>
        <v>126.74000000000001</v>
      </c>
      <c r="AM11" s="158">
        <f aca="true" t="shared" si="6" ref="AM11:AM21">B11*1</f>
        <v>633.7</v>
      </c>
      <c r="AN11" s="158">
        <f aca="true" t="shared" si="7" ref="AN11:AN21">B11*0.21</f>
        <v>133.077</v>
      </c>
      <c r="AO11" s="158">
        <f>2.02*B11</f>
        <v>1280.074</v>
      </c>
      <c r="AP11" s="158">
        <f aca="true" t="shared" si="8" ref="AP11:AP21">B11*1.03</f>
        <v>652.711</v>
      </c>
      <c r="AQ11" s="158">
        <f aca="true" t="shared" si="9" ref="AQ11:AQ21">B11*0.75</f>
        <v>475.27500000000003</v>
      </c>
      <c r="AR11" s="158">
        <f aca="true" t="shared" si="10" ref="AR11:AR21">B11*0.75</f>
        <v>475.27500000000003</v>
      </c>
      <c r="AS11" s="198">
        <v>0</v>
      </c>
      <c r="AT11" s="198"/>
      <c r="AU11" s="217"/>
      <c r="AV11" s="217"/>
      <c r="AW11" s="217"/>
      <c r="AX11" s="160"/>
      <c r="AY11" s="198"/>
      <c r="AZ11" s="132"/>
      <c r="BA11" s="132"/>
      <c r="BB11" s="163">
        <f>BA11*0.18</f>
        <v>0</v>
      </c>
      <c r="BC11" s="163">
        <f>SUM(AK11:BB11)</f>
        <v>4201.4310000000005</v>
      </c>
      <c r="BD11" s="194"/>
      <c r="BE11" s="194">
        <f t="shared" si="0"/>
        <v>4201.4310000000005</v>
      </c>
      <c r="BF11" s="194">
        <f aca="true" t="shared" si="11" ref="BF11:BF21">AG11-BE11</f>
        <v>-1005.9108000000006</v>
      </c>
      <c r="BG11" s="133">
        <f t="shared" si="1"/>
        <v>-1836.4499999999998</v>
      </c>
      <c r="BH11" s="133"/>
      <c r="BI11" s="140"/>
      <c r="BJ11" s="132"/>
      <c r="BK11" s="140"/>
      <c r="BL11" s="188"/>
      <c r="BM11" s="190"/>
      <c r="BN11" s="195"/>
      <c r="BO11" s="196"/>
      <c r="BP11" s="197"/>
    </row>
    <row r="12" spans="1:69" ht="13.5" thickBot="1">
      <c r="A12" s="13" t="s">
        <v>47</v>
      </c>
      <c r="B12" s="150">
        <v>633.7</v>
      </c>
      <c r="C12" s="135">
        <f>(B12*0.87)+((B12*5.17*0.9*0.9)+(B12*2.51*0.9*0.9))</f>
        <v>4493.439960000001</v>
      </c>
      <c r="D12" s="118">
        <v>475.9502</v>
      </c>
      <c r="E12" s="154">
        <v>0</v>
      </c>
      <c r="F12" s="154">
        <v>0</v>
      </c>
      <c r="G12" s="151">
        <v>2656.08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1286.85</v>
      </c>
      <c r="N12" s="151">
        <v>0</v>
      </c>
      <c r="O12" s="152">
        <v>551.51</v>
      </c>
      <c r="P12" s="248">
        <v>0</v>
      </c>
      <c r="Q12" s="256">
        <v>0</v>
      </c>
      <c r="R12" s="256">
        <v>0</v>
      </c>
      <c r="S12" s="256">
        <v>0</v>
      </c>
      <c r="T12" s="151">
        <v>0</v>
      </c>
      <c r="U12" s="151">
        <f t="shared" si="2"/>
        <v>4494.44</v>
      </c>
      <c r="V12" s="155">
        <f t="shared" si="2"/>
        <v>0</v>
      </c>
      <c r="W12" s="166">
        <v>60.57</v>
      </c>
      <c r="X12" s="154">
        <v>1129.4</v>
      </c>
      <c r="Y12" s="151">
        <v>82.12</v>
      </c>
      <c r="Z12" s="151">
        <v>110.31</v>
      </c>
      <c r="AA12" s="151">
        <v>655.04</v>
      </c>
      <c r="AB12" s="151">
        <v>267.29</v>
      </c>
      <c r="AC12" s="151">
        <v>0</v>
      </c>
      <c r="AD12" s="154">
        <v>0</v>
      </c>
      <c r="AE12" s="151">
        <v>0</v>
      </c>
      <c r="AF12" s="265">
        <f>SUM(W12:AE12)</f>
        <v>2304.73</v>
      </c>
      <c r="AG12" s="192">
        <f>AF12+V12+D12</f>
        <v>2780.6802</v>
      </c>
      <c r="AH12" s="193">
        <f t="shared" si="3"/>
        <v>0</v>
      </c>
      <c r="AI12" s="193">
        <f t="shared" si="3"/>
        <v>0</v>
      </c>
      <c r="AJ12" s="216"/>
      <c r="AK12" s="158">
        <f t="shared" si="4"/>
        <v>424.57900000000006</v>
      </c>
      <c r="AL12" s="158">
        <f t="shared" si="5"/>
        <v>126.74000000000001</v>
      </c>
      <c r="AM12" s="158">
        <f t="shared" si="6"/>
        <v>633.7</v>
      </c>
      <c r="AN12" s="158">
        <f t="shared" si="7"/>
        <v>133.077</v>
      </c>
      <c r="AO12" s="158">
        <f>2.02*B12</f>
        <v>1280.074</v>
      </c>
      <c r="AP12" s="158">
        <f t="shared" si="8"/>
        <v>652.711</v>
      </c>
      <c r="AQ12" s="158">
        <f t="shared" si="9"/>
        <v>475.27500000000003</v>
      </c>
      <c r="AR12" s="158">
        <f t="shared" si="10"/>
        <v>475.27500000000003</v>
      </c>
      <c r="AS12" s="198">
        <v>0</v>
      </c>
      <c r="AT12" s="198"/>
      <c r="AU12" s="217"/>
      <c r="AV12" s="217"/>
      <c r="AW12" s="217"/>
      <c r="AX12" s="217">
        <f>'[5]март 2011'!$F$174+'[5]март 2011'!$F$177</f>
        <v>770</v>
      </c>
      <c r="AY12" s="198"/>
      <c r="AZ12" s="132"/>
      <c r="BA12" s="132"/>
      <c r="BB12" s="163">
        <f>AZ12*0.18</f>
        <v>0</v>
      </c>
      <c r="BC12" s="163">
        <f aca="true" t="shared" si="12" ref="BC12:BC21">SUM(AK12:BB12)</f>
        <v>4971.4310000000005</v>
      </c>
      <c r="BD12" s="194"/>
      <c r="BE12" s="194">
        <f t="shared" si="0"/>
        <v>4971.4310000000005</v>
      </c>
      <c r="BF12" s="194">
        <f t="shared" si="11"/>
        <v>-2190.7508000000007</v>
      </c>
      <c r="BG12" s="133">
        <f t="shared" si="1"/>
        <v>-2189.7099999999996</v>
      </c>
      <c r="BH12" s="133"/>
      <c r="BI12" s="133"/>
      <c r="BJ12" s="140"/>
      <c r="BK12" s="132"/>
      <c r="BL12" s="140"/>
      <c r="BM12" s="188"/>
      <c r="BN12" s="190"/>
      <c r="BO12" s="195"/>
      <c r="BP12" s="196"/>
      <c r="BQ12" s="197"/>
    </row>
    <row r="13" spans="1:69" ht="13.5" thickBot="1">
      <c r="A13" s="13" t="s">
        <v>48</v>
      </c>
      <c r="B13" s="170">
        <v>656.5</v>
      </c>
      <c r="C13" s="135">
        <f>(B13*0.87)+((B13*5.17*0.9*0.9)+(B13*2.51*0.9*0.9))</f>
        <v>4655.1102</v>
      </c>
      <c r="D13" s="246">
        <v>475.9502</v>
      </c>
      <c r="E13" s="247">
        <v>40.38</v>
      </c>
      <c r="F13" s="154">
        <v>0</v>
      </c>
      <c r="G13" s="151">
        <v>3038.2</v>
      </c>
      <c r="H13" s="151">
        <v>0</v>
      </c>
      <c r="I13" s="151">
        <v>54.74</v>
      </c>
      <c r="J13" s="151">
        <v>0</v>
      </c>
      <c r="K13" s="151">
        <v>73.58</v>
      </c>
      <c r="L13" s="151">
        <v>0</v>
      </c>
      <c r="M13" s="151">
        <v>1578.3</v>
      </c>
      <c r="N13" s="151">
        <v>0</v>
      </c>
      <c r="O13" s="152">
        <v>663.18</v>
      </c>
      <c r="P13" s="248">
        <v>0</v>
      </c>
      <c r="Q13" s="248">
        <v>0</v>
      </c>
      <c r="R13" s="248">
        <v>0</v>
      </c>
      <c r="S13" s="249">
        <v>0</v>
      </c>
      <c r="T13" s="250">
        <v>0</v>
      </c>
      <c r="U13" s="251">
        <f t="shared" si="2"/>
        <v>5448.38</v>
      </c>
      <c r="V13" s="155">
        <f t="shared" si="2"/>
        <v>0</v>
      </c>
      <c r="W13" s="151">
        <v>65.21</v>
      </c>
      <c r="X13" s="154">
        <v>834.94</v>
      </c>
      <c r="Y13" s="151">
        <v>88.37</v>
      </c>
      <c r="Z13" s="151">
        <v>117.42</v>
      </c>
      <c r="AA13" s="151">
        <v>547.98</v>
      </c>
      <c r="AB13" s="154">
        <v>217.55</v>
      </c>
      <c r="AC13" s="151">
        <v>0</v>
      </c>
      <c r="AD13" s="154">
        <v>0</v>
      </c>
      <c r="AE13" s="154">
        <v>0</v>
      </c>
      <c r="AF13" s="252">
        <f>SUM(W13:AD13)</f>
        <v>1871.47</v>
      </c>
      <c r="AG13" s="253">
        <f>AF13+V13+D13</f>
        <v>2347.4202</v>
      </c>
      <c r="AH13" s="254">
        <f t="shared" si="3"/>
        <v>0</v>
      </c>
      <c r="AI13" s="254">
        <f t="shared" si="3"/>
        <v>0</v>
      </c>
      <c r="AJ13" s="255"/>
      <c r="AK13" s="158">
        <f t="shared" si="4"/>
        <v>439.855</v>
      </c>
      <c r="AL13" s="158">
        <f t="shared" si="5"/>
        <v>131.3</v>
      </c>
      <c r="AM13" s="158">
        <f t="shared" si="6"/>
        <v>656.5</v>
      </c>
      <c r="AN13" s="158">
        <f t="shared" si="7"/>
        <v>137.865</v>
      </c>
      <c r="AO13" s="158">
        <f>2.02*B13</f>
        <v>1326.13</v>
      </c>
      <c r="AP13" s="158">
        <f t="shared" si="8"/>
        <v>676.195</v>
      </c>
      <c r="AQ13" s="158">
        <f t="shared" si="9"/>
        <v>492.375</v>
      </c>
      <c r="AR13" s="158">
        <f t="shared" si="10"/>
        <v>492.375</v>
      </c>
      <c r="AS13" s="198"/>
      <c r="AT13" s="237"/>
      <c r="AU13" s="238"/>
      <c r="AV13" s="238">
        <v>151</v>
      </c>
      <c r="AW13" s="238"/>
      <c r="AX13" s="238"/>
      <c r="AY13" s="198"/>
      <c r="AZ13" s="198"/>
      <c r="BA13" s="237"/>
      <c r="BB13" s="237"/>
      <c r="BC13" s="163">
        <f t="shared" si="12"/>
        <v>4503.595</v>
      </c>
      <c r="BD13" s="240"/>
      <c r="BE13" s="194">
        <f t="shared" si="0"/>
        <v>4503.595</v>
      </c>
      <c r="BF13" s="194">
        <f t="shared" si="11"/>
        <v>-2156.1748000000002</v>
      </c>
      <c r="BG13" s="133">
        <f t="shared" si="1"/>
        <v>-3576.91</v>
      </c>
      <c r="BH13" s="133"/>
      <c r="BI13" s="133"/>
      <c r="BJ13" s="140"/>
      <c r="BK13" s="132"/>
      <c r="BL13" s="140"/>
      <c r="BM13" s="188"/>
      <c r="BN13" s="190"/>
      <c r="BO13" s="195"/>
      <c r="BP13" s="196"/>
      <c r="BQ13" s="197"/>
    </row>
    <row r="14" spans="1:69" ht="13.5" thickBot="1">
      <c r="A14" s="13" t="s">
        <v>49</v>
      </c>
      <c r="B14" s="199">
        <v>656.5</v>
      </c>
      <c r="C14" s="135">
        <f>(B14*0.87)+((B14*5.17*0.9*0.9)+(B14*2.51*0.9*0.9))</f>
        <v>4655.1102</v>
      </c>
      <c r="D14" s="246">
        <v>475.9502</v>
      </c>
      <c r="E14" s="257">
        <v>-0.86</v>
      </c>
      <c r="F14" s="154">
        <v>0</v>
      </c>
      <c r="G14" s="151">
        <v>2751.61</v>
      </c>
      <c r="H14" s="151">
        <v>0</v>
      </c>
      <c r="I14" s="151">
        <v>-1.16</v>
      </c>
      <c r="J14" s="151">
        <v>0</v>
      </c>
      <c r="K14" s="151">
        <v>-1.56</v>
      </c>
      <c r="L14" s="151">
        <v>0</v>
      </c>
      <c r="M14" s="151">
        <v>1330.86</v>
      </c>
      <c r="N14" s="151">
        <v>0</v>
      </c>
      <c r="O14" s="152">
        <v>570.65</v>
      </c>
      <c r="P14" s="248">
        <v>0</v>
      </c>
      <c r="Q14" s="256">
        <v>0</v>
      </c>
      <c r="R14" s="258">
        <v>0</v>
      </c>
      <c r="S14" s="256">
        <v>0</v>
      </c>
      <c r="T14" s="154">
        <v>0</v>
      </c>
      <c r="U14" s="247">
        <f t="shared" si="2"/>
        <v>4649.54</v>
      </c>
      <c r="V14" s="259">
        <f>F14+H14+J14+L14+N14++R14+T14</f>
        <v>0</v>
      </c>
      <c r="W14" s="151">
        <v>229.88</v>
      </c>
      <c r="X14" s="154">
        <v>1097.41</v>
      </c>
      <c r="Y14" s="151">
        <v>311.6</v>
      </c>
      <c r="Z14" s="151">
        <v>1418.87</v>
      </c>
      <c r="AA14" s="151">
        <v>1142.29</v>
      </c>
      <c r="AB14" s="151">
        <v>413.35</v>
      </c>
      <c r="AC14" s="151">
        <v>0</v>
      </c>
      <c r="AD14" s="154">
        <v>0</v>
      </c>
      <c r="AE14" s="252">
        <v>0</v>
      </c>
      <c r="AF14" s="260">
        <f>SUM(W14:AE14)</f>
        <v>4613.4</v>
      </c>
      <c r="AG14" s="253">
        <f aca="true" t="shared" si="13" ref="AG14:AG21">D14+V14+AF14</f>
        <v>5089.3502</v>
      </c>
      <c r="AH14" s="254">
        <f t="shared" si="3"/>
        <v>0</v>
      </c>
      <c r="AI14" s="254">
        <f t="shared" si="3"/>
        <v>0</v>
      </c>
      <c r="AJ14" s="255"/>
      <c r="AK14" s="158">
        <f t="shared" si="4"/>
        <v>439.855</v>
      </c>
      <c r="AL14" s="158">
        <f t="shared" si="5"/>
        <v>131.3</v>
      </c>
      <c r="AM14" s="158">
        <f t="shared" si="6"/>
        <v>656.5</v>
      </c>
      <c r="AN14" s="158">
        <f t="shared" si="7"/>
        <v>137.865</v>
      </c>
      <c r="AO14" s="158">
        <f>2.02*B14</f>
        <v>1326.13</v>
      </c>
      <c r="AP14" s="158">
        <f t="shared" si="8"/>
        <v>676.195</v>
      </c>
      <c r="AQ14" s="158">
        <f t="shared" si="9"/>
        <v>492.375</v>
      </c>
      <c r="AR14" s="158">
        <f t="shared" si="10"/>
        <v>492.375</v>
      </c>
      <c r="AS14" s="198"/>
      <c r="AT14" s="237"/>
      <c r="AU14" s="238"/>
      <c r="AV14" s="238"/>
      <c r="AW14" s="238"/>
      <c r="AX14" s="238"/>
      <c r="AY14" s="198"/>
      <c r="AZ14" s="198"/>
      <c r="BA14" s="237"/>
      <c r="BB14" s="237"/>
      <c r="BC14" s="163">
        <f t="shared" si="12"/>
        <v>4352.595</v>
      </c>
      <c r="BD14" s="240"/>
      <c r="BE14" s="194">
        <f t="shared" si="0"/>
        <v>4352.595</v>
      </c>
      <c r="BF14" s="194">
        <f t="shared" si="11"/>
        <v>736.7551999999996</v>
      </c>
      <c r="BG14" s="133">
        <f t="shared" si="1"/>
        <v>-36.14000000000033</v>
      </c>
      <c r="BH14" s="133"/>
      <c r="BI14" s="140"/>
      <c r="BJ14" s="140"/>
      <c r="BK14" s="132"/>
      <c r="BL14" s="140"/>
      <c r="BM14" s="188"/>
      <c r="BN14" s="190"/>
      <c r="BO14" s="195"/>
      <c r="BP14" s="196"/>
      <c r="BQ14" s="197"/>
    </row>
    <row r="15" spans="1:68" ht="12.75">
      <c r="A15" s="13" t="s">
        <v>50</v>
      </c>
      <c r="B15" s="150">
        <v>656.5</v>
      </c>
      <c r="C15" s="135">
        <f>(B15*0.87)+((B15*5.17*0.9*0.9)+(B15*2.51*0.9*0.9))</f>
        <v>4655.1102</v>
      </c>
      <c r="D15" s="246">
        <v>475.9502</v>
      </c>
      <c r="E15" s="200">
        <v>0</v>
      </c>
      <c r="F15" s="200"/>
      <c r="G15" s="200">
        <v>2751.61</v>
      </c>
      <c r="H15" s="200"/>
      <c r="I15" s="219">
        <v>0</v>
      </c>
      <c r="J15" s="219"/>
      <c r="K15" s="219">
        <v>0</v>
      </c>
      <c r="L15" s="219"/>
      <c r="M15" s="219">
        <v>1333.13</v>
      </c>
      <c r="N15" s="219"/>
      <c r="O15" s="219">
        <v>571.34</v>
      </c>
      <c r="P15" s="219"/>
      <c r="Q15" s="219">
        <v>0</v>
      </c>
      <c r="R15" s="220"/>
      <c r="S15" s="220">
        <v>0</v>
      </c>
      <c r="T15" s="219"/>
      <c r="U15" s="221">
        <f t="shared" si="2"/>
        <v>4656.08</v>
      </c>
      <c r="V15" s="222">
        <f t="shared" si="2"/>
        <v>0</v>
      </c>
      <c r="W15" s="202">
        <v>378.72</v>
      </c>
      <c r="X15" s="200">
        <v>1677.21</v>
      </c>
      <c r="Y15" s="200">
        <v>513.09</v>
      </c>
      <c r="Z15" s="200">
        <v>674.7</v>
      </c>
      <c r="AA15" s="200">
        <v>1791.08</v>
      </c>
      <c r="AB15" s="200">
        <v>652.15</v>
      </c>
      <c r="AC15" s="200">
        <v>0</v>
      </c>
      <c r="AD15" s="200">
        <v>0</v>
      </c>
      <c r="AE15" s="201">
        <v>0</v>
      </c>
      <c r="AF15" s="203">
        <f aca="true" t="shared" si="14" ref="AF15:AF21">SUM(W15:AE15)</f>
        <v>5686.95</v>
      </c>
      <c r="AG15" s="253">
        <f t="shared" si="13"/>
        <v>6162.9002</v>
      </c>
      <c r="AH15" s="254">
        <f t="shared" si="3"/>
        <v>0</v>
      </c>
      <c r="AI15" s="254">
        <f t="shared" si="3"/>
        <v>0</v>
      </c>
      <c r="AJ15" s="255"/>
      <c r="AK15" s="158">
        <f t="shared" si="4"/>
        <v>439.855</v>
      </c>
      <c r="AL15" s="158">
        <f t="shared" si="5"/>
        <v>131.3</v>
      </c>
      <c r="AM15" s="158">
        <f t="shared" si="6"/>
        <v>656.5</v>
      </c>
      <c r="AN15" s="158">
        <f t="shared" si="7"/>
        <v>137.865</v>
      </c>
      <c r="AO15" s="158">
        <f>2.02*B15</f>
        <v>1326.13</v>
      </c>
      <c r="AP15" s="158">
        <f t="shared" si="8"/>
        <v>676.195</v>
      </c>
      <c r="AQ15" s="158">
        <f t="shared" si="9"/>
        <v>492.375</v>
      </c>
      <c r="AR15" s="158">
        <f t="shared" si="10"/>
        <v>492.375</v>
      </c>
      <c r="AS15" s="158"/>
      <c r="AT15" s="237"/>
      <c r="AU15" s="238"/>
      <c r="AV15" s="238"/>
      <c r="AW15" s="238"/>
      <c r="AX15" s="238"/>
      <c r="AY15" s="158"/>
      <c r="AZ15" s="158"/>
      <c r="BA15" s="237"/>
      <c r="BB15" s="237"/>
      <c r="BC15" s="163">
        <f t="shared" si="12"/>
        <v>4352.595</v>
      </c>
      <c r="BD15" s="240"/>
      <c r="BE15" s="194">
        <f t="shared" si="0"/>
        <v>4352.595</v>
      </c>
      <c r="BF15" s="194">
        <f t="shared" si="11"/>
        <v>1810.3051999999998</v>
      </c>
      <c r="BG15" s="133">
        <f t="shared" si="1"/>
        <v>1030.87</v>
      </c>
      <c r="BH15" s="133"/>
      <c r="BI15" s="140"/>
      <c r="BJ15" s="132"/>
      <c r="BK15" s="140"/>
      <c r="BL15" s="188"/>
      <c r="BM15" s="190"/>
      <c r="BN15" s="195"/>
      <c r="BO15" s="196"/>
      <c r="BP15" s="197"/>
    </row>
    <row r="16" spans="1:61" ht="12.75">
      <c r="A16" s="13" t="s">
        <v>51</v>
      </c>
      <c r="B16" s="223">
        <v>656.5</v>
      </c>
      <c r="C16" s="224">
        <f>B16*14.05</f>
        <v>9223.825</v>
      </c>
      <c r="D16" s="225">
        <v>475.9502</v>
      </c>
      <c r="E16" s="226"/>
      <c r="F16" s="226"/>
      <c r="G16" s="226">
        <v>6466.52</v>
      </c>
      <c r="H16" s="226"/>
      <c r="I16" s="226"/>
      <c r="J16" s="226"/>
      <c r="K16" s="226"/>
      <c r="L16" s="226"/>
      <c r="M16" s="226">
        <v>1969.5</v>
      </c>
      <c r="N16" s="226"/>
      <c r="O16" s="226">
        <v>787.8</v>
      </c>
      <c r="P16" s="226"/>
      <c r="Q16" s="226"/>
      <c r="R16" s="226"/>
      <c r="S16" s="227"/>
      <c r="T16" s="228"/>
      <c r="U16" s="229">
        <f t="shared" si="2"/>
        <v>9223.82</v>
      </c>
      <c r="V16" s="230">
        <f t="shared" si="2"/>
        <v>0</v>
      </c>
      <c r="W16" s="231">
        <v>149.15</v>
      </c>
      <c r="X16" s="226">
        <v>1852.87</v>
      </c>
      <c r="Y16" s="226">
        <v>202.12</v>
      </c>
      <c r="Z16" s="226">
        <v>267.27</v>
      </c>
      <c r="AA16" s="226">
        <v>1202.54</v>
      </c>
      <c r="AB16" s="226">
        <v>479.33</v>
      </c>
      <c r="AC16" s="232"/>
      <c r="AD16" s="226"/>
      <c r="AE16" s="227"/>
      <c r="AF16" s="233">
        <f t="shared" si="14"/>
        <v>4153.28</v>
      </c>
      <c r="AG16" s="234">
        <f t="shared" si="13"/>
        <v>4629.2302</v>
      </c>
      <c r="AH16" s="235">
        <f t="shared" si="3"/>
        <v>0</v>
      </c>
      <c r="AI16" s="235">
        <f t="shared" si="3"/>
        <v>0</v>
      </c>
      <c r="AJ16" s="236"/>
      <c r="AK16" s="158">
        <f t="shared" si="4"/>
        <v>439.855</v>
      </c>
      <c r="AL16" s="158">
        <f t="shared" si="5"/>
        <v>131.3</v>
      </c>
      <c r="AM16" s="158">
        <f t="shared" si="6"/>
        <v>656.5</v>
      </c>
      <c r="AN16" s="158">
        <f t="shared" si="7"/>
        <v>137.865</v>
      </c>
      <c r="AO16" s="158">
        <f>2.02*B16</f>
        <v>1326.13</v>
      </c>
      <c r="AP16" s="158">
        <f t="shared" si="8"/>
        <v>676.195</v>
      </c>
      <c r="AQ16" s="158">
        <f t="shared" si="9"/>
        <v>492.375</v>
      </c>
      <c r="AR16" s="158">
        <f t="shared" si="10"/>
        <v>492.375</v>
      </c>
      <c r="AS16" s="198"/>
      <c r="AT16" s="237"/>
      <c r="AU16" s="238">
        <v>3631</v>
      </c>
      <c r="AV16" s="238"/>
      <c r="AW16" s="238"/>
      <c r="AX16" s="238">
        <f>98.32+111.43+9.43+1195</f>
        <v>1414.18</v>
      </c>
      <c r="AY16" s="198"/>
      <c r="AZ16" s="198"/>
      <c r="BA16" s="239"/>
      <c r="BB16" s="239"/>
      <c r="BC16" s="163">
        <f t="shared" si="12"/>
        <v>9397.775</v>
      </c>
      <c r="BD16" s="240"/>
      <c r="BE16" s="194">
        <f t="shared" si="0"/>
        <v>9397.775</v>
      </c>
      <c r="BF16" s="194">
        <f t="shared" si="11"/>
        <v>-4768.5448</v>
      </c>
      <c r="BG16" s="133">
        <f t="shared" si="1"/>
        <v>-5070.54</v>
      </c>
      <c r="BH16" s="133"/>
      <c r="BI16" s="133"/>
    </row>
    <row r="17" spans="1:61" ht="12.75">
      <c r="A17" s="13" t="s">
        <v>52</v>
      </c>
      <c r="B17" s="223">
        <v>656.5</v>
      </c>
      <c r="C17" s="224">
        <f>B17*14.05</f>
        <v>9223.825</v>
      </c>
      <c r="D17" s="225">
        <v>475.9502</v>
      </c>
      <c r="E17" s="226"/>
      <c r="F17" s="226"/>
      <c r="G17" s="226">
        <v>6466.52</v>
      </c>
      <c r="H17" s="226"/>
      <c r="I17" s="226"/>
      <c r="J17" s="226"/>
      <c r="K17" s="226"/>
      <c r="L17" s="226"/>
      <c r="M17" s="226">
        <v>1969.5</v>
      </c>
      <c r="N17" s="226"/>
      <c r="O17" s="226">
        <v>787.8</v>
      </c>
      <c r="P17" s="226"/>
      <c r="Q17" s="226"/>
      <c r="R17" s="226"/>
      <c r="S17" s="227"/>
      <c r="T17" s="241"/>
      <c r="U17" s="242">
        <f t="shared" si="2"/>
        <v>9223.82</v>
      </c>
      <c r="V17" s="243">
        <f t="shared" si="2"/>
        <v>0</v>
      </c>
      <c r="W17" s="226">
        <v>167.13</v>
      </c>
      <c r="X17" s="226">
        <v>2958.03</v>
      </c>
      <c r="Y17" s="226">
        <v>226.54</v>
      </c>
      <c r="Z17" s="226">
        <v>279.61</v>
      </c>
      <c r="AA17" s="226">
        <v>1373.82</v>
      </c>
      <c r="AB17" s="226">
        <v>545.7</v>
      </c>
      <c r="AC17" s="226"/>
      <c r="AD17" s="226"/>
      <c r="AE17" s="227"/>
      <c r="AF17" s="233">
        <f t="shared" si="14"/>
        <v>5550.83</v>
      </c>
      <c r="AG17" s="234">
        <f t="shared" si="13"/>
        <v>6026.7802</v>
      </c>
      <c r="AH17" s="235">
        <f t="shared" si="3"/>
        <v>0</v>
      </c>
      <c r="AI17" s="235">
        <f t="shared" si="3"/>
        <v>0</v>
      </c>
      <c r="AJ17" s="236"/>
      <c r="AK17" s="158">
        <f t="shared" si="4"/>
        <v>439.855</v>
      </c>
      <c r="AL17" s="158">
        <f t="shared" si="5"/>
        <v>131.3</v>
      </c>
      <c r="AM17" s="158">
        <f t="shared" si="6"/>
        <v>656.5</v>
      </c>
      <c r="AN17" s="158">
        <f t="shared" si="7"/>
        <v>137.865</v>
      </c>
      <c r="AO17" s="158">
        <f>2.02*B17</f>
        <v>1326.13</v>
      </c>
      <c r="AP17" s="158">
        <f t="shared" si="8"/>
        <v>676.195</v>
      </c>
      <c r="AQ17" s="158">
        <f t="shared" si="9"/>
        <v>492.375</v>
      </c>
      <c r="AR17" s="158">
        <f t="shared" si="10"/>
        <v>492.375</v>
      </c>
      <c r="AS17" s="198"/>
      <c r="AT17" s="237"/>
      <c r="AU17" s="238">
        <v>754</v>
      </c>
      <c r="AV17" s="238"/>
      <c r="AW17" s="238"/>
      <c r="AX17" s="238"/>
      <c r="AY17" s="198"/>
      <c r="AZ17" s="198"/>
      <c r="BA17" s="239"/>
      <c r="BB17" s="239"/>
      <c r="BC17" s="163">
        <f t="shared" si="12"/>
        <v>5106.595</v>
      </c>
      <c r="BD17" s="240"/>
      <c r="BE17" s="194">
        <f t="shared" si="0"/>
        <v>5106.595</v>
      </c>
      <c r="BF17" s="194">
        <f t="shared" si="11"/>
        <v>920.1851999999999</v>
      </c>
      <c r="BG17" s="133">
        <f t="shared" si="1"/>
        <v>-3672.99</v>
      </c>
      <c r="BH17" s="133"/>
      <c r="BI17" s="133"/>
    </row>
    <row r="18" spans="1:61" ht="12.75">
      <c r="A18" s="13" t="s">
        <v>53</v>
      </c>
      <c r="B18" s="150">
        <v>656.5</v>
      </c>
      <c r="C18" s="224">
        <f>B18*14.05</f>
        <v>9223.825</v>
      </c>
      <c r="D18" s="225">
        <v>499.5254</v>
      </c>
      <c r="E18" s="226"/>
      <c r="F18" s="226"/>
      <c r="G18" s="226">
        <v>6466.59</v>
      </c>
      <c r="H18" s="226"/>
      <c r="I18" s="226"/>
      <c r="J18" s="226"/>
      <c r="K18" s="226"/>
      <c r="L18" s="226"/>
      <c r="M18" s="226">
        <v>1969.5</v>
      </c>
      <c r="N18" s="226"/>
      <c r="O18" s="226">
        <v>787.8</v>
      </c>
      <c r="P18" s="226"/>
      <c r="Q18" s="226"/>
      <c r="R18" s="226"/>
      <c r="S18" s="227"/>
      <c r="T18" s="244"/>
      <c r="U18" s="244">
        <f t="shared" si="2"/>
        <v>9223.89</v>
      </c>
      <c r="V18" s="245">
        <f t="shared" si="2"/>
        <v>0</v>
      </c>
      <c r="W18" s="226">
        <v>73.21</v>
      </c>
      <c r="X18" s="226">
        <v>4065.37</v>
      </c>
      <c r="Y18" s="226">
        <v>99.2</v>
      </c>
      <c r="Z18" s="226">
        <v>130.72</v>
      </c>
      <c r="AA18" s="226">
        <v>1257.05</v>
      </c>
      <c r="AB18" s="226">
        <v>493.75</v>
      </c>
      <c r="AC18" s="226"/>
      <c r="AD18" s="226"/>
      <c r="AE18" s="227"/>
      <c r="AF18" s="233">
        <f t="shared" si="14"/>
        <v>6119.3</v>
      </c>
      <c r="AG18" s="234">
        <f t="shared" si="13"/>
        <v>6618.8254</v>
      </c>
      <c r="AH18" s="235">
        <f t="shared" si="3"/>
        <v>0</v>
      </c>
      <c r="AI18" s="235">
        <f t="shared" si="3"/>
        <v>0</v>
      </c>
      <c r="AJ18" s="236"/>
      <c r="AK18" s="158">
        <f t="shared" si="4"/>
        <v>439.855</v>
      </c>
      <c r="AL18" s="158">
        <f t="shared" si="5"/>
        <v>131.3</v>
      </c>
      <c r="AM18" s="158">
        <f t="shared" si="6"/>
        <v>656.5</v>
      </c>
      <c r="AN18" s="158">
        <f t="shared" si="7"/>
        <v>137.865</v>
      </c>
      <c r="AO18" s="158">
        <f>2.02*B18</f>
        <v>1326.13</v>
      </c>
      <c r="AP18" s="158">
        <f t="shared" si="8"/>
        <v>676.195</v>
      </c>
      <c r="AQ18" s="158">
        <f t="shared" si="9"/>
        <v>492.375</v>
      </c>
      <c r="AR18" s="158">
        <f t="shared" si="10"/>
        <v>492.375</v>
      </c>
      <c r="AS18" s="198"/>
      <c r="AT18" s="237"/>
      <c r="AU18" s="238"/>
      <c r="AV18" s="238"/>
      <c r="AW18" s="238"/>
      <c r="AX18" s="238">
        <f>72+25</f>
        <v>97</v>
      </c>
      <c r="AY18" s="198"/>
      <c r="AZ18" s="198"/>
      <c r="BA18" s="239"/>
      <c r="BB18" s="239"/>
      <c r="BC18" s="163">
        <f t="shared" si="12"/>
        <v>4449.595</v>
      </c>
      <c r="BD18" s="240"/>
      <c r="BE18" s="194">
        <f t="shared" si="0"/>
        <v>4449.595</v>
      </c>
      <c r="BF18" s="194">
        <f t="shared" si="11"/>
        <v>2169.2303999999995</v>
      </c>
      <c r="BG18" s="133">
        <f t="shared" si="1"/>
        <v>-3104.5899999999992</v>
      </c>
      <c r="BH18" s="133"/>
      <c r="BI18" s="133"/>
    </row>
    <row r="19" spans="1:61" ht="12.75">
      <c r="A19" s="13" t="s">
        <v>41</v>
      </c>
      <c r="B19" s="150">
        <v>656.5</v>
      </c>
      <c r="C19" s="224">
        <f>B19*14.05</f>
        <v>9223.825</v>
      </c>
      <c r="D19" s="421">
        <v>499.5254</v>
      </c>
      <c r="E19" s="200"/>
      <c r="F19" s="200"/>
      <c r="G19" s="200">
        <v>6466.59</v>
      </c>
      <c r="H19" s="200"/>
      <c r="I19" s="200"/>
      <c r="J19" s="200"/>
      <c r="K19" s="200"/>
      <c r="L19" s="200"/>
      <c r="M19" s="200">
        <v>1969.5</v>
      </c>
      <c r="N19" s="200"/>
      <c r="O19" s="200">
        <v>787.8</v>
      </c>
      <c r="P19" s="200"/>
      <c r="Q19" s="200"/>
      <c r="R19" s="200"/>
      <c r="S19" s="201"/>
      <c r="T19" s="422"/>
      <c r="U19" s="423">
        <f t="shared" si="2"/>
        <v>9223.89</v>
      </c>
      <c r="V19" s="424">
        <f t="shared" si="2"/>
        <v>0</v>
      </c>
      <c r="W19" s="200">
        <v>0</v>
      </c>
      <c r="X19" s="200">
        <v>3459.3</v>
      </c>
      <c r="Y19" s="200">
        <v>0</v>
      </c>
      <c r="Z19" s="200">
        <v>0</v>
      </c>
      <c r="AA19" s="200">
        <v>1053.59</v>
      </c>
      <c r="AB19" s="200">
        <v>421.46</v>
      </c>
      <c r="AC19" s="200"/>
      <c r="AD19" s="200"/>
      <c r="AE19" s="201"/>
      <c r="AF19" s="233">
        <f t="shared" si="14"/>
        <v>4934.35</v>
      </c>
      <c r="AG19" s="234">
        <f t="shared" si="13"/>
        <v>5433.875400000001</v>
      </c>
      <c r="AH19" s="235">
        <f t="shared" si="3"/>
        <v>0</v>
      </c>
      <c r="AI19" s="235">
        <f t="shared" si="3"/>
        <v>0</v>
      </c>
      <c r="AJ19" s="236"/>
      <c r="AK19" s="158">
        <f t="shared" si="4"/>
        <v>439.855</v>
      </c>
      <c r="AL19" s="158">
        <f t="shared" si="5"/>
        <v>131.3</v>
      </c>
      <c r="AM19" s="158">
        <f t="shared" si="6"/>
        <v>656.5</v>
      </c>
      <c r="AN19" s="158">
        <f t="shared" si="7"/>
        <v>137.865</v>
      </c>
      <c r="AO19" s="158">
        <f>2.02*B19</f>
        <v>1326.13</v>
      </c>
      <c r="AP19" s="158">
        <f t="shared" si="8"/>
        <v>676.195</v>
      </c>
      <c r="AQ19" s="158">
        <f t="shared" si="9"/>
        <v>492.375</v>
      </c>
      <c r="AR19" s="158">
        <f t="shared" si="10"/>
        <v>492.375</v>
      </c>
      <c r="AS19" s="425">
        <f>B19*1.15</f>
        <v>754.9749999999999</v>
      </c>
      <c r="AT19" s="237"/>
      <c r="AU19" s="238"/>
      <c r="AV19" s="238"/>
      <c r="AW19" s="238">
        <v>3058</v>
      </c>
      <c r="AX19" s="238"/>
      <c r="AY19" s="198"/>
      <c r="AZ19" s="198"/>
      <c r="BA19" s="239"/>
      <c r="BB19" s="239"/>
      <c r="BC19" s="163">
        <f t="shared" si="12"/>
        <v>8165.57</v>
      </c>
      <c r="BD19" s="240"/>
      <c r="BE19" s="194">
        <f t="shared" si="0"/>
        <v>8165.57</v>
      </c>
      <c r="BF19" s="194">
        <f t="shared" si="11"/>
        <v>-2731.694599999999</v>
      </c>
      <c r="BG19" s="133">
        <f t="shared" si="1"/>
        <v>-4289.539999999999</v>
      </c>
      <c r="BH19" s="420"/>
      <c r="BI19" s="3"/>
    </row>
    <row r="20" spans="1:61" ht="12.75">
      <c r="A20" s="13" t="s">
        <v>42</v>
      </c>
      <c r="B20" s="150">
        <v>656.5</v>
      </c>
      <c r="C20" s="135">
        <f>B20*14.05</f>
        <v>9223.825</v>
      </c>
      <c r="D20" s="426">
        <v>499.5254</v>
      </c>
      <c r="E20" s="200"/>
      <c r="F20" s="200"/>
      <c r="G20" s="200">
        <v>6466.59</v>
      </c>
      <c r="H20" s="200"/>
      <c r="I20" s="200"/>
      <c r="J20" s="200"/>
      <c r="K20" s="200"/>
      <c r="L20" s="200"/>
      <c r="M20" s="200">
        <v>1969.5</v>
      </c>
      <c r="N20" s="200"/>
      <c r="O20" s="200">
        <v>787.8</v>
      </c>
      <c r="P20" s="200"/>
      <c r="Q20" s="200"/>
      <c r="R20" s="200"/>
      <c r="S20" s="201"/>
      <c r="T20" s="422"/>
      <c r="U20" s="423">
        <f t="shared" si="2"/>
        <v>9223.89</v>
      </c>
      <c r="V20" s="424">
        <f t="shared" si="2"/>
        <v>0</v>
      </c>
      <c r="W20" s="200">
        <v>0</v>
      </c>
      <c r="X20" s="200">
        <v>4835.91</v>
      </c>
      <c r="Y20" s="200">
        <v>0</v>
      </c>
      <c r="Z20" s="200">
        <v>0</v>
      </c>
      <c r="AA20" s="200">
        <v>1472.84</v>
      </c>
      <c r="AB20" s="200">
        <v>589.13</v>
      </c>
      <c r="AC20" s="200"/>
      <c r="AD20" s="200"/>
      <c r="AE20" s="201"/>
      <c r="AF20" s="233">
        <f t="shared" si="14"/>
        <v>6897.88</v>
      </c>
      <c r="AG20" s="234">
        <f t="shared" si="13"/>
        <v>7397.4054</v>
      </c>
      <c r="AH20" s="235">
        <f t="shared" si="3"/>
        <v>0</v>
      </c>
      <c r="AI20" s="235">
        <f t="shared" si="3"/>
        <v>0</v>
      </c>
      <c r="AJ20" s="236"/>
      <c r="AK20" s="158">
        <f t="shared" si="4"/>
        <v>439.855</v>
      </c>
      <c r="AL20" s="158">
        <f t="shared" si="5"/>
        <v>131.3</v>
      </c>
      <c r="AM20" s="158">
        <f t="shared" si="6"/>
        <v>656.5</v>
      </c>
      <c r="AN20" s="158">
        <f t="shared" si="7"/>
        <v>137.865</v>
      </c>
      <c r="AO20" s="158">
        <f>2.02*B20</f>
        <v>1326.13</v>
      </c>
      <c r="AP20" s="158">
        <f t="shared" si="8"/>
        <v>676.195</v>
      </c>
      <c r="AQ20" s="158">
        <f t="shared" si="9"/>
        <v>492.375</v>
      </c>
      <c r="AR20" s="158">
        <f t="shared" si="10"/>
        <v>492.375</v>
      </c>
      <c r="AS20" s="425">
        <f>B20*1.15</f>
        <v>754.9749999999999</v>
      </c>
      <c r="AT20" s="237"/>
      <c r="AU20" s="238"/>
      <c r="AV20" s="238"/>
      <c r="AW20" s="238"/>
      <c r="AX20" s="238"/>
      <c r="AY20" s="198"/>
      <c r="AZ20" s="198"/>
      <c r="BA20" s="239"/>
      <c r="BB20" s="239"/>
      <c r="BC20" s="163">
        <f t="shared" si="12"/>
        <v>5107.57</v>
      </c>
      <c r="BD20" s="240"/>
      <c r="BE20" s="194">
        <f t="shared" si="0"/>
        <v>5107.57</v>
      </c>
      <c r="BF20" s="194">
        <f t="shared" si="11"/>
        <v>2289.8354</v>
      </c>
      <c r="BG20" s="133">
        <f t="shared" si="1"/>
        <v>-2326.0099999999993</v>
      </c>
      <c r="BH20" s="420"/>
      <c r="BI20" s="3"/>
    </row>
    <row r="21" spans="1:61" ht="13.5" thickBot="1">
      <c r="A21" s="13" t="s">
        <v>43</v>
      </c>
      <c r="B21" s="150">
        <v>656.5</v>
      </c>
      <c r="C21" s="135">
        <f>B21*14.05</f>
        <v>9223.825</v>
      </c>
      <c r="D21" s="426">
        <v>499.5254</v>
      </c>
      <c r="E21" s="427"/>
      <c r="F21" s="427"/>
      <c r="G21" s="427">
        <v>4206.73</v>
      </c>
      <c r="H21" s="427"/>
      <c r="I21" s="427"/>
      <c r="J21" s="427"/>
      <c r="K21" s="427"/>
      <c r="L21" s="427"/>
      <c r="M21" s="427">
        <v>1733.32</v>
      </c>
      <c r="N21" s="427"/>
      <c r="O21" s="427">
        <v>628.57</v>
      </c>
      <c r="P21" s="427"/>
      <c r="Q21" s="427"/>
      <c r="R21" s="427"/>
      <c r="S21" s="428"/>
      <c r="T21" s="429"/>
      <c r="U21" s="423">
        <f t="shared" si="2"/>
        <v>6568.619999999999</v>
      </c>
      <c r="V21" s="424">
        <f t="shared" si="2"/>
        <v>0</v>
      </c>
      <c r="W21" s="200">
        <v>0</v>
      </c>
      <c r="X21" s="200">
        <v>5734.43</v>
      </c>
      <c r="Y21" s="200">
        <v>0</v>
      </c>
      <c r="Z21" s="200">
        <v>0</v>
      </c>
      <c r="AA21" s="200">
        <v>1773.78</v>
      </c>
      <c r="AB21" s="200">
        <v>705.58</v>
      </c>
      <c r="AC21" s="200"/>
      <c r="AD21" s="200"/>
      <c r="AE21" s="201"/>
      <c r="AF21" s="233">
        <f t="shared" si="14"/>
        <v>8213.79</v>
      </c>
      <c r="AG21" s="234">
        <f t="shared" si="13"/>
        <v>8713.315400000001</v>
      </c>
      <c r="AH21" s="235">
        <f t="shared" si="3"/>
        <v>0</v>
      </c>
      <c r="AI21" s="235">
        <f t="shared" si="3"/>
        <v>0</v>
      </c>
      <c r="AJ21" s="236"/>
      <c r="AK21" s="158">
        <f t="shared" si="4"/>
        <v>439.855</v>
      </c>
      <c r="AL21" s="158">
        <f t="shared" si="5"/>
        <v>131.3</v>
      </c>
      <c r="AM21" s="158">
        <f t="shared" si="6"/>
        <v>656.5</v>
      </c>
      <c r="AN21" s="158">
        <f t="shared" si="7"/>
        <v>137.865</v>
      </c>
      <c r="AO21" s="158">
        <f>2.02*B21</f>
        <v>1326.13</v>
      </c>
      <c r="AP21" s="158">
        <f t="shared" si="8"/>
        <v>676.195</v>
      </c>
      <c r="AQ21" s="158">
        <f t="shared" si="9"/>
        <v>492.375</v>
      </c>
      <c r="AR21" s="158">
        <f t="shared" si="10"/>
        <v>492.375</v>
      </c>
      <c r="AS21" s="425">
        <f>B21*1.15</f>
        <v>754.9749999999999</v>
      </c>
      <c r="AT21" s="237"/>
      <c r="AU21" s="238">
        <v>682</v>
      </c>
      <c r="AV21" s="238"/>
      <c r="AW21" s="238"/>
      <c r="AX21" s="238">
        <f>1140+170+28</f>
        <v>1338</v>
      </c>
      <c r="AY21" s="198"/>
      <c r="AZ21" s="198"/>
      <c r="BA21" s="239"/>
      <c r="BB21" s="239"/>
      <c r="BC21" s="163">
        <f t="shared" si="12"/>
        <v>7127.57</v>
      </c>
      <c r="BD21" s="240"/>
      <c r="BE21" s="194">
        <f t="shared" si="0"/>
        <v>7127.57</v>
      </c>
      <c r="BF21" s="194">
        <f t="shared" si="11"/>
        <v>1585.7454000000016</v>
      </c>
      <c r="BG21" s="133">
        <f t="shared" si="1"/>
        <v>1645.170000000002</v>
      </c>
      <c r="BH21" s="420"/>
      <c r="BI21" s="3"/>
    </row>
    <row r="22" spans="1:61" s="28" customFormat="1" ht="13.5" thickBot="1">
      <c r="A22" s="204" t="s">
        <v>5</v>
      </c>
      <c r="B22" s="173"/>
      <c r="C22" s="205">
        <f aca="true" t="shared" si="15" ref="C22:BF22">SUM(C10:C21)</f>
        <v>82788.60048</v>
      </c>
      <c r="D22" s="205">
        <f t="shared" si="15"/>
        <v>5805.703200000002</v>
      </c>
      <c r="E22" s="205">
        <f t="shared" si="15"/>
        <v>39.52</v>
      </c>
      <c r="F22" s="205">
        <f t="shared" si="15"/>
        <v>0</v>
      </c>
      <c r="G22" s="205">
        <f t="shared" si="15"/>
        <v>53049.2</v>
      </c>
      <c r="H22" s="205">
        <f t="shared" si="15"/>
        <v>0</v>
      </c>
      <c r="I22" s="205">
        <f t="shared" si="15"/>
        <v>53.580000000000005</v>
      </c>
      <c r="J22" s="205">
        <f t="shared" si="15"/>
        <v>0</v>
      </c>
      <c r="K22" s="205">
        <f t="shared" si="15"/>
        <v>72.02</v>
      </c>
      <c r="L22" s="205">
        <f t="shared" si="15"/>
        <v>0</v>
      </c>
      <c r="M22" s="205">
        <f t="shared" si="15"/>
        <v>19683.67</v>
      </c>
      <c r="N22" s="205">
        <f t="shared" si="15"/>
        <v>0</v>
      </c>
      <c r="O22" s="205">
        <f t="shared" si="15"/>
        <v>8027.27</v>
      </c>
      <c r="P22" s="205">
        <f t="shared" si="15"/>
        <v>0</v>
      </c>
      <c r="Q22" s="205">
        <f t="shared" si="15"/>
        <v>0</v>
      </c>
      <c r="R22" s="205">
        <f t="shared" si="15"/>
        <v>0</v>
      </c>
      <c r="S22" s="205">
        <f t="shared" si="15"/>
        <v>0</v>
      </c>
      <c r="T22" s="205">
        <f t="shared" si="15"/>
        <v>0</v>
      </c>
      <c r="U22" s="205">
        <f t="shared" si="15"/>
        <v>80925.26</v>
      </c>
      <c r="V22" s="205">
        <f t="shared" si="15"/>
        <v>0</v>
      </c>
      <c r="W22" s="205">
        <f t="shared" si="15"/>
        <v>1466.23</v>
      </c>
      <c r="X22" s="205">
        <f t="shared" si="15"/>
        <v>28697.31</v>
      </c>
      <c r="Y22" s="205">
        <f t="shared" si="15"/>
        <v>1987.05</v>
      </c>
      <c r="Z22" s="205">
        <f t="shared" si="15"/>
        <v>3617.43</v>
      </c>
      <c r="AA22" s="205">
        <f t="shared" si="15"/>
        <v>13673.84</v>
      </c>
      <c r="AB22" s="205">
        <f t="shared" si="15"/>
        <v>5277.7300000000005</v>
      </c>
      <c r="AC22" s="205">
        <f t="shared" si="15"/>
        <v>0</v>
      </c>
      <c r="AD22" s="205">
        <f t="shared" si="15"/>
        <v>0</v>
      </c>
      <c r="AE22" s="205">
        <f t="shared" si="15"/>
        <v>0</v>
      </c>
      <c r="AF22" s="205">
        <f t="shared" si="15"/>
        <v>54719.59</v>
      </c>
      <c r="AG22" s="205">
        <f t="shared" si="15"/>
        <v>60525.29320000001</v>
      </c>
      <c r="AH22" s="205">
        <f t="shared" si="15"/>
        <v>0</v>
      </c>
      <c r="AI22" s="205">
        <f t="shared" si="15"/>
        <v>0</v>
      </c>
      <c r="AJ22" s="205">
        <f t="shared" si="15"/>
        <v>0</v>
      </c>
      <c r="AK22" s="205">
        <f t="shared" si="15"/>
        <v>5232.431999999999</v>
      </c>
      <c r="AL22" s="205">
        <f t="shared" si="15"/>
        <v>1561.9199999999998</v>
      </c>
      <c r="AM22" s="205">
        <f t="shared" si="15"/>
        <v>7809.6</v>
      </c>
      <c r="AN22" s="205">
        <f t="shared" si="15"/>
        <v>1640.016</v>
      </c>
      <c r="AO22" s="205">
        <f t="shared" si="15"/>
        <v>15775.392000000007</v>
      </c>
      <c r="AP22" s="205">
        <f t="shared" si="15"/>
        <v>8043.887999999999</v>
      </c>
      <c r="AQ22" s="205">
        <f t="shared" si="15"/>
        <v>5857.2</v>
      </c>
      <c r="AR22" s="205">
        <f t="shared" si="15"/>
        <v>5857.2</v>
      </c>
      <c r="AS22" s="205">
        <f t="shared" si="15"/>
        <v>2264.9249999999997</v>
      </c>
      <c r="AT22" s="205">
        <f t="shared" si="15"/>
        <v>0</v>
      </c>
      <c r="AU22" s="205">
        <f t="shared" si="15"/>
        <v>5067</v>
      </c>
      <c r="AV22" s="205">
        <f t="shared" si="15"/>
        <v>151</v>
      </c>
      <c r="AW22" s="205">
        <f t="shared" si="15"/>
        <v>3058</v>
      </c>
      <c r="AX22" s="205">
        <f t="shared" si="15"/>
        <v>3619.1800000000003</v>
      </c>
      <c r="AY22" s="205">
        <f t="shared" si="15"/>
        <v>0</v>
      </c>
      <c r="AZ22" s="205">
        <f t="shared" si="15"/>
        <v>0</v>
      </c>
      <c r="BA22" s="205">
        <f t="shared" si="15"/>
        <v>0</v>
      </c>
      <c r="BB22" s="205">
        <f t="shared" si="15"/>
        <v>0</v>
      </c>
      <c r="BC22" s="205">
        <f t="shared" si="15"/>
        <v>65937.753</v>
      </c>
      <c r="BD22" s="205">
        <f t="shared" si="15"/>
        <v>0</v>
      </c>
      <c r="BE22" s="205">
        <f t="shared" si="15"/>
        <v>65937.753</v>
      </c>
      <c r="BF22" s="205">
        <f t="shared" si="15"/>
        <v>-5412.459799999999</v>
      </c>
      <c r="BG22" s="205">
        <f>SUM(BG10:BG21)</f>
        <v>-26205.67</v>
      </c>
      <c r="BH22" s="63"/>
      <c r="BI22" s="63"/>
    </row>
    <row r="23" spans="1:61" s="28" customFormat="1" ht="13.5" thickBot="1">
      <c r="A23" s="206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207"/>
      <c r="BF23" s="175"/>
      <c r="BG23" s="174"/>
      <c r="BI23" s="63"/>
    </row>
    <row r="24" spans="1:59" s="28" customFormat="1" ht="13.5" thickBot="1">
      <c r="A24" s="33" t="s">
        <v>54</v>
      </c>
      <c r="B24" s="175"/>
      <c r="C24" s="208">
        <f aca="true" t="shared" si="16" ref="C24:AD24">C22+C8</f>
        <v>234930.85548</v>
      </c>
      <c r="D24" s="208">
        <f t="shared" si="16"/>
        <v>39258.20527555001</v>
      </c>
      <c r="E24" s="208">
        <f t="shared" si="16"/>
        <v>14673.539999999999</v>
      </c>
      <c r="F24" s="208">
        <f t="shared" si="16"/>
        <v>416.08000000000004</v>
      </c>
      <c r="G24" s="208">
        <f t="shared" si="16"/>
        <v>53049.2</v>
      </c>
      <c r="H24" s="208">
        <f t="shared" si="16"/>
        <v>0</v>
      </c>
      <c r="I24" s="208">
        <f t="shared" si="16"/>
        <v>19871.730000000003</v>
      </c>
      <c r="J24" s="208">
        <f t="shared" si="16"/>
        <v>562.9399999999999</v>
      </c>
      <c r="K24" s="208">
        <f t="shared" si="16"/>
        <v>25615.55</v>
      </c>
      <c r="L24" s="208">
        <f t="shared" si="16"/>
        <v>707.28</v>
      </c>
      <c r="M24" s="208">
        <f t="shared" si="16"/>
        <v>56622.65999999999</v>
      </c>
      <c r="N24" s="208">
        <f t="shared" si="16"/>
        <v>1023.2600000000001</v>
      </c>
      <c r="O24" s="208">
        <f t="shared" si="16"/>
        <v>19734.79</v>
      </c>
      <c r="P24" s="208">
        <f t="shared" si="16"/>
        <v>332.92</v>
      </c>
      <c r="Q24" s="208">
        <f t="shared" si="16"/>
        <v>0</v>
      </c>
      <c r="R24" s="208">
        <f t="shared" si="16"/>
        <v>0</v>
      </c>
      <c r="S24" s="208">
        <f t="shared" si="16"/>
        <v>0</v>
      </c>
      <c r="T24" s="208">
        <f t="shared" si="16"/>
        <v>0</v>
      </c>
      <c r="U24" s="208">
        <f t="shared" si="16"/>
        <v>189567.46999999997</v>
      </c>
      <c r="V24" s="208">
        <f t="shared" si="16"/>
        <v>3042.4800000000005</v>
      </c>
      <c r="W24" s="208">
        <f t="shared" si="16"/>
        <v>9091.99</v>
      </c>
      <c r="X24" s="208">
        <f t="shared" si="16"/>
        <v>28697.31</v>
      </c>
      <c r="Y24" s="208">
        <f t="shared" si="16"/>
        <v>12311.039999999999</v>
      </c>
      <c r="Z24" s="208">
        <f t="shared" si="16"/>
        <v>16735.03</v>
      </c>
      <c r="AA24" s="208">
        <f t="shared" si="16"/>
        <v>33649.31999999999</v>
      </c>
      <c r="AB24" s="208">
        <f t="shared" si="16"/>
        <v>11378.41</v>
      </c>
      <c r="AC24" s="208">
        <f t="shared" si="16"/>
        <v>0</v>
      </c>
      <c r="AD24" s="208">
        <f t="shared" si="16"/>
        <v>0</v>
      </c>
      <c r="AE24" s="208">
        <f>AE22+AF8</f>
        <v>57143.51000000001</v>
      </c>
      <c r="AF24" s="208">
        <f>AF22+AG8</f>
        <v>148358.08207555002</v>
      </c>
      <c r="AG24" s="208">
        <f aca="true" t="shared" si="17" ref="AG24:AQ24">AG22+AG8</f>
        <v>154163.78527555004</v>
      </c>
      <c r="AH24" s="208">
        <f t="shared" si="17"/>
        <v>0</v>
      </c>
      <c r="AI24" s="208">
        <f t="shared" si="17"/>
        <v>0</v>
      </c>
      <c r="AJ24" s="208">
        <f t="shared" si="17"/>
        <v>0</v>
      </c>
      <c r="AK24" s="208">
        <f t="shared" si="17"/>
        <v>15628.091999999999</v>
      </c>
      <c r="AL24" s="208">
        <f t="shared" si="17"/>
        <v>5045.060668</v>
      </c>
      <c r="AM24" s="208">
        <f t="shared" si="17"/>
        <v>25065.940487745</v>
      </c>
      <c r="AN24" s="208">
        <f t="shared" si="17"/>
        <v>1640.016</v>
      </c>
      <c r="AO24" s="208">
        <f t="shared" si="17"/>
        <v>32976.975741720205</v>
      </c>
      <c r="AP24" s="208">
        <f t="shared" si="17"/>
        <v>46553.3462883218</v>
      </c>
      <c r="AQ24" s="208">
        <f t="shared" si="17"/>
        <v>5857.2</v>
      </c>
      <c r="AR24" s="208"/>
      <c r="AS24" s="208">
        <f aca="true" t="shared" si="18" ref="AS24:BG24">AS22+AS8</f>
        <v>2264.9249999999997</v>
      </c>
      <c r="AT24" s="208">
        <f t="shared" si="18"/>
        <v>0</v>
      </c>
      <c r="AU24" s="208">
        <f t="shared" si="18"/>
        <v>44522.236800000006</v>
      </c>
      <c r="AV24" s="208">
        <f t="shared" si="18"/>
        <v>151</v>
      </c>
      <c r="AW24" s="208">
        <f t="shared" si="18"/>
        <v>4178.68</v>
      </c>
      <c r="AX24" s="208">
        <f t="shared" si="18"/>
        <v>3619.1800000000003</v>
      </c>
      <c r="AY24" s="208">
        <f t="shared" si="18"/>
        <v>5388.768</v>
      </c>
      <c r="AZ24" s="208">
        <f t="shared" si="18"/>
        <v>0</v>
      </c>
      <c r="BA24" s="208">
        <f t="shared" si="18"/>
        <v>0</v>
      </c>
      <c r="BB24" s="208">
        <f t="shared" si="18"/>
        <v>0</v>
      </c>
      <c r="BC24" s="208">
        <f t="shared" si="18"/>
        <v>198748.62098578698</v>
      </c>
      <c r="BD24" s="208">
        <f t="shared" si="18"/>
        <v>0</v>
      </c>
      <c r="BE24" s="209">
        <f t="shared" si="18"/>
        <v>198748.62098578698</v>
      </c>
      <c r="BF24" s="208">
        <f t="shared" si="18"/>
        <v>-44584.83571023699</v>
      </c>
      <c r="BG24" s="176">
        <f t="shared" si="18"/>
        <v>-77704.37</v>
      </c>
    </row>
  </sheetData>
  <sheetProtection/>
  <mergeCells count="56">
    <mergeCell ref="AR5:AR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AE5:AE6"/>
    <mergeCell ref="E3:R4"/>
    <mergeCell ref="U3:V4"/>
    <mergeCell ref="W3:AI4"/>
    <mergeCell ref="S3:T4"/>
    <mergeCell ref="AF5:AF6"/>
    <mergeCell ref="AG5:AG6"/>
    <mergeCell ref="U5:U6"/>
    <mergeCell ref="AB5:AB6"/>
    <mergeCell ref="AD5:AD6"/>
    <mergeCell ref="A1:N1"/>
    <mergeCell ref="A3:A6"/>
    <mergeCell ref="B3:B6"/>
    <mergeCell ref="C3:C6"/>
    <mergeCell ref="D3:D6"/>
    <mergeCell ref="AC5:AC6"/>
    <mergeCell ref="BF3:BF6"/>
    <mergeCell ref="AH5:AH6"/>
    <mergeCell ref="AI5:AI6"/>
    <mergeCell ref="AK5:AK6"/>
    <mergeCell ref="AL5:AL6"/>
    <mergeCell ref="AM5:AM6"/>
    <mergeCell ref="AP5:AP6"/>
    <mergeCell ref="AT5:AT6"/>
    <mergeCell ref="BC5:BC6"/>
    <mergeCell ref="AV5:AV6"/>
    <mergeCell ref="AZ5:AZ6"/>
    <mergeCell ref="AK3:BE4"/>
    <mergeCell ref="AW5:AW6"/>
    <mergeCell ref="BB5:BB6"/>
    <mergeCell ref="AQ5:AQ6"/>
    <mergeCell ref="AS5:AS6"/>
    <mergeCell ref="AU5:AU6"/>
    <mergeCell ref="BA5:BA6"/>
    <mergeCell ref="BD5:BD6"/>
    <mergeCell ref="BE5:BE6"/>
    <mergeCell ref="AX5:AX6"/>
    <mergeCell ref="Z5:Z6"/>
    <mergeCell ref="AA5:AA6"/>
    <mergeCell ref="V5:V6"/>
    <mergeCell ref="W5:W6"/>
    <mergeCell ref="X5:X6"/>
    <mergeCell ref="Y5:Y6"/>
    <mergeCell ref="AN5:AN6"/>
    <mergeCell ref="AO5:AO6"/>
    <mergeCell ref="AJ3:A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I42" sqref="I42:L42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hidden="1" customWidth="1"/>
    <col min="14" max="14" width="10.37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414" t="s">
        <v>55</v>
      </c>
      <c r="C1" s="414"/>
      <c r="D1" s="414"/>
      <c r="E1" s="414"/>
      <c r="F1" s="414"/>
      <c r="G1" s="414"/>
      <c r="H1" s="414"/>
    </row>
    <row r="2" spans="2:8" ht="21" customHeight="1">
      <c r="B2" s="414" t="s">
        <v>56</v>
      </c>
      <c r="C2" s="414"/>
      <c r="D2" s="414"/>
      <c r="E2" s="414"/>
      <c r="F2" s="414"/>
      <c r="G2" s="414"/>
      <c r="H2" s="414"/>
    </row>
    <row r="5" spans="1:15" ht="12.75">
      <c r="A5" s="306" t="s">
        <v>120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2.75">
      <c r="A6" s="325" t="s">
        <v>123</v>
      </c>
      <c r="B6" s="325"/>
      <c r="C6" s="325"/>
      <c r="D6" s="325"/>
      <c r="E6" s="325"/>
      <c r="F6" s="325"/>
      <c r="G6" s="325"/>
      <c r="H6" s="113"/>
      <c r="I6" s="113"/>
      <c r="J6" s="113"/>
      <c r="K6" s="113"/>
      <c r="L6" s="113"/>
      <c r="M6" s="113"/>
      <c r="N6" s="113"/>
      <c r="O6" s="113"/>
    </row>
    <row r="7" spans="1:6" ht="13.5" thickBot="1">
      <c r="A7" s="415" t="s">
        <v>57</v>
      </c>
      <c r="B7" s="415"/>
      <c r="C7" s="415"/>
      <c r="D7" s="415"/>
      <c r="E7" s="415">
        <v>8.55</v>
      </c>
      <c r="F7" s="415"/>
    </row>
    <row r="8" spans="1:16" ht="12.75" customHeight="1">
      <c r="A8" s="270" t="s">
        <v>58</v>
      </c>
      <c r="B8" s="308" t="s">
        <v>1</v>
      </c>
      <c r="C8" s="311" t="s">
        <v>59</v>
      </c>
      <c r="D8" s="314" t="s">
        <v>3</v>
      </c>
      <c r="E8" s="317" t="s">
        <v>60</v>
      </c>
      <c r="F8" s="318"/>
      <c r="G8" s="416" t="s">
        <v>117</v>
      </c>
      <c r="H8" s="417"/>
      <c r="I8" s="321" t="s">
        <v>10</v>
      </c>
      <c r="J8" s="294"/>
      <c r="K8" s="294"/>
      <c r="L8" s="294"/>
      <c r="M8" s="294"/>
      <c r="N8" s="322"/>
      <c r="O8" s="337" t="s">
        <v>61</v>
      </c>
      <c r="P8" s="337" t="s">
        <v>12</v>
      </c>
    </row>
    <row r="9" spans="1:16" ht="12.75">
      <c r="A9" s="271"/>
      <c r="B9" s="309"/>
      <c r="C9" s="312"/>
      <c r="D9" s="315"/>
      <c r="E9" s="319"/>
      <c r="F9" s="320"/>
      <c r="G9" s="418"/>
      <c r="H9" s="419"/>
      <c r="I9" s="323"/>
      <c r="J9" s="287"/>
      <c r="K9" s="287"/>
      <c r="L9" s="287"/>
      <c r="M9" s="287"/>
      <c r="N9" s="324"/>
      <c r="O9" s="338"/>
      <c r="P9" s="338"/>
    </row>
    <row r="10" spans="1:16" ht="26.25" customHeight="1">
      <c r="A10" s="271"/>
      <c r="B10" s="309"/>
      <c r="C10" s="312"/>
      <c r="D10" s="315"/>
      <c r="E10" s="340" t="s">
        <v>62</v>
      </c>
      <c r="F10" s="341"/>
      <c r="G10" s="210" t="s">
        <v>63</v>
      </c>
      <c r="H10" s="335" t="s">
        <v>7</v>
      </c>
      <c r="I10" s="344" t="s">
        <v>64</v>
      </c>
      <c r="J10" s="333" t="s">
        <v>118</v>
      </c>
      <c r="K10" s="333" t="s">
        <v>65</v>
      </c>
      <c r="L10" s="333" t="s">
        <v>37</v>
      </c>
      <c r="M10" s="333" t="s">
        <v>66</v>
      </c>
      <c r="N10" s="335" t="s">
        <v>39</v>
      </c>
      <c r="O10" s="338"/>
      <c r="P10" s="338"/>
    </row>
    <row r="11" spans="1:16" ht="66.75" customHeight="1" thickBot="1">
      <c r="A11" s="307"/>
      <c r="B11" s="310"/>
      <c r="C11" s="313"/>
      <c r="D11" s="316"/>
      <c r="E11" s="39" t="s">
        <v>67</v>
      </c>
      <c r="F11" s="40" t="s">
        <v>21</v>
      </c>
      <c r="G11" s="180" t="s">
        <v>119</v>
      </c>
      <c r="H11" s="336"/>
      <c r="I11" s="345"/>
      <c r="J11" s="334"/>
      <c r="K11" s="334"/>
      <c r="L11" s="334"/>
      <c r="M11" s="334"/>
      <c r="N11" s="336"/>
      <c r="O11" s="339"/>
      <c r="P11" s="339"/>
    </row>
    <row r="12" spans="1:16" ht="13.5" thickBot="1">
      <c r="A12" s="42">
        <v>1</v>
      </c>
      <c r="B12" s="43">
        <v>2</v>
      </c>
      <c r="C12" s="42">
        <v>3</v>
      </c>
      <c r="D12" s="43">
        <v>4</v>
      </c>
      <c r="E12" s="42">
        <v>5</v>
      </c>
      <c r="F12" s="43">
        <v>6</v>
      </c>
      <c r="G12" s="42">
        <v>7</v>
      </c>
      <c r="H12" s="43">
        <v>8</v>
      </c>
      <c r="I12" s="42">
        <v>9</v>
      </c>
      <c r="J12" s="43">
        <v>10</v>
      </c>
      <c r="K12" s="42">
        <v>11</v>
      </c>
      <c r="L12" s="43">
        <v>12</v>
      </c>
      <c r="M12" s="42">
        <v>13</v>
      </c>
      <c r="N12" s="43">
        <v>13</v>
      </c>
      <c r="O12" s="42">
        <v>14</v>
      </c>
      <c r="P12" s="43">
        <v>15</v>
      </c>
    </row>
    <row r="13" spans="1:18" ht="13.5" hidden="1" thickBot="1">
      <c r="A13" s="8" t="s">
        <v>44</v>
      </c>
      <c r="B13" s="211"/>
      <c r="C13" s="64"/>
      <c r="D13" s="65"/>
      <c r="E13" s="66"/>
      <c r="F13" s="67"/>
      <c r="G13" s="69"/>
      <c r="H13" s="67"/>
      <c r="I13" s="69"/>
      <c r="J13" s="19"/>
      <c r="K13" s="19"/>
      <c r="L13" s="20"/>
      <c r="M13" s="212"/>
      <c r="N13" s="21"/>
      <c r="O13" s="52"/>
      <c r="P13" s="52"/>
      <c r="Q13" s="1"/>
      <c r="R13" s="1"/>
    </row>
    <row r="14" spans="1:18" ht="13.5" hidden="1" thickBot="1">
      <c r="A14" s="13" t="s">
        <v>45</v>
      </c>
      <c r="B14" s="213">
        <f>'[4]Лист1'!B8</f>
        <v>0</v>
      </c>
      <c r="C14" s="48">
        <f aca="true" t="shared" si="0" ref="C14:C25">B14*8.65</f>
        <v>0</v>
      </c>
      <c r="D14" s="49">
        <f>'[4]Лист1'!D8</f>
        <v>0</v>
      </c>
      <c r="E14" s="19">
        <f>'[4]Лист1'!S8</f>
        <v>0</v>
      </c>
      <c r="F14" s="21">
        <f>'[4]Лист1'!T8</f>
        <v>0</v>
      </c>
      <c r="G14" s="51">
        <f>'[4]Лист1'!AB8</f>
        <v>0</v>
      </c>
      <c r="H14" s="21">
        <f>'[4]Лист1'!AC8</f>
        <v>0</v>
      </c>
      <c r="I14" s="51">
        <f>'[4]Лист1'!AG8</f>
        <v>0</v>
      </c>
      <c r="J14" s="19">
        <f>'[4]Лист1'!AI8+'[4]Лист1'!AJ8</f>
        <v>0</v>
      </c>
      <c r="K14" s="19">
        <f>'[4]Лист1'!AH8+'[4]Лист1'!AK8+'[4]Лист1'!AL8+'[4]Лист1'!AM8+'[4]Лист1'!AN8+'[4]Лист1'!AO8+'[4]Лист1'!AP8+'[4]Лист1'!AQ8+'[4]Лист1'!AR8</f>
        <v>0</v>
      </c>
      <c r="L14" s="20">
        <f>'[4]Лист1'!AS8+'[4]Лист1'!AT8+'[4]Лист1'!AU8+'[4]Лист1'!AZ8+'[4]Лист1'!BA8</f>
        <v>0</v>
      </c>
      <c r="M14" s="20">
        <f>'[4]Лист1'!AX8</f>
        <v>0</v>
      </c>
      <c r="N14" s="21">
        <f>'[4]Лист1'!BB8</f>
        <v>0</v>
      </c>
      <c r="O14" s="52">
        <f>'[4]Лист1'!BD8</f>
        <v>0</v>
      </c>
      <c r="P14" s="52">
        <f>'[4]Лист1'!BE8</f>
        <v>0</v>
      </c>
      <c r="Q14" s="1"/>
      <c r="R14" s="1"/>
    </row>
    <row r="15" spans="1:18" ht="13.5" hidden="1" thickBot="1">
      <c r="A15" s="13" t="s">
        <v>46</v>
      </c>
      <c r="B15" s="213">
        <f>'[4]Лист1'!B9</f>
        <v>347</v>
      </c>
      <c r="C15" s="48">
        <f t="shared" si="0"/>
        <v>3001.55</v>
      </c>
      <c r="D15" s="49">
        <f>'[4]Лист1'!D9</f>
        <v>375.19375</v>
      </c>
      <c r="E15" s="19">
        <f>'[4]Лист1'!S9</f>
        <v>1402.63</v>
      </c>
      <c r="F15" s="21">
        <f>'[4]Лист1'!T9</f>
        <v>770.85</v>
      </c>
      <c r="G15" s="51">
        <f>'[4]Лист1'!AB9</f>
        <v>1205.52</v>
      </c>
      <c r="H15" s="21">
        <f>'[4]Лист1'!AC9</f>
        <v>2351.5637500000003</v>
      </c>
      <c r="I15" s="51">
        <f>'[4]Лист1'!AG9</f>
        <v>187.38</v>
      </c>
      <c r="J15" s="19">
        <f>'[4]Лист1'!AI9+'[4]Лист1'!AJ9</f>
        <v>301.727947</v>
      </c>
      <c r="K15" s="19">
        <f>'[4]Лист1'!AH9+'[4]Лист1'!AK9+'[4]Лист1'!AL9+'[4]Лист1'!AM9+'[4]Лист1'!AN9+'[4]Лист1'!AO9+'[4]Лист1'!AP9+'[4]Лист1'!AQ9+'[4]Лист1'!AR9</f>
        <v>1036.33545944</v>
      </c>
      <c r="L15" s="20">
        <f>'[4]Лист1'!AS9+'[4]Лист1'!AT9+'[4]Лист1'!AU9+'[4]Лист1'!AZ9+'[4]Лист1'!BA9</f>
        <v>0</v>
      </c>
      <c r="M15" s="20">
        <f>'[4]Лист1'!AX9</f>
        <v>100.70592</v>
      </c>
      <c r="N15" s="21">
        <f>'[4]Лист1'!BB9</f>
        <v>1525.4434064399998</v>
      </c>
      <c r="O15" s="52">
        <f>'[4]Лист1'!BD9</f>
        <v>826.1203435600005</v>
      </c>
      <c r="P15" s="52">
        <f>'[4]Лист1'!BE9</f>
        <v>-197.11000000000013</v>
      </c>
      <c r="Q15" s="1"/>
      <c r="R15" s="1"/>
    </row>
    <row r="16" spans="1:18" ht="13.5" hidden="1" thickBot="1">
      <c r="A16" s="13" t="s">
        <v>47</v>
      </c>
      <c r="B16" s="213">
        <f>'[4]Лист1'!B10</f>
        <v>347</v>
      </c>
      <c r="C16" s="48">
        <f t="shared" si="0"/>
        <v>3001.55</v>
      </c>
      <c r="D16" s="49">
        <f>'[4]Лист1'!D10</f>
        <v>375.19375</v>
      </c>
      <c r="E16" s="19">
        <f>'[4]Лист1'!S10</f>
        <v>1402.63</v>
      </c>
      <c r="F16" s="21">
        <f>'[4]Лист1'!T10</f>
        <v>770.85</v>
      </c>
      <c r="G16" s="51">
        <f>'[4]Лист1'!AB10</f>
        <v>1141.3000000000002</v>
      </c>
      <c r="H16" s="21">
        <f>'[4]Лист1'!AC10</f>
        <v>2287.34375</v>
      </c>
      <c r="I16" s="51">
        <f>'[4]Лист1'!AG10</f>
        <v>187.38</v>
      </c>
      <c r="J16" s="19">
        <f>'[4]Лист1'!AI10+'[4]Лист1'!AJ10</f>
        <v>301.403506</v>
      </c>
      <c r="K16" s="19">
        <f>'[4]Лист1'!AH10+'[4]Лист1'!AK10+'[4]Лист1'!AL10+'[4]Лист1'!AM10+'[4]Лист1'!AN10+'[4]Лист1'!AO10+'[4]Лист1'!AP10+'[4]Лист1'!AQ10+'[4]Лист1'!AR10</f>
        <v>1037.8314805399998</v>
      </c>
      <c r="L16" s="20">
        <f>'[4]Лист1'!AS10+'[4]Лист1'!AT10+'[4]Лист1'!AU10+'[4]Лист1'!AZ10+'[4]Лист1'!BA10</f>
        <v>1569.4</v>
      </c>
      <c r="M16" s="20">
        <f>'[4]Лист1'!AX10</f>
        <v>80.68368</v>
      </c>
      <c r="N16" s="21">
        <f>'[4]Лист1'!BB10</f>
        <v>3096.0149865399994</v>
      </c>
      <c r="O16" s="52">
        <f>'[4]Лист1'!BD10</f>
        <v>-808.6712365399994</v>
      </c>
      <c r="P16" s="52">
        <f>'[4]Лист1'!BE10</f>
        <v>-261.3299999999999</v>
      </c>
      <c r="Q16" s="1"/>
      <c r="R16" s="1"/>
    </row>
    <row r="17" spans="1:18" ht="13.5" hidden="1" thickBot="1">
      <c r="A17" s="13" t="s">
        <v>48</v>
      </c>
      <c r="B17" s="213">
        <f>'[4]Лист1'!B11</f>
        <v>347</v>
      </c>
      <c r="C17" s="48">
        <f t="shared" si="0"/>
        <v>3001.55</v>
      </c>
      <c r="D17" s="49">
        <f>'[4]Лист1'!D11</f>
        <v>375.19375</v>
      </c>
      <c r="E17" s="19">
        <f>'[4]Лист1'!S11</f>
        <v>1402.63</v>
      </c>
      <c r="F17" s="21">
        <f>'[4]Лист1'!T11</f>
        <v>770.85</v>
      </c>
      <c r="G17" s="51">
        <f>'[4]Лист1'!AB11</f>
        <v>1864.7600000000002</v>
      </c>
      <c r="H17" s="21">
        <f>'[4]Лист1'!AC11</f>
        <v>3010.80375</v>
      </c>
      <c r="I17" s="51">
        <f>'[4]Лист1'!AG11</f>
        <v>187.38</v>
      </c>
      <c r="J17" s="19">
        <f>'[4]Лист1'!AI11+'[4]Лист1'!AJ11</f>
        <v>301.9373675</v>
      </c>
      <c r="K17" s="19">
        <f>'[4]Лист1'!AH11+'[4]Лист1'!AK11+'[4]Лист1'!AL11+'[4]Лист1'!AM11+'[4]Лист1'!AN11+'[4]Лист1'!AO11+'[4]Лист1'!AP11+'[4]Лист1'!AQ11+'[4]Лист1'!AR11</f>
        <v>1003.1883752000001</v>
      </c>
      <c r="L17" s="20">
        <f>'[4]Лист1'!AS11+'[4]Лист1'!AT11+'[4]Лист1'!AU11+'[4]Лист1'!AY11+'[4]Лист1'!AZ11</f>
        <v>0</v>
      </c>
      <c r="M17" s="20">
        <f>'[4]Лист1'!AX11</f>
        <v>75.92592</v>
      </c>
      <c r="N17" s="21">
        <f>'[4]Лист1'!BB11</f>
        <v>1492.5057427</v>
      </c>
      <c r="O17" s="52">
        <f>'[4]Лист1'!BD11</f>
        <v>1518.2980073</v>
      </c>
      <c r="P17" s="52">
        <f>'[4]Лист1'!BE11</f>
        <v>462.1300000000001</v>
      </c>
      <c r="Q17" s="1"/>
      <c r="R17" s="1"/>
    </row>
    <row r="18" spans="1:18" ht="13.5" hidden="1" thickBot="1">
      <c r="A18" s="13" t="s">
        <v>49</v>
      </c>
      <c r="B18" s="213">
        <f>'[4]Лист1'!B12</f>
        <v>347</v>
      </c>
      <c r="C18" s="48">
        <f t="shared" si="0"/>
        <v>3001.55</v>
      </c>
      <c r="D18" s="49">
        <f>'[4]Лист1'!D12</f>
        <v>375.19375</v>
      </c>
      <c r="E18" s="19">
        <f>'[4]Лист1'!S12</f>
        <v>1401.9099999999999</v>
      </c>
      <c r="F18" s="21">
        <f>'[4]Лист1'!T12</f>
        <v>770.85</v>
      </c>
      <c r="G18" s="51">
        <f>'[4]Лист1'!AB12</f>
        <v>1402.6</v>
      </c>
      <c r="H18" s="21">
        <f>'[4]Лист1'!AC12</f>
        <v>2548.64375</v>
      </c>
      <c r="I18" s="51">
        <f>'[4]Лист1'!AG12</f>
        <v>187.38</v>
      </c>
      <c r="J18" s="19">
        <f>'[4]Лист1'!AI12+'[4]Лист1'!AJ12</f>
        <v>310.800613</v>
      </c>
      <c r="K18" s="19">
        <f>'[4]Лист1'!AH12+'[4]Лист1'!AK12+'[4]Лист1'!AL12+'[4]Лист1'!AM12+'[4]Лист1'!AN12+'[4]Лист1'!AO12+'[4]Лист1'!AP12+'[4]Лист1'!AQ12+'[4]Лист1'!AR12</f>
        <v>1017.49191592</v>
      </c>
      <c r="L18" s="20">
        <f>'[4]Лист1'!AS12+'[4]Лист1'!AT12+'[4]Лист1'!AU12+'[4]Лист1'!AZ12+'[4]Лист1'!BA12</f>
        <v>0</v>
      </c>
      <c r="M18" s="20">
        <f>'[4]Лист1'!AX12</f>
        <v>60.85968</v>
      </c>
      <c r="N18" s="21">
        <f>'[4]Лист1'!BB12</f>
        <v>1833.8477289200002</v>
      </c>
      <c r="O18" s="52">
        <f>'[4]Лист1'!BD12</f>
        <v>714.79602108</v>
      </c>
      <c r="P18" s="52">
        <f>'[4]Лист1'!BE12</f>
        <v>0.6900000000000546</v>
      </c>
      <c r="Q18" s="1"/>
      <c r="R18" s="1"/>
    </row>
    <row r="19" spans="1:18" ht="13.5" hidden="1" thickBot="1">
      <c r="A19" s="13" t="s">
        <v>50</v>
      </c>
      <c r="B19" s="213">
        <f>'[4]Лист1'!B13</f>
        <v>347</v>
      </c>
      <c r="C19" s="48">
        <f t="shared" si="0"/>
        <v>3001.55</v>
      </c>
      <c r="D19" s="49">
        <f>'[4]Лист1'!D13</f>
        <v>577.8599999999997</v>
      </c>
      <c r="E19" s="19">
        <f>'[4]Лист1'!S13</f>
        <v>1563.57</v>
      </c>
      <c r="F19" s="21">
        <f>'[4]Лист1'!T13</f>
        <v>860.12</v>
      </c>
      <c r="G19" s="51">
        <f>'[4]Лист1'!AB13</f>
        <v>1101.03</v>
      </c>
      <c r="H19" s="21">
        <f>'[4]Лист1'!AC13</f>
        <v>2539.0099999999993</v>
      </c>
      <c r="I19" s="51">
        <f>'[4]Лист1'!AG13</f>
        <v>208.2</v>
      </c>
      <c r="J19" s="19">
        <f>'[4]Лист1'!AI13+'[4]Лист1'!AJ13</f>
        <v>348.041</v>
      </c>
      <c r="K19" s="19">
        <f>'[4]Лист1'!AH13+'[4]Лист1'!AK13+'[4]Лист1'!AL13+'[4]Лист1'!AM13+'[4]Лист1'!AN13+'[4]Лист1'!AO13+'[4]Лист1'!AP13+'[4]Лист1'!AQ13+'[4]Лист1'!AR13</f>
        <v>1192.0144</v>
      </c>
      <c r="L19" s="20">
        <f>'[4]Лист1'!AS13+'[4]Лист1'!AT13+'[4]Лист1'!AU13+'[4]Лист1'!AZ13+'[4]Лист1'!BA13</f>
        <v>0</v>
      </c>
      <c r="M19" s="20">
        <f>'[4]Лист1'!AX13</f>
        <v>52.137119999999996</v>
      </c>
      <c r="N19" s="21">
        <f>'[4]Лист1'!BB13</f>
        <v>1800.3925199999999</v>
      </c>
      <c r="O19" s="52">
        <f>'[4]Лист1'!BD13</f>
        <v>738.6174799999994</v>
      </c>
      <c r="P19" s="52">
        <f>'[4]Лист1'!BE13</f>
        <v>-462.53999999999996</v>
      </c>
      <c r="Q19" s="1"/>
      <c r="R19" s="1"/>
    </row>
    <row r="20" spans="1:18" ht="13.5" hidden="1" thickBot="1">
      <c r="A20" s="13" t="s">
        <v>51</v>
      </c>
      <c r="B20" s="213">
        <f>'[4]Лист1'!B14</f>
        <v>347</v>
      </c>
      <c r="C20" s="48">
        <f t="shared" si="0"/>
        <v>3001.55</v>
      </c>
      <c r="D20" s="49">
        <f>'[4]Лист1'!D14</f>
        <v>577.73</v>
      </c>
      <c r="E20" s="19">
        <f>'[4]Лист1'!S14</f>
        <v>1563.7</v>
      </c>
      <c r="F20" s="21">
        <f>'[4]Лист1'!T14</f>
        <v>860.12</v>
      </c>
      <c r="G20" s="51">
        <f>'[4]Лист1'!AB14</f>
        <v>1864.8400000000001</v>
      </c>
      <c r="H20" s="21">
        <f>'[4]Лист1'!AC14</f>
        <v>3302.69</v>
      </c>
      <c r="I20" s="51">
        <f>'[4]Лист1'!AG14</f>
        <v>208.2</v>
      </c>
      <c r="J20" s="19">
        <f>'[4]Лист1'!AI14+'[4]Лист1'!AJ14</f>
        <v>348.041</v>
      </c>
      <c r="K20" s="19">
        <f>'[4]Лист1'!AH14+'[4]Лист1'!AK14+'[4]Лист1'!AL14+'[4]Лист1'!AM14+'[4]Лист1'!AN14+'[4]Лист1'!AO14+'[4]Лист1'!AP14+'[4]Лист1'!AQ14+'[4]Лист1'!AR14</f>
        <v>1192.04563</v>
      </c>
      <c r="L20" s="20">
        <f>'[4]Лист1'!AS14+'[4]Лист1'!AT14+'[4]Лист1'!AU14+'[4]Лист1'!AZ14+'[4]Лист1'!BA14</f>
        <v>0</v>
      </c>
      <c r="M20" s="20">
        <f>'[4]Лист1'!AX14</f>
        <v>46.189919999999994</v>
      </c>
      <c r="N20" s="21">
        <f>'[4]Лист1'!BB14</f>
        <v>1794.47655</v>
      </c>
      <c r="O20" s="52">
        <f>'[4]Лист1'!BD14</f>
        <v>1508.21345</v>
      </c>
      <c r="P20" s="52">
        <f>'[4]Лист1'!BE14</f>
        <v>301.1400000000001</v>
      </c>
      <c r="Q20" s="1"/>
      <c r="R20" s="1"/>
    </row>
    <row r="21" spans="1:18" ht="13.5" hidden="1" thickBot="1">
      <c r="A21" s="13" t="s">
        <v>52</v>
      </c>
      <c r="B21" s="213">
        <f>'[4]Лист1'!B15</f>
        <v>347</v>
      </c>
      <c r="C21" s="48">
        <f t="shared" si="0"/>
        <v>3001.55</v>
      </c>
      <c r="D21" s="49">
        <f>'[4]Лист1'!D15</f>
        <v>595.9700000000003</v>
      </c>
      <c r="E21" s="19">
        <f>'[4]Лист1'!S15</f>
        <v>1553.6399999999999</v>
      </c>
      <c r="F21" s="21">
        <f>'[4]Лист1'!T15</f>
        <v>851.9399999999999</v>
      </c>
      <c r="G21" s="51">
        <f>'[4]Лист1'!AB15</f>
        <v>1230.87</v>
      </c>
      <c r="H21" s="21">
        <f>'[4]Лист1'!AC15</f>
        <v>2678.78</v>
      </c>
      <c r="I21" s="51">
        <f>'[4]Лист1'!AG15</f>
        <v>208.2</v>
      </c>
      <c r="J21" s="19">
        <f>'[4]Лист1'!AI15+'[4]Лист1'!AJ15</f>
        <v>343.0988178</v>
      </c>
      <c r="K21" s="19">
        <f>'[4]Лист1'!AH15+'[4]Лист1'!AK15+'[4]Лист1'!AL15+'[4]Лист1'!AM15+'[4]Лист1'!AN15+'[4]Лист1'!AO15+'[4]Лист1'!AP15+'[4]Лист1'!AQ15+'[4]Лист1'!AR15</f>
        <v>1180.18489934</v>
      </c>
      <c r="L21" s="20">
        <f>'[4]Лист1'!AS15+'[4]Лист1'!AT15+'[4]Лист1'!AU15+'[4]Лист1'!AZ15+'[4]Лист1'!BA15</f>
        <v>0</v>
      </c>
      <c r="M21" s="20">
        <f>'[4]Лист1'!AX15</f>
        <v>49.16352</v>
      </c>
      <c r="N21" s="21">
        <f>'[4]Лист1'!BB15</f>
        <v>1780.64723714</v>
      </c>
      <c r="O21" s="52">
        <f>'[4]Лист1'!BD15</f>
        <v>898.1327628600002</v>
      </c>
      <c r="P21" s="52">
        <f>'[4]Лист1'!BE15</f>
        <v>-322.77</v>
      </c>
      <c r="Q21" s="1"/>
      <c r="R21" s="1"/>
    </row>
    <row r="22" spans="1:18" ht="13.5" hidden="1" thickBot="1">
      <c r="A22" s="13" t="s">
        <v>53</v>
      </c>
      <c r="B22" s="213">
        <f>'[4]Лист1'!B16</f>
        <v>347</v>
      </c>
      <c r="C22" s="48">
        <f t="shared" si="0"/>
        <v>3001.55</v>
      </c>
      <c r="D22" s="49">
        <f>'[4]Лист1'!D16</f>
        <v>577.73</v>
      </c>
      <c r="E22" s="19">
        <f>'[4]Лист1'!S16</f>
        <v>1563.7</v>
      </c>
      <c r="F22" s="21">
        <f>'[4]Лист1'!T16</f>
        <v>860.12</v>
      </c>
      <c r="G22" s="51">
        <f>'[4]Лист1'!AB16</f>
        <v>1843.1499999999999</v>
      </c>
      <c r="H22" s="21">
        <f>'[4]Лист1'!AC16</f>
        <v>3281</v>
      </c>
      <c r="I22" s="51">
        <f>'[4]Лист1'!AG16</f>
        <v>208.2</v>
      </c>
      <c r="J22" s="19">
        <f>'[4]Лист1'!AI16+'[4]Лист1'!AJ16</f>
        <v>342.9073952499999</v>
      </c>
      <c r="K22" s="19">
        <f>'[4]Лист1'!AH16+'[4]Лист1'!AK16+'[4]Лист1'!AL16+'[4]Лист1'!AM16+'[4]Лист1'!AN16+'[4]Лист1'!AO16+'[4]Лист1'!AP16+'[4]Лист1'!AQ16+'[4]Лист1'!AR16</f>
        <v>1179.93693314</v>
      </c>
      <c r="L22" s="20">
        <f>'[4]Лист1'!AS16+'[4]Лист1'!AT16+'[4]Лист1'!AU16+'[4]Лист1'!AZ16+'[4]Лист1'!BA16</f>
        <v>0</v>
      </c>
      <c r="M22" s="20">
        <f>'[4]Лист1'!AX16</f>
        <v>58.08431999999999</v>
      </c>
      <c r="N22" s="21">
        <f>'[4]Лист1'!BB16</f>
        <v>1789.1286483900003</v>
      </c>
      <c r="O22" s="52">
        <f>'[4]Лист1'!BD16</f>
        <v>1491.8713516099997</v>
      </c>
      <c r="P22" s="52">
        <f>'[4]Лист1'!BE16</f>
        <v>279.4499999999998</v>
      </c>
      <c r="Q22" s="1"/>
      <c r="R22" s="1"/>
    </row>
    <row r="23" spans="1:18" ht="13.5" hidden="1" thickBot="1">
      <c r="A23" s="13" t="s">
        <v>41</v>
      </c>
      <c r="B23" s="213">
        <f>'[4]Лист1'!B17</f>
        <v>347</v>
      </c>
      <c r="C23" s="48">
        <f t="shared" si="0"/>
        <v>3001.55</v>
      </c>
      <c r="D23" s="49">
        <f>'[4]Лист1'!D17</f>
        <v>577.73</v>
      </c>
      <c r="E23" s="19">
        <f>'[4]Лист1'!S17</f>
        <v>1563.7</v>
      </c>
      <c r="F23" s="21">
        <f>'[4]Лист1'!T17</f>
        <v>860.12</v>
      </c>
      <c r="G23" s="51">
        <f>'[4]Лист1'!AB17</f>
        <v>1231.0300000000002</v>
      </c>
      <c r="H23" s="21">
        <f>'[4]Лист1'!AC17</f>
        <v>2668.88</v>
      </c>
      <c r="I23" s="51">
        <f>'[4]Лист1'!AG17</f>
        <v>208.2</v>
      </c>
      <c r="J23" s="19">
        <f>'[4]Лист1'!AI17+'[4]Лист1'!AJ17</f>
        <v>342.84822827999994</v>
      </c>
      <c r="K23" s="19">
        <f>'[4]Лист1'!AH17+'[4]Лист1'!AK17+'[4]Лист1'!AL17+'[4]Лист1'!AM17+'[4]Лист1'!AN17+'[4]Лист1'!AO17+'[4]Лист1'!AP17+'[4]Лист1'!AQ17+'[4]Лист1'!AR17</f>
        <v>1179.8602711239998</v>
      </c>
      <c r="L23" s="20">
        <f>'[4]Лист1'!AS17+'[4]Лист1'!AT17+'[4]Лист1'!AU17+'[4]Лист1'!AZ17+'[4]Лист1'!BA17</f>
        <v>0</v>
      </c>
      <c r="M23" s="20">
        <f>'[4]Лист1'!AX17</f>
        <v>69.18576</v>
      </c>
      <c r="N23" s="21">
        <f>'[4]Лист1'!BB17</f>
        <v>1800.0942594039993</v>
      </c>
      <c r="O23" s="52">
        <f>'[4]Лист1'!BD17</f>
        <v>868.7857405960008</v>
      </c>
      <c r="P23" s="52">
        <f>'[4]Лист1'!BE17</f>
        <v>-332.66999999999985</v>
      </c>
      <c r="Q23" s="1"/>
      <c r="R23" s="1"/>
    </row>
    <row r="24" spans="1:18" ht="13.5" hidden="1" thickBot="1">
      <c r="A24" s="13" t="s">
        <v>42</v>
      </c>
      <c r="B24" s="213">
        <f>'[4]Лист1'!B18</f>
        <v>347</v>
      </c>
      <c r="C24" s="48">
        <f t="shared" si="0"/>
        <v>3001.55</v>
      </c>
      <c r="D24" s="49">
        <f>'[4]Лист1'!D18</f>
        <v>577.73</v>
      </c>
      <c r="E24" s="19">
        <f>'[4]Лист1'!S18</f>
        <v>1563.7</v>
      </c>
      <c r="F24" s="21">
        <f>'[4]Лист1'!T18</f>
        <v>860.12</v>
      </c>
      <c r="G24" s="51">
        <f>'[4]Лист1'!AB18</f>
        <v>1939.5499999999997</v>
      </c>
      <c r="H24" s="21">
        <f>'[4]Лист1'!AC18</f>
        <v>3377.3999999999996</v>
      </c>
      <c r="I24" s="51">
        <f>'[4]Лист1'!AG18</f>
        <v>208.2</v>
      </c>
      <c r="J24" s="19">
        <f>'[4]Лист1'!AI18+'[4]Лист1'!AJ18</f>
        <v>346.81262</v>
      </c>
      <c r="K24" s="19">
        <f>'[4]Лист1'!AH18+'[4]Лист1'!AK18+'[4]Лист1'!AL18+'[4]Лист1'!AM18+'[4]Лист1'!AN18+'[4]Лист1'!AO18+'[4]Лист1'!AP18+'[4]Лист1'!AQ18+'[4]Лист1'!AR18</f>
        <v>1190.0018</v>
      </c>
      <c r="L24" s="20">
        <f>'[4]Лист1'!AS18+'[4]Лист1'!AT18+'[4]Лист1'!AU18+'[4]Лист1'!AZ18+'[4]Лист1'!BA18</f>
        <v>0</v>
      </c>
      <c r="M24" s="20">
        <f>'[4]Лист1'!AX18</f>
        <v>84.252</v>
      </c>
      <c r="N24" s="21">
        <f>'[4]Лист1'!BB18</f>
        <v>1829.2664200000002</v>
      </c>
      <c r="O24" s="52">
        <f>'[4]Лист1'!BD18</f>
        <v>1548.1335799999995</v>
      </c>
      <c r="P24" s="52">
        <f>'[4]Лист1'!BE18</f>
        <v>375.8499999999997</v>
      </c>
      <c r="Q24" s="1"/>
      <c r="R24" s="1"/>
    </row>
    <row r="25" spans="1:18" ht="13.5" hidden="1" thickBot="1">
      <c r="A25" s="53" t="s">
        <v>43</v>
      </c>
      <c r="B25" s="213">
        <f>'[4]Лист1'!B19</f>
        <v>347</v>
      </c>
      <c r="C25" s="54">
        <f t="shared" si="0"/>
        <v>3001.55</v>
      </c>
      <c r="D25" s="49">
        <f>'[4]Лист1'!D19</f>
        <v>577.73</v>
      </c>
      <c r="E25" s="19">
        <f>'[4]Лист1'!S19</f>
        <v>1563.7</v>
      </c>
      <c r="F25" s="21">
        <f>'[4]Лист1'!T19</f>
        <v>860.12</v>
      </c>
      <c r="G25" s="51">
        <f>'[4]Лист1'!AB19</f>
        <v>1230.9</v>
      </c>
      <c r="H25" s="21">
        <f>'[4]Лист1'!AC19</f>
        <v>2668.75</v>
      </c>
      <c r="I25" s="51">
        <f>'[4]Лист1'!AG19</f>
        <v>208.2</v>
      </c>
      <c r="J25" s="19">
        <f>'[4]Лист1'!AI19+'[4]Лист1'!AJ19</f>
        <v>348.041</v>
      </c>
      <c r="K25" s="19">
        <f>'[4]Лист1'!AH19+'[4]Лист1'!AK19+'[4]Лист1'!AL19+'[4]Лист1'!AM19+'[4]Лист1'!AN19+'[4]Лист1'!AO19+'[4]Лист1'!AP19+'[4]Лист1'!AQ19+'[4]Лист1'!AR19</f>
        <v>1191.3204</v>
      </c>
      <c r="L25" s="20">
        <f>'[4]Лист1'!AS19+'[4]Лист1'!AT19+'[4]Лист1'!AU19+'[4]Лист1'!AZ19+'[4]Лист1'!BA19</f>
        <v>0</v>
      </c>
      <c r="M25" s="20">
        <f>'[4]Лист1'!AX19</f>
        <v>93.17280000000001</v>
      </c>
      <c r="N25" s="21">
        <f>'[4]Лист1'!BB19</f>
        <v>1840.7342</v>
      </c>
      <c r="O25" s="52">
        <f>'[4]Лист1'!BD19</f>
        <v>828.0157999999999</v>
      </c>
      <c r="P25" s="52">
        <f>'[4]Лист1'!BE19</f>
        <v>-332.79999999999995</v>
      </c>
      <c r="Q25" s="1"/>
      <c r="R25" s="1"/>
    </row>
    <row r="26" spans="1:18" s="28" customFormat="1" ht="13.5" hidden="1" thickBot="1">
      <c r="A26" s="55" t="s">
        <v>5</v>
      </c>
      <c r="B26" s="56"/>
      <c r="C26" s="57">
        <f aca="true" t="shared" si="1" ref="C26:P26">SUM(C14:C25)</f>
        <v>33017.049999999996</v>
      </c>
      <c r="D26" s="58">
        <f t="shared" si="1"/>
        <v>5563.254999999999</v>
      </c>
      <c r="E26" s="57">
        <f t="shared" si="1"/>
        <v>16545.510000000002</v>
      </c>
      <c r="F26" s="59">
        <f t="shared" si="1"/>
        <v>9096.060000000001</v>
      </c>
      <c r="G26" s="58">
        <f t="shared" si="1"/>
        <v>16055.549999999997</v>
      </c>
      <c r="H26" s="59">
        <f t="shared" si="1"/>
        <v>30714.864999999998</v>
      </c>
      <c r="I26" s="58">
        <f t="shared" si="1"/>
        <v>2206.92</v>
      </c>
      <c r="J26" s="57">
        <f t="shared" si="1"/>
        <v>3635.6594948300003</v>
      </c>
      <c r="K26" s="57">
        <f t="shared" si="1"/>
        <v>12400.211564704</v>
      </c>
      <c r="L26" s="57">
        <f t="shared" si="1"/>
        <v>1569.4</v>
      </c>
      <c r="M26" s="57">
        <f t="shared" si="1"/>
        <v>770.36064</v>
      </c>
      <c r="N26" s="59">
        <f t="shared" si="1"/>
        <v>20582.551699533997</v>
      </c>
      <c r="O26" s="61">
        <f t="shared" si="1"/>
        <v>10132.313300466</v>
      </c>
      <c r="P26" s="61">
        <f t="shared" si="1"/>
        <v>-489.96000000000004</v>
      </c>
      <c r="Q26" s="63"/>
      <c r="R26" s="63"/>
    </row>
    <row r="27" spans="1:18" ht="13.5" thickBot="1">
      <c r="A27" s="331" t="s">
        <v>92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70"/>
      <c r="Q27" s="1"/>
      <c r="R27" s="1"/>
    </row>
    <row r="28" spans="1:18" s="28" customFormat="1" ht="13.5" thickBot="1">
      <c r="A28" s="71" t="s">
        <v>54</v>
      </c>
      <c r="B28" s="72"/>
      <c r="C28" s="73">
        <f>'2011 полн'!C8</f>
        <v>152142.255</v>
      </c>
      <c r="D28" s="73">
        <f>'2011 полн'!D8</f>
        <v>33452.50207555001</v>
      </c>
      <c r="E28" s="73">
        <f>'2011 полн'!U8</f>
        <v>108642.20999999999</v>
      </c>
      <c r="F28" s="73">
        <f>'2011 полн'!V8</f>
        <v>3042.4800000000005</v>
      </c>
      <c r="G28" s="73">
        <f>'2011 полн'!AF8</f>
        <v>57143.51000000001</v>
      </c>
      <c r="H28" s="73">
        <f>'2011 полн'!AG8</f>
        <v>93638.49207555002</v>
      </c>
      <c r="I28" s="73">
        <f>'2011 полн'!AK8</f>
        <v>10395.66</v>
      </c>
      <c r="J28" s="73">
        <f>'2011 полн'!AL8</f>
        <v>3483.140668</v>
      </c>
      <c r="K28" s="73">
        <f>'2011 полн'!AM8+'2011 полн'!AN8+'2011 полн'!AO8+'2011 полн'!AP8+'2011 полн'!AQ8+'2011 полн'!AS8+'2011 полн'!AT8+'2011 полн'!AX8+5388.77</f>
        <v>78356.152517787</v>
      </c>
      <c r="L28" s="73">
        <f>'2011 полн'!AU8+'2011 полн'!AV8+'2011 полн'!AW8</f>
        <v>40575.916800000006</v>
      </c>
      <c r="M28" s="73">
        <v>0</v>
      </c>
      <c r="N28" s="73">
        <f>'2011 полн'!BC8</f>
        <v>132810.867985787</v>
      </c>
      <c r="O28" s="73">
        <f>'2011 полн'!BF8</f>
        <v>-39172.375910236995</v>
      </c>
      <c r="P28" s="73">
        <f>'2011 полн'!BG8</f>
        <v>-51498.7</v>
      </c>
      <c r="Q28" s="77"/>
      <c r="R28" s="63"/>
    </row>
    <row r="29" spans="1:18" ht="12.75">
      <c r="A29" s="8" t="s">
        <v>116</v>
      </c>
      <c r="B29" s="211"/>
      <c r="C29" s="64"/>
      <c r="D29" s="65"/>
      <c r="E29" s="66"/>
      <c r="F29" s="67"/>
      <c r="G29" s="69"/>
      <c r="H29" s="67"/>
      <c r="I29" s="69"/>
      <c r="J29" s="19"/>
      <c r="K29" s="19"/>
      <c r="L29" s="20"/>
      <c r="M29" s="212"/>
      <c r="N29" s="21"/>
      <c r="O29" s="52"/>
      <c r="P29" s="52"/>
      <c r="Q29" s="1"/>
      <c r="R29" s="1"/>
    </row>
    <row r="30" spans="1:18" ht="12.75">
      <c r="A30" s="13" t="s">
        <v>45</v>
      </c>
      <c r="B30" s="213">
        <f>'2011 полн'!B10</f>
        <v>633.7</v>
      </c>
      <c r="C30" s="48">
        <f>'2011 полн'!C10</f>
        <v>4493.439960000001</v>
      </c>
      <c r="D30" s="49">
        <f>0</f>
        <v>0</v>
      </c>
      <c r="E30" s="19">
        <f>'2011 полн'!U10</f>
        <v>4432.87</v>
      </c>
      <c r="F30" s="19">
        <f>'2011 полн'!V10</f>
        <v>0</v>
      </c>
      <c r="G30" s="51">
        <f>'2011 полн'!AF10</f>
        <v>1654.0399999999997</v>
      </c>
      <c r="H30" s="51">
        <f>'2011 полн'!AG10</f>
        <v>2129.9901999999997</v>
      </c>
      <c r="I30" s="51">
        <f>'2011 полн'!AK10</f>
        <v>424.57900000000006</v>
      </c>
      <c r="J30" s="51">
        <f>'2011 полн'!AL10</f>
        <v>126.74000000000001</v>
      </c>
      <c r="K30" s="19">
        <f>'2011 полн'!AM10+'2011 полн'!AN10+'2011 полн'!AO10+'2011 полн'!AP10+'2011 полн'!AQ10+'2011 полн'!AR10+'2011 полн'!AS10+'2011 полн'!AX10</f>
        <v>3650.112</v>
      </c>
      <c r="L30" s="20">
        <f>'2011 полн'!AU10+'2011 полн'!AV10+'2011 полн'!AW10</f>
        <v>0</v>
      </c>
      <c r="M30" s="20">
        <f>'2011 полн'!AY10</f>
        <v>0</v>
      </c>
      <c r="N30" s="21">
        <f>'2011 полн'!BE10</f>
        <v>4201.4310000000005</v>
      </c>
      <c r="O30" s="52">
        <f>'2011 полн'!BF10</f>
        <v>-2071.4408000000008</v>
      </c>
      <c r="P30" s="52">
        <f>'2011 полн'!BG10</f>
        <v>-2778.83</v>
      </c>
      <c r="Q30" s="1"/>
      <c r="R30" s="1"/>
    </row>
    <row r="31" spans="1:18" ht="12.75">
      <c r="A31" s="13" t="s">
        <v>46</v>
      </c>
      <c r="B31" s="213">
        <f>'2011 полн'!B11</f>
        <v>633.7</v>
      </c>
      <c r="C31" s="48">
        <f>'2011 полн'!C11</f>
        <v>4493.439960000001</v>
      </c>
      <c r="D31" s="49">
        <f>0</f>
        <v>0</v>
      </c>
      <c r="E31" s="19">
        <f>'2011 полн'!U11</f>
        <v>4556.0199999999995</v>
      </c>
      <c r="F31" s="19">
        <f>'2011 полн'!V11</f>
        <v>0</v>
      </c>
      <c r="G31" s="51">
        <f>'2011 полн'!AF11</f>
        <v>2719.5699999999997</v>
      </c>
      <c r="H31" s="51">
        <f>'2011 полн'!AG11</f>
        <v>3195.5202</v>
      </c>
      <c r="I31" s="51">
        <f>'2011 полн'!AK11</f>
        <v>424.57900000000006</v>
      </c>
      <c r="J31" s="51">
        <f>'2011 полн'!AL11</f>
        <v>126.74000000000001</v>
      </c>
      <c r="K31" s="19">
        <f>'2011 полн'!AM11+'2011 полн'!AN11+'2011 полн'!AO11+'2011 полн'!AP11+'2011 полн'!AQ11+'2011 полн'!AR11+'2011 полн'!AS11+'2011 полн'!AX11</f>
        <v>3650.112</v>
      </c>
      <c r="L31" s="20">
        <f>'2011 полн'!AU11+'2011 полн'!AV11+'2011 полн'!AW11</f>
        <v>0</v>
      </c>
      <c r="M31" s="20">
        <f>'2011 полн'!AY11</f>
        <v>0</v>
      </c>
      <c r="N31" s="21">
        <f>'2011 полн'!BE11</f>
        <v>4201.4310000000005</v>
      </c>
      <c r="O31" s="52">
        <f>'2011 полн'!BF11</f>
        <v>-1005.9108000000006</v>
      </c>
      <c r="P31" s="52">
        <f>'2011 полн'!BG11</f>
        <v>-1836.4499999999998</v>
      </c>
      <c r="Q31" s="1"/>
      <c r="R31" s="1"/>
    </row>
    <row r="32" spans="1:18" ht="12.75">
      <c r="A32" s="13" t="s">
        <v>47</v>
      </c>
      <c r="B32" s="213">
        <f>'2011 полн'!B12</f>
        <v>633.7</v>
      </c>
      <c r="C32" s="48">
        <f>'2011 полн'!C12</f>
        <v>4493.439960000001</v>
      </c>
      <c r="D32" s="49">
        <f>0</f>
        <v>0</v>
      </c>
      <c r="E32" s="19">
        <f>'2011 полн'!U12</f>
        <v>4494.44</v>
      </c>
      <c r="F32" s="19">
        <f>'2011 полн'!V12</f>
        <v>0</v>
      </c>
      <c r="G32" s="51">
        <f>'2011 полн'!AF12</f>
        <v>2304.73</v>
      </c>
      <c r="H32" s="51">
        <f>'2011 полн'!AG12</f>
        <v>2780.6802</v>
      </c>
      <c r="I32" s="51">
        <f>'2011 полн'!AK12</f>
        <v>424.57900000000006</v>
      </c>
      <c r="J32" s="51">
        <f>'2011 полн'!AL12</f>
        <v>126.74000000000001</v>
      </c>
      <c r="K32" s="19">
        <f>'2011 полн'!AM12+'2011 полн'!AN12+'2011 полн'!AO12+'2011 полн'!AP12+'2011 полн'!AQ12+'2011 полн'!AR12+'2011 полн'!AS12+'2011 полн'!AX12</f>
        <v>4420.112</v>
      </c>
      <c r="L32" s="20">
        <f>'2011 полн'!AU12+'2011 полн'!AV12+'2011 полн'!AW12</f>
        <v>0</v>
      </c>
      <c r="M32" s="20">
        <f>'2011 полн'!AY12</f>
        <v>0</v>
      </c>
      <c r="N32" s="21">
        <f>'2011 полн'!BE12</f>
        <v>4971.4310000000005</v>
      </c>
      <c r="O32" s="52">
        <f>'2011 полн'!BF12</f>
        <v>-2190.7508000000007</v>
      </c>
      <c r="P32" s="52">
        <f>'2011 полн'!BG12</f>
        <v>-2189.7099999999996</v>
      </c>
      <c r="Q32" s="1"/>
      <c r="R32" s="1"/>
    </row>
    <row r="33" spans="1:18" ht="12.75">
      <c r="A33" s="13" t="s">
        <v>48</v>
      </c>
      <c r="B33" s="213">
        <f>'2011 полн'!B13</f>
        <v>656.5</v>
      </c>
      <c r="C33" s="48">
        <f>'2011 полн'!C13</f>
        <v>4655.1102</v>
      </c>
      <c r="D33" s="49">
        <f>0</f>
        <v>0</v>
      </c>
      <c r="E33" s="19">
        <f>'2011 полн'!U13</f>
        <v>5448.38</v>
      </c>
      <c r="F33" s="19">
        <f>'2011 полн'!V13</f>
        <v>0</v>
      </c>
      <c r="G33" s="51">
        <f>'2011 полн'!AF13</f>
        <v>1871.47</v>
      </c>
      <c r="H33" s="51">
        <f>'2011 полн'!AG13</f>
        <v>2347.4202</v>
      </c>
      <c r="I33" s="51">
        <f>'2011 полн'!AK13</f>
        <v>439.855</v>
      </c>
      <c r="J33" s="51">
        <f>'2011 полн'!AL13</f>
        <v>131.3</v>
      </c>
      <c r="K33" s="19">
        <f>'2011 полн'!AM13+'2011 полн'!AN13+'2011 полн'!AO13+'2011 полн'!AP13+'2011 полн'!AQ13+'2011 полн'!AR13+'2011 полн'!AS13+'2011 полн'!AX13</f>
        <v>3781.44</v>
      </c>
      <c r="L33" s="20">
        <f>'2011 полн'!AU13+'2011 полн'!AV13+'2011 полн'!AW13</f>
        <v>151</v>
      </c>
      <c r="M33" s="20">
        <f>'2011 полн'!AY13</f>
        <v>0</v>
      </c>
      <c r="N33" s="21">
        <f>'2011 полн'!BE13</f>
        <v>4503.595</v>
      </c>
      <c r="O33" s="52">
        <f>'2011 полн'!BF13</f>
        <v>-2156.1748000000002</v>
      </c>
      <c r="P33" s="52">
        <f>'2011 полн'!BG13</f>
        <v>-3576.91</v>
      </c>
      <c r="Q33" s="1"/>
      <c r="R33" s="1"/>
    </row>
    <row r="34" spans="1:18" ht="12.75">
      <c r="A34" s="13" t="s">
        <v>49</v>
      </c>
      <c r="B34" s="213">
        <f>'2011 полн'!B14</f>
        <v>656.5</v>
      </c>
      <c r="C34" s="48">
        <f>'2011 полн'!C14</f>
        <v>4655.1102</v>
      </c>
      <c r="D34" s="49">
        <f>0</f>
        <v>0</v>
      </c>
      <c r="E34" s="19">
        <f>'2011 полн'!U14</f>
        <v>4649.54</v>
      </c>
      <c r="F34" s="19">
        <f>'2011 полн'!V14</f>
        <v>0</v>
      </c>
      <c r="G34" s="51">
        <f>'2011 полн'!AF14</f>
        <v>4613.4</v>
      </c>
      <c r="H34" s="51">
        <f>'2011 полн'!AG14</f>
        <v>5089.3502</v>
      </c>
      <c r="I34" s="51">
        <f>'2011 полн'!AK14</f>
        <v>439.855</v>
      </c>
      <c r="J34" s="51">
        <f>'2011 полн'!AL14</f>
        <v>131.3</v>
      </c>
      <c r="K34" s="19">
        <f>'2011 полн'!AM14+'2011 полн'!AN14+'2011 полн'!AO14+'2011 полн'!AP14+'2011 полн'!AQ14+'2011 полн'!AR14+'2011 полн'!AS14+'2011 полн'!AX14</f>
        <v>3781.44</v>
      </c>
      <c r="L34" s="20">
        <f>'2011 полн'!AU14+'2011 полн'!AV14+'2011 полн'!AW14</f>
        <v>0</v>
      </c>
      <c r="M34" s="20">
        <f>'2011 полн'!AY14</f>
        <v>0</v>
      </c>
      <c r="N34" s="21">
        <f>'2011 полн'!BE14</f>
        <v>4352.595</v>
      </c>
      <c r="O34" s="52">
        <f>'2011 полн'!BF14</f>
        <v>736.7551999999996</v>
      </c>
      <c r="P34" s="52">
        <f>'2011 полн'!BG14</f>
        <v>-36.14000000000033</v>
      </c>
      <c r="Q34" s="1"/>
      <c r="R34" s="1"/>
    </row>
    <row r="35" spans="1:18" ht="12.75">
      <c r="A35" s="13" t="s">
        <v>50</v>
      </c>
      <c r="B35" s="213">
        <f>'2011 полн'!B15</f>
        <v>656.5</v>
      </c>
      <c r="C35" s="48">
        <f>'2011 полн'!C15</f>
        <v>4655.1102</v>
      </c>
      <c r="D35" s="49">
        <f>0</f>
        <v>0</v>
      </c>
      <c r="E35" s="19">
        <f>'2011 полн'!U15</f>
        <v>4656.08</v>
      </c>
      <c r="F35" s="19">
        <f>'2011 полн'!V15</f>
        <v>0</v>
      </c>
      <c r="G35" s="51">
        <f>'2011 полн'!AF15</f>
        <v>5686.95</v>
      </c>
      <c r="H35" s="51">
        <f>'2011 полн'!AG15</f>
        <v>6162.9002</v>
      </c>
      <c r="I35" s="51">
        <f>'2011 полн'!AK15</f>
        <v>439.855</v>
      </c>
      <c r="J35" s="51">
        <f>'2011 полн'!AL15</f>
        <v>131.3</v>
      </c>
      <c r="K35" s="19">
        <f>'2011 полн'!AM15+'2011 полн'!AN15+'2011 полн'!AO15+'2011 полн'!AP15+'2011 полн'!AQ15+'2011 полн'!AR15+'2011 полн'!AS15+'2011 полн'!AX15</f>
        <v>3781.44</v>
      </c>
      <c r="L35" s="20">
        <f>'2011 полн'!AU15+'2011 полн'!AV15+'2011 полн'!AW15</f>
        <v>0</v>
      </c>
      <c r="M35" s="20">
        <f>'2011 полн'!AY15</f>
        <v>0</v>
      </c>
      <c r="N35" s="21">
        <f>'2011 полн'!BE15</f>
        <v>4352.595</v>
      </c>
      <c r="O35" s="52">
        <f>'2011 полн'!BF15</f>
        <v>1810.3051999999998</v>
      </c>
      <c r="P35" s="52">
        <f>'2011 полн'!BG15</f>
        <v>1030.87</v>
      </c>
      <c r="Q35" s="1"/>
      <c r="R35" s="1"/>
    </row>
    <row r="36" spans="1:16" ht="12.75">
      <c r="A36" s="13" t="s">
        <v>51</v>
      </c>
      <c r="B36" s="213">
        <f>'2011 полн'!B16</f>
        <v>656.5</v>
      </c>
      <c r="C36" s="48">
        <f>'2011 полн'!C16</f>
        <v>9223.825</v>
      </c>
      <c r="D36" s="49">
        <f>0</f>
        <v>0</v>
      </c>
      <c r="E36" s="19">
        <f>'2011 полн'!U16</f>
        <v>9223.82</v>
      </c>
      <c r="F36" s="19">
        <f>'2011 полн'!V16</f>
        <v>0</v>
      </c>
      <c r="G36" s="51">
        <f>'2011 полн'!AF16</f>
        <v>4153.28</v>
      </c>
      <c r="H36" s="51">
        <f>'2011 полн'!AG16</f>
        <v>4629.2302</v>
      </c>
      <c r="I36" s="51">
        <f>'2011 полн'!AK16</f>
        <v>439.855</v>
      </c>
      <c r="J36" s="51">
        <f>'2011 полн'!AL16</f>
        <v>131.3</v>
      </c>
      <c r="K36" s="19">
        <f>'2011 полн'!AM16+'2011 полн'!AN16+'2011 полн'!AO16+'2011 полн'!AP16+'2011 полн'!AQ16+'2011 полн'!AR16+'2011 полн'!AS16+'2011 полн'!AX16</f>
        <v>5195.62</v>
      </c>
      <c r="L36" s="20">
        <f>'2011 полн'!AU16+'2011 полн'!AV16+'2011 полн'!AW16</f>
        <v>3631</v>
      </c>
      <c r="M36" s="20">
        <f>'2011 полн'!AY16</f>
        <v>0</v>
      </c>
      <c r="N36" s="21">
        <f>'2011 полн'!BE16</f>
        <v>9397.775</v>
      </c>
      <c r="O36" s="52">
        <f>'2011 полн'!BF16</f>
        <v>-4768.5448</v>
      </c>
      <c r="P36" s="52">
        <f>'2011 полн'!BG16</f>
        <v>-5070.54</v>
      </c>
    </row>
    <row r="37" spans="1:16" ht="12.75">
      <c r="A37" s="13" t="s">
        <v>52</v>
      </c>
      <c r="B37" s="213">
        <f>'2011 полн'!B17</f>
        <v>656.5</v>
      </c>
      <c r="C37" s="48">
        <f>'2011 полн'!C17</f>
        <v>9223.825</v>
      </c>
      <c r="D37" s="49">
        <f>0</f>
        <v>0</v>
      </c>
      <c r="E37" s="19">
        <f>'2011 полн'!U17</f>
        <v>9223.82</v>
      </c>
      <c r="F37" s="19">
        <f>'2011 полн'!V17</f>
        <v>0</v>
      </c>
      <c r="G37" s="51">
        <f>'2011 полн'!AF17</f>
        <v>5550.83</v>
      </c>
      <c r="H37" s="51">
        <f>'2011 полн'!AG17</f>
        <v>6026.7802</v>
      </c>
      <c r="I37" s="51">
        <f>'2011 полн'!AK17</f>
        <v>439.855</v>
      </c>
      <c r="J37" s="51">
        <f>'2011 полн'!AL17</f>
        <v>131.3</v>
      </c>
      <c r="K37" s="19">
        <f>'2011 полн'!AM17+'2011 полн'!AN17+'2011 полн'!AO17+'2011 полн'!AP17+'2011 полн'!AQ17+'2011 полн'!AR17+'2011 полн'!AS17+'2011 полн'!AX17</f>
        <v>3781.44</v>
      </c>
      <c r="L37" s="20">
        <f>'2011 полн'!AU17+'2011 полн'!AV17+'2011 полн'!AW17</f>
        <v>754</v>
      </c>
      <c r="M37" s="20">
        <f>'2011 полн'!AY17</f>
        <v>0</v>
      </c>
      <c r="N37" s="21">
        <f>'2011 полн'!BE17</f>
        <v>5106.595</v>
      </c>
      <c r="O37" s="52">
        <f>'2011 полн'!BF17</f>
        <v>920.1851999999999</v>
      </c>
      <c r="P37" s="52">
        <f>'2011 полн'!BG17</f>
        <v>-3672.99</v>
      </c>
    </row>
    <row r="38" spans="1:16" ht="12.75">
      <c r="A38" s="13" t="s">
        <v>53</v>
      </c>
      <c r="B38" s="213">
        <f>'2011 полн'!B18</f>
        <v>656.5</v>
      </c>
      <c r="C38" s="48">
        <f>'2011 полн'!C18</f>
        <v>9223.825</v>
      </c>
      <c r="D38" s="49">
        <f>0</f>
        <v>0</v>
      </c>
      <c r="E38" s="19">
        <f>'2011 полн'!U18</f>
        <v>9223.89</v>
      </c>
      <c r="F38" s="19">
        <f>'2011 полн'!V18</f>
        <v>0</v>
      </c>
      <c r="G38" s="51">
        <f>'2011 полн'!AF18</f>
        <v>6119.3</v>
      </c>
      <c r="H38" s="51">
        <f>'2011 полн'!AG18</f>
        <v>6618.8254</v>
      </c>
      <c r="I38" s="51">
        <f>'2011 полн'!AK18</f>
        <v>439.855</v>
      </c>
      <c r="J38" s="51">
        <f>'2011 полн'!AL18</f>
        <v>131.3</v>
      </c>
      <c r="K38" s="19">
        <f>'2011 полн'!AM18+'2011 полн'!AN18+'2011 полн'!AO18+'2011 полн'!AP18+'2011 полн'!AQ18+'2011 полн'!AR18+'2011 полн'!AS18+'2011 полн'!AX18</f>
        <v>3878.44</v>
      </c>
      <c r="L38" s="20">
        <f>'2011 полн'!AU18+'2011 полн'!AV18+'2011 полн'!AW18</f>
        <v>0</v>
      </c>
      <c r="M38" s="20">
        <f>'2011 полн'!AY18</f>
        <v>0</v>
      </c>
      <c r="N38" s="21">
        <f>'2011 полн'!BE18</f>
        <v>4449.595</v>
      </c>
      <c r="O38" s="52">
        <f>'2011 полн'!BF18</f>
        <v>2169.2303999999995</v>
      </c>
      <c r="P38" s="52">
        <f>'2011 полн'!BG18</f>
        <v>-3104.5899999999992</v>
      </c>
    </row>
    <row r="39" spans="1:16" ht="12.75">
      <c r="A39" s="13" t="s">
        <v>41</v>
      </c>
      <c r="B39" s="213">
        <f>'2011 полн'!B19</f>
        <v>656.5</v>
      </c>
      <c r="C39" s="48">
        <f>'2011 полн'!C19</f>
        <v>9223.825</v>
      </c>
      <c r="D39" s="49">
        <f>0</f>
        <v>0</v>
      </c>
      <c r="E39" s="19">
        <f>'2011 полн'!U19</f>
        <v>9223.89</v>
      </c>
      <c r="F39" s="19">
        <f>'2011 полн'!V19</f>
        <v>0</v>
      </c>
      <c r="G39" s="51">
        <f>'2011 полн'!AF19</f>
        <v>4934.35</v>
      </c>
      <c r="H39" s="51">
        <f>'2011 полн'!AG19</f>
        <v>5433.875400000001</v>
      </c>
      <c r="I39" s="51">
        <f>'2011 полн'!AK19</f>
        <v>439.855</v>
      </c>
      <c r="J39" s="51">
        <f>'2011 полн'!AL19</f>
        <v>131.3</v>
      </c>
      <c r="K39" s="19">
        <f>'2011 полн'!AM19+'2011 полн'!AN19+'2011 полн'!AO19+'2011 полн'!AP19+'2011 полн'!AQ19+'2011 полн'!AR19+'2011 полн'!AS19+'2011 полн'!AX19</f>
        <v>4536.415</v>
      </c>
      <c r="L39" s="20">
        <f>'2011 полн'!AU19+'2011 полн'!AV19+'2011 полн'!AW19</f>
        <v>3058</v>
      </c>
      <c r="M39" s="20">
        <f>'2011 полн'!AY19</f>
        <v>0</v>
      </c>
      <c r="N39" s="21">
        <f>'2011 полн'!BE19</f>
        <v>8165.57</v>
      </c>
      <c r="O39" s="52">
        <f>'2011 полн'!BF19</f>
        <v>-2731.694599999999</v>
      </c>
      <c r="P39" s="52">
        <f>'2011 полн'!BG19</f>
        <v>-4289.539999999999</v>
      </c>
    </row>
    <row r="40" spans="1:16" ht="12.75">
      <c r="A40" s="13" t="s">
        <v>42</v>
      </c>
      <c r="B40" s="213">
        <f>'2011 полн'!B20</f>
        <v>656.5</v>
      </c>
      <c r="C40" s="48">
        <f>'2011 полн'!C20</f>
        <v>9223.825</v>
      </c>
      <c r="D40" s="49">
        <f>0</f>
        <v>0</v>
      </c>
      <c r="E40" s="19">
        <f>'2011 полн'!U20</f>
        <v>9223.89</v>
      </c>
      <c r="F40" s="19">
        <f>'2011 полн'!V20</f>
        <v>0</v>
      </c>
      <c r="G40" s="51">
        <f>'2011 полн'!AF20</f>
        <v>6897.88</v>
      </c>
      <c r="H40" s="51">
        <f>'2011 полн'!AG20</f>
        <v>7397.4054</v>
      </c>
      <c r="I40" s="51">
        <f>'2011 полн'!AK20</f>
        <v>439.855</v>
      </c>
      <c r="J40" s="51">
        <f>'2011 полн'!AL20</f>
        <v>131.3</v>
      </c>
      <c r="K40" s="19">
        <f>'2011 полн'!AM20+'2011 полн'!AN20+'2011 полн'!AO20+'2011 полн'!AP20+'2011 полн'!AQ20+'2011 полн'!AR20+'2011 полн'!AS20+'2011 полн'!AX20</f>
        <v>4536.415</v>
      </c>
      <c r="L40" s="20">
        <f>'2011 полн'!AU20+'2011 полн'!AV20+'2011 полн'!AW20</f>
        <v>0</v>
      </c>
      <c r="M40" s="20">
        <f>'2011 полн'!AY20</f>
        <v>0</v>
      </c>
      <c r="N40" s="21">
        <f>'2011 полн'!BE20</f>
        <v>5107.57</v>
      </c>
      <c r="O40" s="52">
        <f>'2011 полн'!BF20</f>
        <v>2289.8354</v>
      </c>
      <c r="P40" s="52">
        <f>'2011 полн'!BG20</f>
        <v>-2326.0099999999993</v>
      </c>
    </row>
    <row r="41" spans="1:16" ht="13.5" thickBot="1">
      <c r="A41" s="13" t="s">
        <v>43</v>
      </c>
      <c r="B41" s="213">
        <f>'2011 полн'!B21</f>
        <v>656.5</v>
      </c>
      <c r="C41" s="48">
        <f>'2011 полн'!C21</f>
        <v>9223.825</v>
      </c>
      <c r="D41" s="49">
        <f>0</f>
        <v>0</v>
      </c>
      <c r="E41" s="19">
        <f>'2011 полн'!U21</f>
        <v>6568.619999999999</v>
      </c>
      <c r="F41" s="19">
        <f>'2011 полн'!V21</f>
        <v>0</v>
      </c>
      <c r="G41" s="51">
        <f>'2011 полн'!AF21</f>
        <v>8213.79</v>
      </c>
      <c r="H41" s="51">
        <f>'2011 полн'!AG21</f>
        <v>8713.315400000001</v>
      </c>
      <c r="I41" s="51">
        <f>'2011 полн'!AK21</f>
        <v>439.855</v>
      </c>
      <c r="J41" s="51">
        <f>'2011 полн'!AL21</f>
        <v>131.3</v>
      </c>
      <c r="K41" s="19">
        <f>'2011 полн'!AM21+'2011 полн'!AN21+'2011 полн'!AO21+'2011 полн'!AP21+'2011 полн'!AQ21+'2011 полн'!AR21+'2011 полн'!AS21+'2011 полн'!AX21</f>
        <v>5874.415</v>
      </c>
      <c r="L41" s="20">
        <f>'2011 полн'!AU21+'2011 полн'!AV21+'2011 полн'!AW21</f>
        <v>682</v>
      </c>
      <c r="M41" s="20">
        <f>'2011 полн'!AY21</f>
        <v>0</v>
      </c>
      <c r="N41" s="21">
        <f>'2011 полн'!BE21</f>
        <v>7127.57</v>
      </c>
      <c r="O41" s="52">
        <f>'2011 полн'!BF21</f>
        <v>1585.7454000000016</v>
      </c>
      <c r="P41" s="52">
        <f>'2011 полн'!BG21</f>
        <v>1645.170000000002</v>
      </c>
    </row>
    <row r="42" spans="1:18" s="28" customFormat="1" ht="13.5" thickBot="1">
      <c r="A42" s="55" t="s">
        <v>5</v>
      </c>
      <c r="B42" s="56"/>
      <c r="C42" s="61">
        <f aca="true" t="shared" si="2" ref="C42:O42">SUM(C30:C41)</f>
        <v>82788.60048</v>
      </c>
      <c r="D42" s="61">
        <f t="shared" si="2"/>
        <v>0</v>
      </c>
      <c r="E42" s="61">
        <f t="shared" si="2"/>
        <v>80925.26</v>
      </c>
      <c r="F42" s="61">
        <f t="shared" si="2"/>
        <v>0</v>
      </c>
      <c r="G42" s="61">
        <f t="shared" si="2"/>
        <v>54719.59</v>
      </c>
      <c r="H42" s="61">
        <f t="shared" si="2"/>
        <v>60525.29320000001</v>
      </c>
      <c r="I42" s="61">
        <f t="shared" si="2"/>
        <v>5232.431999999999</v>
      </c>
      <c r="J42" s="61">
        <f t="shared" si="2"/>
        <v>1561.9199999999998</v>
      </c>
      <c r="K42" s="61">
        <f t="shared" si="2"/>
        <v>50867.401</v>
      </c>
      <c r="L42" s="61">
        <f t="shared" si="2"/>
        <v>8276</v>
      </c>
      <c r="M42" s="61">
        <f t="shared" si="2"/>
        <v>0</v>
      </c>
      <c r="N42" s="61">
        <f t="shared" si="2"/>
        <v>65937.753</v>
      </c>
      <c r="O42" s="61">
        <f t="shared" si="2"/>
        <v>-5412.459799999999</v>
      </c>
      <c r="P42" s="61">
        <f>SUM(P30:P41)</f>
        <v>-26205.67</v>
      </c>
      <c r="Q42" s="63"/>
      <c r="R42" s="63"/>
    </row>
    <row r="43" spans="1:18" ht="13.5" thickBot="1">
      <c r="A43" s="331" t="s">
        <v>68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70"/>
      <c r="Q43" s="1"/>
      <c r="R43" s="1"/>
    </row>
    <row r="44" spans="1:18" s="28" customFormat="1" ht="13.5" thickBot="1">
      <c r="A44" s="71" t="s">
        <v>54</v>
      </c>
      <c r="B44" s="72"/>
      <c r="C44" s="73">
        <f aca="true" t="shared" si="3" ref="C44:P44">C42+C28</f>
        <v>234930.85548</v>
      </c>
      <c r="D44" s="73">
        <f t="shared" si="3"/>
        <v>33452.50207555001</v>
      </c>
      <c r="E44" s="73">
        <f t="shared" si="3"/>
        <v>189567.46999999997</v>
      </c>
      <c r="F44" s="73">
        <f t="shared" si="3"/>
        <v>3042.4800000000005</v>
      </c>
      <c r="G44" s="73">
        <f t="shared" si="3"/>
        <v>111863.1</v>
      </c>
      <c r="H44" s="73">
        <f t="shared" si="3"/>
        <v>154163.78527555004</v>
      </c>
      <c r="I44" s="73">
        <f t="shared" si="3"/>
        <v>15628.091999999999</v>
      </c>
      <c r="J44" s="73">
        <f t="shared" si="3"/>
        <v>5045.060668</v>
      </c>
      <c r="K44" s="73">
        <f t="shared" si="3"/>
        <v>129223.553517787</v>
      </c>
      <c r="L44" s="73">
        <f t="shared" si="3"/>
        <v>48851.916800000006</v>
      </c>
      <c r="M44" s="73">
        <f t="shared" si="3"/>
        <v>0</v>
      </c>
      <c r="N44" s="73">
        <f t="shared" si="3"/>
        <v>198748.62098578698</v>
      </c>
      <c r="O44" s="73">
        <f t="shared" si="3"/>
        <v>-44584.83571023699</v>
      </c>
      <c r="P44" s="73">
        <f t="shared" si="3"/>
        <v>-77704.37</v>
      </c>
      <c r="Q44" s="77"/>
      <c r="R44" s="63"/>
    </row>
    <row r="46" spans="1:18" ht="12.75">
      <c r="A46" s="28" t="s">
        <v>85</v>
      </c>
      <c r="D46" s="177" t="s">
        <v>122</v>
      </c>
      <c r="Q46" s="1"/>
      <c r="R46" s="1"/>
    </row>
    <row r="47" spans="1:18" ht="12.75">
      <c r="A47" s="32" t="s">
        <v>69</v>
      </c>
      <c r="B47" s="32" t="s">
        <v>70</v>
      </c>
      <c r="C47" s="430" t="s">
        <v>71</v>
      </c>
      <c r="D47" s="431"/>
      <c r="Q47" s="1"/>
      <c r="R47" s="1"/>
    </row>
    <row r="48" spans="1:18" ht="12.75">
      <c r="A48" s="214">
        <v>34140.54</v>
      </c>
      <c r="B48" s="215">
        <v>0</v>
      </c>
      <c r="C48" s="191">
        <f>A48-B48</f>
        <v>34140.54</v>
      </c>
      <c r="D48" s="218"/>
      <c r="Q48" s="1"/>
      <c r="R48" s="1"/>
    </row>
    <row r="49" spans="1:18" ht="12.75">
      <c r="A49" s="78"/>
      <c r="Q49" s="1"/>
      <c r="R49" s="1"/>
    </row>
    <row r="50" spans="1:18" ht="12.75">
      <c r="A50" s="2" t="s">
        <v>72</v>
      </c>
      <c r="G50" s="2" t="s">
        <v>73</v>
      </c>
      <c r="Q50" s="1"/>
      <c r="R50" s="1"/>
    </row>
    <row r="51" ht="12.75">
      <c r="A51" s="2" t="s">
        <v>74</v>
      </c>
    </row>
  </sheetData>
  <sheetProtection/>
  <mergeCells count="25">
    <mergeCell ref="A27:O27"/>
    <mergeCell ref="A43:O43"/>
    <mergeCell ref="G8:H9"/>
    <mergeCell ref="I8:N9"/>
    <mergeCell ref="O8:O11"/>
    <mergeCell ref="C8:C11"/>
    <mergeCell ref="D8:D11"/>
    <mergeCell ref="E8:F9"/>
    <mergeCell ref="E10:F10"/>
    <mergeCell ref="A8:A11"/>
    <mergeCell ref="B8:B11"/>
    <mergeCell ref="P8:P11"/>
    <mergeCell ref="H10:H11"/>
    <mergeCell ref="I10:I11"/>
    <mergeCell ref="J10:J11"/>
    <mergeCell ref="K10:K11"/>
    <mergeCell ref="L10:L11"/>
    <mergeCell ref="M10:M11"/>
    <mergeCell ref="N10:N11"/>
    <mergeCell ref="B1:H1"/>
    <mergeCell ref="B2:H2"/>
    <mergeCell ref="A5:O5"/>
    <mergeCell ref="A6:G6"/>
    <mergeCell ref="A7:D7"/>
    <mergeCell ref="E7:F7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2010-07-30T09:55:49Z</cp:lastPrinted>
  <dcterms:created xsi:type="dcterms:W3CDTF">2010-04-03T04:08:20Z</dcterms:created>
  <dcterms:modified xsi:type="dcterms:W3CDTF">2012-03-23T04:47:43Z</dcterms:modified>
  <cp:category/>
  <cp:version/>
  <cp:contentType/>
  <cp:contentStatus/>
</cp:coreProperties>
</file>