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<sst xmlns="http://schemas.openxmlformats.org/spreadsheetml/2006/main" count="305" uniqueCount="128">
  <si>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</si>
  <si>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</si>
  <si>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</si>
  <si>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</si>
  <si>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</si>
  <si>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</si>
  <si>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</si>
  <si>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</si>
  <si>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</si>
  <si>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</si>
  <si>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</si>
  <si>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</si>
  <si>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</si>
  <si>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</si>
  <si>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</si>
  <si>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</si>
  <si>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</si>
  <si>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</si>
  <si>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</si>
  <si>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</si>
  <si>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</si>
  <si>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</si>
  <si>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</si>
  <si>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</si>
  <si>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</si>
  <si>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</si>
  <si>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</si>
  <si>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</si>
  <si>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</si>
  <si>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</si>
  <si>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</si>
  <si>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</si>
  <si>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</si>
  <si>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</si>
  <si>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</si>
  <si>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</si>
  <si>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</si>
  <si>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</si>
  <si>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</si>
  <si>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</si>
  <si>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</si>
  <si>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</si>
  <si>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</si>
  <si>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</si>
  <si>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</si>
  <si>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</si>
  <si>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</si>
  <si>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</si>
  <si>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</si>
  <si>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</si>
  <si>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</si>
  <si>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</si>
  <si>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</si>
  <si>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</si>
  <si>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</si>
  <si>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</si>
  <si>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</si>
  <si>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</si>
  <si>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</si>
  <si>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</si>
  <si>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</si>
  <si>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</si>
  <si>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</si>
  <si>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</si>
  <si>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</si>
  <si>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</si>
  <si>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</si>
  <si>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</si>
  <si>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</si>
  <si>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</si>
  <si>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</si>
  <si>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</si>
  <si>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</si>
  <si>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</si>
  <si>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</si>
  <si>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</si>
  <si>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</si>
  <si>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</si>
  <si>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</si>
  <si>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</si>
  <si>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</si>
  <si>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</si>
  <si>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</si>
  <si>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</si>
  <si>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</si>
  <si>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 xml:space="preserve">Долг(-)/ переплата(+)  жителей </t>
  </si>
  <si>
    <t>Выписка по лицевому счету по адресу г. Таштагол, ул. Карла Маркса, д. 6</t>
  </si>
  <si>
    <t>Лицевой счет по адресу г. Таштагол, ул. Карла Маркса, д.6</t>
  </si>
  <si>
    <t>Социальный найм</t>
  </si>
  <si>
    <t>Исп. Ю.С. Дмитриева</t>
  </si>
  <si>
    <t>2010 год</t>
  </si>
  <si>
    <t>на начало отчетного периода</t>
  </si>
  <si>
    <t>на конец отчетного периода</t>
  </si>
  <si>
    <t>ВСЕГО:</t>
  </si>
  <si>
    <t>на 01.01.2011г.</t>
  </si>
  <si>
    <t>*по состоянию на 01.01.2011 г.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</si>
  <si>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</si>
  <si>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</si>
  <si>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</si>
  <si>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</si>
  <si>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</si>
  <si>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</si>
  <si>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</si>
  <si>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</si>
  <si>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</si>
  <si>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</si>
  <si>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</si>
  <si>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</si>
  <si>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</si>
  <si>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</si>
  <si>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</si>
  <si>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</si>
  <si>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</si>
  <si>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</si>
  <si>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</si>
  <si>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</si>
  <si>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</si>
  <si>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</si>
  <si>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</si>
  <si>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</si>
  <si>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Тариф по содержанию и тек.ремонту 100 % (7,09руб.*площадь)</t>
  </si>
  <si>
    <t>Собрано квартплаты от населения</t>
  </si>
  <si>
    <t>Услуга начисления</t>
  </si>
  <si>
    <t>Собрано по содержанию и тек.рем.</t>
  </si>
  <si>
    <t>*по состоянию на 01.01.2012 г.</t>
  </si>
  <si>
    <t>Исп. В.В. Колмогорова</t>
  </si>
  <si>
    <t>ВСЕГО</t>
  </si>
  <si>
    <t>Выписка по лицевому счету по адресу г. Таштагол ул. К. Маркса, д.6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</si>
</sst>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wrapText="1"/>
    </xf>
    <xf numFmtId="4" fontId="1" fillId="33" borderId="14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1" fillId="0" borderId="16" xfId="0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0" fontId="1" fillId="0" borderId="33" xfId="0" applyFont="1" applyFill="1" applyBorder="1" applyAlignment="1">
      <alignment horizontal="center" textRotation="90"/>
    </xf>
    <xf numFmtId="4" fontId="0" fillId="0" borderId="34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2" fillId="0" borderId="35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4" fontId="2" fillId="34" borderId="11" xfId="34" applyNumberFormat="1" applyFont="1" applyFill="1" applyBorder="1" applyAlignment="1">
      <alignment horizontal="right" vertical="center" wrapText="1"/>
      <protection/>
    </xf>
    <xf numFmtId="4" fontId="7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/>
    </xf>
    <xf numFmtId="2" fontId="1" fillId="33" borderId="38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4" fontId="2" fillId="0" borderId="41" xfId="34" applyNumberFormat="1" applyFont="1" applyFill="1" applyBorder="1" applyAlignment="1">
      <alignment horizontal="right" vertical="center" wrapText="1"/>
      <protection/>
    </xf>
    <xf numFmtId="4" fontId="2" fillId="34" borderId="39" xfId="34" applyNumberFormat="1" applyFont="1" applyFill="1" applyBorder="1" applyAlignment="1">
      <alignment horizontal="right" vertical="center" wrapText="1"/>
      <protection/>
    </xf>
    <xf numFmtId="4" fontId="0" fillId="0" borderId="42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7" fillId="0" borderId="39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4" fontId="2" fillId="34" borderId="14" xfId="34" applyNumberFormat="1" applyFont="1" applyFill="1" applyBorder="1" applyAlignment="1">
      <alignment horizontal="right" vertical="center" wrapText="1"/>
      <protection/>
    </xf>
    <xf numFmtId="0" fontId="0" fillId="0" borderId="39" xfId="0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 horizontal="right" vertical="center" wrapText="1"/>
    </xf>
    <xf numFmtId="4" fontId="1" fillId="35" borderId="14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textRotation="90" wrapText="1"/>
    </xf>
    <xf numFmtId="4" fontId="2" fillId="0" borderId="23" xfId="34" applyNumberFormat="1" applyFont="1" applyFill="1" applyBorder="1" applyAlignment="1">
      <alignment horizontal="right" vertical="center" wrapText="1"/>
      <protection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0" fontId="0" fillId="0" borderId="29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35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36" borderId="35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34" borderId="29" xfId="0" applyNumberFormat="1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4" fontId="0" fillId="37" borderId="29" xfId="0" applyNumberFormat="1" applyFont="1" applyFill="1" applyBorder="1" applyAlignment="1">
      <alignment horizontal="right"/>
    </xf>
    <xf numFmtId="4" fontId="0" fillId="37" borderId="14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4" fontId="0" fillId="35" borderId="14" xfId="0" applyNumberFormat="1" applyFont="1" applyFill="1" applyBorder="1" applyAlignment="1">
      <alignment horizontal="right"/>
    </xf>
    <xf numFmtId="4" fontId="0" fillId="38" borderId="14" xfId="0" applyNumberFormat="1" applyFont="1" applyFill="1" applyBorder="1" applyAlignment="1">
      <alignment horizontal="right"/>
    </xf>
    <xf numFmtId="2" fontId="0" fillId="0" borderId="39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" fontId="0" fillId="36" borderId="43" xfId="0" applyNumberFormat="1" applyFont="1" applyFill="1" applyBorder="1" applyAlignment="1">
      <alignment horizontal="right"/>
    </xf>
    <xf numFmtId="4" fontId="0" fillId="34" borderId="42" xfId="0" applyNumberFormat="1" applyFont="1" applyFill="1" applyBorder="1" applyAlignment="1">
      <alignment horizontal="right"/>
    </xf>
    <xf numFmtId="4" fontId="0" fillId="34" borderId="39" xfId="0" applyNumberFormat="1" applyFont="1" applyFill="1" applyBorder="1" applyAlignment="1">
      <alignment horizontal="right"/>
    </xf>
    <xf numFmtId="4" fontId="0" fillId="35" borderId="39" xfId="0" applyNumberFormat="1" applyFont="1" applyFill="1" applyBorder="1" applyAlignment="1">
      <alignment horizontal="right"/>
    </xf>
    <xf numFmtId="4" fontId="0" fillId="33" borderId="39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>
      <alignment horizontal="right"/>
    </xf>
    <xf numFmtId="165" fontId="0" fillId="0" borderId="39" xfId="0" applyNumberFormat="1" applyFont="1" applyFill="1" applyBorder="1" applyAlignment="1">
      <alignment horizontal="right"/>
    </xf>
    <xf numFmtId="4" fontId="0" fillId="38" borderId="39" xfId="0" applyNumberFormat="1" applyFont="1" applyFill="1" applyBorder="1" applyAlignment="1">
      <alignment horizontal="right"/>
    </xf>
    <xf numFmtId="4" fontId="0" fillId="37" borderId="42" xfId="0" applyNumberFormat="1" applyFont="1" applyFill="1" applyBorder="1" applyAlignment="1">
      <alignment horizontal="right"/>
    </xf>
    <xf numFmtId="4" fontId="0" fillId="38" borderId="29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37" borderId="3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39" borderId="1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36" borderId="12" xfId="0" applyNumberFormat="1" applyFont="1" applyFill="1" applyBorder="1" applyAlignment="1">
      <alignment horizontal="right"/>
    </xf>
    <xf numFmtId="4" fontId="0" fillId="34" borderId="34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0" fillId="37" borderId="3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38" borderId="12" xfId="0" applyNumberFormat="1" applyFont="1" applyFill="1" applyBorder="1" applyAlignment="1">
      <alignment horizontal="right"/>
    </xf>
    <xf numFmtId="4" fontId="10" fillId="33" borderId="14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horizontal="right" wrapText="1"/>
    </xf>
    <xf numFmtId="4" fontId="0" fillId="35" borderId="14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4" fontId="0" fillId="35" borderId="39" xfId="0" applyNumberFormat="1" applyFont="1" applyFill="1" applyBorder="1" applyAlignment="1">
      <alignment horizontal="right"/>
    </xf>
    <xf numFmtId="4" fontId="0" fillId="33" borderId="39" xfId="0" applyNumberFormat="1" applyFont="1" applyFill="1" applyBorder="1" applyAlignment="1">
      <alignment horizontal="right"/>
    </xf>
    <xf numFmtId="4" fontId="10" fillId="33" borderId="39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right"/>
    </xf>
    <xf numFmtId="4" fontId="0" fillId="37" borderId="4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wrapText="1"/>
    </xf>
    <xf numFmtId="4" fontId="10" fillId="33" borderId="11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0" fillId="36" borderId="29" xfId="0" applyNumberFormat="1" applyFont="1" applyFill="1" applyBorder="1" applyAlignment="1">
      <alignment horizontal="right"/>
    </xf>
    <xf numFmtId="0" fontId="0" fillId="0" borderId="49" xfId="0" applyFont="1" applyFill="1" applyBorder="1" applyAlignment="1">
      <alignment/>
    </xf>
    <xf numFmtId="4" fontId="0" fillId="0" borderId="50" xfId="0" applyNumberFormat="1" applyFont="1" applyFill="1" applyBorder="1" applyAlignment="1">
      <alignment wrapText="1"/>
    </xf>
    <xf numFmtId="4" fontId="0" fillId="0" borderId="35" xfId="0" applyNumberFormat="1" applyFont="1" applyFill="1" applyBorder="1" applyAlignment="1">
      <alignment horizontal="center" wrapText="1"/>
    </xf>
    <xf numFmtId="4" fontId="2" fillId="0" borderId="22" xfId="34" applyNumberFormat="1" applyFont="1" applyFill="1" applyBorder="1" applyAlignment="1">
      <alignment horizontal="center" vertical="center" wrapText="1"/>
      <protection/>
    </xf>
    <xf numFmtId="4" fontId="2" fillId="34" borderId="14" xfId="34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36" borderId="35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5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38" borderId="29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14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33" borderId="5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 wrapText="1"/>
    </xf>
    <xf numFmtId="4" fontId="1" fillId="0" borderId="38" xfId="0" applyNumberFormat="1" applyFont="1" applyFill="1" applyBorder="1" applyAlignment="1">
      <alignment horizontal="right" wrapText="1"/>
    </xf>
    <xf numFmtId="4" fontId="1" fillId="0" borderId="52" xfId="0" applyNumberFormat="1" applyFont="1" applyFill="1" applyBorder="1" applyAlignment="1">
      <alignment horizontal="right" wrapText="1"/>
    </xf>
    <xf numFmtId="4" fontId="1" fillId="0" borderId="48" xfId="0" applyNumberFormat="1" applyFont="1" applyFill="1" applyBorder="1" applyAlignment="1">
      <alignment horizontal="right" wrapText="1"/>
    </xf>
    <xf numFmtId="4" fontId="1" fillId="0" borderId="37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4" fontId="0" fillId="0" borderId="53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" fontId="0" fillId="0" borderId="14" xfId="0" applyNumberForma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35" borderId="55" xfId="0" applyNumberFormat="1" applyFont="1" applyFill="1" applyBorder="1" applyAlignment="1">
      <alignment horizontal="center" vertical="center" wrapText="1"/>
    </xf>
    <xf numFmtId="2" fontId="1" fillId="35" borderId="36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textRotation="90"/>
    </xf>
    <xf numFmtId="0" fontId="1" fillId="0" borderId="37" xfId="0" applyFont="1" applyFill="1" applyBorder="1" applyAlignment="1">
      <alignment horizontal="center" textRotation="90"/>
    </xf>
    <xf numFmtId="0" fontId="1" fillId="0" borderId="55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textRotation="90"/>
    </xf>
    <xf numFmtId="0" fontId="1" fillId="36" borderId="38" xfId="0" applyFont="1" applyFill="1" applyBorder="1" applyAlignment="1">
      <alignment horizontal="center" textRotation="90"/>
    </xf>
    <xf numFmtId="0" fontId="1" fillId="37" borderId="55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2" fontId="1" fillId="38" borderId="55" xfId="0" applyNumberFormat="1" applyFont="1" applyFill="1" applyBorder="1" applyAlignment="1">
      <alignment horizontal="center" vertical="center" wrapText="1"/>
    </xf>
    <xf numFmtId="2" fontId="1" fillId="38" borderId="38" xfId="0" applyNumberFormat="1" applyFont="1" applyFill="1" applyBorder="1" applyAlignment="1">
      <alignment horizontal="center" vertical="center" wrapText="1"/>
    </xf>
    <xf numFmtId="2" fontId="1" fillId="38" borderId="36" xfId="0" applyNumberFormat="1" applyFont="1" applyFill="1" applyBorder="1" applyAlignment="1">
      <alignment horizontal="center" vertical="center" wrapText="1"/>
    </xf>
    <xf numFmtId="2" fontId="8" fillId="34" borderId="55" xfId="0" applyNumberFormat="1" applyFont="1" applyFill="1" applyBorder="1" applyAlignment="1">
      <alignment horizontal="center" vertical="center" wrapText="1"/>
    </xf>
    <xf numFmtId="2" fontId="8" fillId="34" borderId="38" xfId="0" applyNumberFormat="1" applyFont="1" applyFill="1" applyBorder="1" applyAlignment="1">
      <alignment horizontal="center" vertical="center" wrapText="1"/>
    </xf>
    <xf numFmtId="2" fontId="8" fillId="34" borderId="36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34" borderId="55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59" xfId="0" applyFont="1" applyBorder="1" applyAlignment="1">
      <alignment/>
    </xf>
    <xf numFmtId="0" fontId="1" fillId="0" borderId="5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9" fillId="0" borderId="55" xfId="0" applyNumberFormat="1" applyFont="1" applyFill="1" applyBorder="1" applyAlignment="1">
      <alignment horizontal="center" vertical="center" wrapText="1"/>
    </xf>
    <xf numFmtId="2" fontId="9" fillId="0" borderId="36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35" borderId="51" xfId="0" applyNumberFormat="1" applyFont="1" applyFill="1" applyBorder="1" applyAlignment="1">
      <alignment horizontal="center" vertical="center" wrapText="1"/>
    </xf>
    <xf numFmtId="2" fontId="1" fillId="35" borderId="63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0" fontId="1" fillId="0" borderId="6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textRotation="90" wrapText="1"/>
    </xf>
    <xf numFmtId="2" fontId="1" fillId="0" borderId="68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textRotation="90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71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72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2" fontId="8" fillId="0" borderId="55" xfId="0" applyNumberFormat="1" applyFont="1" applyFill="1" applyBorder="1" applyAlignment="1">
      <alignment horizontal="center" vertical="center" wrapText="1"/>
    </xf>
    <xf numFmtId="0" fontId="1" fillId="37" borderId="60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" fillId="0" borderId="59" xfId="0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2" fontId="1" fillId="0" borderId="75" xfId="0" applyNumberFormat="1" applyFont="1" applyBorder="1" applyAlignment="1">
      <alignment horizontal="center" vertical="center" wrapText="1"/>
    </xf>
    <xf numFmtId="2" fontId="1" fillId="0" borderId="76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55" xfId="0" applyNumberFormat="1" applyFont="1" applyFill="1" applyBorder="1" applyAlignment="1">
      <alignment horizontal="center" vertical="center" wrapText="1"/>
    </xf>
    <xf numFmtId="2" fontId="1" fillId="33" borderId="55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36" borderId="36" xfId="0" applyFont="1" applyFill="1" applyBorder="1" applyAlignment="1">
      <alignment horizontal="center" textRotation="90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77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37" borderId="62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right"/>
    </xf>
    <xf numFmtId="4" fontId="1" fillId="0" borderId="51" xfId="0" applyNumberFormat="1" applyFont="1" applyFill="1" applyBorder="1" applyAlignment="1">
      <alignment horizontal="right"/>
    </xf>
    <xf numFmtId="4" fontId="1" fillId="0" borderId="50" xfId="0" applyNumberFormat="1" applyFont="1" applyFill="1" applyBorder="1" applyAlignment="1">
      <alignment horizontal="right"/>
    </xf>
    <xf numFmtId="4" fontId="1" fillId="0" borderId="52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78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6" borderId="1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2" fillId="34" borderId="29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35" borderId="14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38" borderId="2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36" borderId="35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35" borderId="22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 horizontal="center"/>
    </xf>
    <xf numFmtId="4" fontId="0" fillId="0" borderId="69" xfId="0" applyNumberFormat="1" applyFont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 wrapText="1"/>
    </xf>
    <xf numFmtId="4" fontId="0" fillId="0" borderId="29" xfId="0" applyNumberFormat="1" applyFont="1" applyBorder="1" applyAlignment="1">
      <alignment horizontal="center"/>
    </xf>
    <xf numFmtId="4" fontId="0" fillId="36" borderId="23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0" fontId="0" fillId="38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36" borderId="23" xfId="0" applyFont="1" applyFill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" fontId="0" fillId="0" borderId="11" xfId="0" applyNumberFormat="1" applyFont="1" applyBorder="1" applyAlignment="1">
      <alignment horizontal="center"/>
    </xf>
    <xf numFmtId="0" fontId="28" fillId="0" borderId="14" xfId="0" applyFont="1" applyBorder="1" applyAlignment="1">
      <alignment wrapText="1"/>
    </xf>
    <xf numFmtId="0" fontId="28" fillId="0" borderId="29" xfId="0" applyFont="1" applyBorder="1" applyAlignment="1">
      <alignment wrapText="1"/>
    </xf>
    <xf numFmtId="0" fontId="2" fillId="0" borderId="70" xfId="0" applyFont="1" applyBorder="1" applyAlignment="1">
      <alignment wrapText="1"/>
    </xf>
    <xf numFmtId="0" fontId="2" fillId="36" borderId="23" xfId="0" applyFont="1" applyFill="1" applyBorder="1" applyAlignment="1">
      <alignment/>
    </xf>
    <xf numFmtId="0" fontId="28" fillId="0" borderId="22" xfId="0" applyFont="1" applyBorder="1" applyAlignment="1">
      <alignment wrapText="1"/>
    </xf>
    <xf numFmtId="2" fontId="10" fillId="34" borderId="11" xfId="0" applyNumberFormat="1" applyFont="1" applyFill="1" applyBorder="1" applyAlignment="1">
      <alignment horizontal="center"/>
    </xf>
    <xf numFmtId="43" fontId="0" fillId="38" borderId="14" xfId="0" applyNumberFormat="1" applyFont="1" applyFill="1" applyBorder="1" applyAlignment="1">
      <alignment/>
    </xf>
    <xf numFmtId="0" fontId="2" fillId="0" borderId="69" xfId="0" applyFont="1" applyBorder="1" applyAlignment="1">
      <alignment wrapText="1"/>
    </xf>
    <xf numFmtId="0" fontId="2" fillId="36" borderId="35" xfId="0" applyFont="1" applyFill="1" applyBorder="1" applyAlignment="1">
      <alignment/>
    </xf>
    <xf numFmtId="0" fontId="28" fillId="0" borderId="13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4" fontId="0" fillId="34" borderId="31" xfId="0" applyNumberFormat="1" applyFill="1" applyBorder="1" applyAlignment="1">
      <alignment horizontal="right" wrapText="1"/>
    </xf>
    <xf numFmtId="0" fontId="2" fillId="0" borderId="3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6" borderId="35" xfId="0" applyFont="1" applyFill="1" applyBorder="1" applyAlignment="1">
      <alignment wrapText="1"/>
    </xf>
    <xf numFmtId="4" fontId="0" fillId="0" borderId="52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2" fillId="0" borderId="35" xfId="0" applyNumberFormat="1" applyFont="1" applyBorder="1" applyAlignment="1">
      <alignment wrapText="1"/>
    </xf>
    <xf numFmtId="0" fontId="1" fillId="0" borderId="45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63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" fontId="1" fillId="0" borderId="63" xfId="0" applyNumberFormat="1" applyFont="1" applyFill="1" applyBorder="1" applyAlignment="1">
      <alignment/>
    </xf>
    <xf numFmtId="4" fontId="1" fillId="0" borderId="77" xfId="0" applyNumberFormat="1" applyFont="1" applyFill="1" applyBorder="1" applyAlignment="1">
      <alignment/>
    </xf>
    <xf numFmtId="4" fontId="1" fillId="0" borderId="79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4" fontId="1" fillId="0" borderId="74" xfId="0" applyNumberFormat="1" applyFont="1" applyFill="1" applyBorder="1" applyAlignment="1">
      <alignment horizontal="center" vertical="center" textRotation="90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0" fontId="1" fillId="0" borderId="76" xfId="0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13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24" xfId="0" applyNumberFormat="1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center" textRotation="90" wrapText="1"/>
    </xf>
    <xf numFmtId="0" fontId="1" fillId="0" borderId="68" xfId="0" applyFont="1" applyFill="1" applyBorder="1" applyAlignment="1">
      <alignment horizontal="center" textRotation="90"/>
    </xf>
    <xf numFmtId="2" fontId="1" fillId="0" borderId="24" xfId="0" applyNumberFormat="1" applyFont="1" applyFill="1" applyBorder="1" applyAlignment="1">
      <alignment horizontal="center" vertical="center" textRotation="90" wrapText="1"/>
    </xf>
    <xf numFmtId="4" fontId="2" fillId="0" borderId="34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/>
    </xf>
    <xf numFmtId="2" fontId="0" fillId="0" borderId="35" xfId="0" applyNumberFormat="1" applyBorder="1" applyAlignment="1">
      <alignment horizontal="center"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2" fillId="0" borderId="13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4" fontId="2" fillId="0" borderId="33" xfId="34" applyNumberFormat="1" applyFont="1" applyFill="1" applyBorder="1" applyAlignment="1">
      <alignment horizontal="right" vertical="center" wrapText="1"/>
      <protection/>
    </xf>
    <xf numFmtId="4" fontId="0" fillId="0" borderId="53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 wrapText="1"/>
    </xf>
    <xf numFmtId="4" fontId="1" fillId="0" borderId="8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34" xfId="0" applyNumberFormat="1" applyBorder="1" applyAlignment="1">
      <alignment horizontal="center"/>
    </xf>
    <xf numFmtId="4" fontId="0" fillId="0" borderId="38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2" fontId="29" fillId="0" borderId="78" xfId="34" applyNumberFormat="1" applyFont="1" applyFill="1" applyBorder="1" applyAlignment="1">
      <alignment horizontal="center" vertical="center" wrapText="1"/>
      <protection/>
    </xf>
    <xf numFmtId="2" fontId="0" fillId="0" borderId="2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81" xfId="0" applyNumberFormat="1" applyFont="1" applyFill="1" applyBorder="1" applyAlignment="1">
      <alignment horizontal="center"/>
    </xf>
    <xf numFmtId="4" fontId="0" fillId="38" borderId="14" xfId="0" applyNumberFormat="1" applyFont="1" applyFill="1" applyBorder="1" applyAlignment="1">
      <alignment/>
    </xf>
    <xf numFmtId="4" fontId="2" fillId="34" borderId="3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41;&#1077;&#1083;&#1080;&#1085;&#1089;&#1082;&#1086;&#1075;&#1086;,%203&#1072;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7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AA46">
            <v>0</v>
          </cell>
          <cell r="AD46">
            <v>0</v>
          </cell>
          <cell r="AE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16">
          <cell r="BA16">
            <v>-1111.19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9"/>
  <sheetViews>
    <sheetView zoomScalePageLayoutView="0" workbookViewId="0" topLeftCell="A4">
      <pane xSplit="2" ySplit="4" topLeftCell="AQ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A8" sqref="A8:IV38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9.375" style="2" customWidth="1"/>
    <col min="49" max="49" width="8.00390625" style="2" customWidth="1"/>
    <col min="50" max="50" width="9.75390625" style="2" customWidth="1"/>
    <col min="51" max="53" width="9.125" style="2" customWidth="1"/>
    <col min="54" max="54" width="10.25390625" style="2" customWidth="1"/>
    <col min="55" max="55" width="9.125" style="2" customWidth="1"/>
    <col min="56" max="56" width="10.25390625" style="2" customWidth="1"/>
    <col min="57" max="57" width="10.00390625" style="2" customWidth="1"/>
    <col min="58" max="58" width="10.25390625" style="2" customWidth="1"/>
    <col min="59" max="16384" width="9.125" style="2" customWidth="1"/>
  </cols>
  <sheetData>
    <row r="1" spans="1:18" ht="12.75">
      <c r="A1" s="266" t="s">
        <v>87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67" t="s">
        <v>72</v>
      </c>
      <c r="B3" s="269" t="s">
        <v>0</v>
      </c>
      <c r="C3" s="271" t="s">
        <v>1</v>
      </c>
      <c r="D3" s="273" t="s">
        <v>2</v>
      </c>
      <c r="E3" s="267" t="s">
        <v>11</v>
      </c>
      <c r="F3" s="278"/>
      <c r="G3" s="267" t="s">
        <v>12</v>
      </c>
      <c r="H3" s="281"/>
      <c r="I3" s="267" t="s">
        <v>13</v>
      </c>
      <c r="J3" s="281"/>
      <c r="K3" s="267" t="s">
        <v>14</v>
      </c>
      <c r="L3" s="281"/>
      <c r="M3" s="275" t="s">
        <v>15</v>
      </c>
      <c r="N3" s="281"/>
      <c r="O3" s="267" t="s">
        <v>16</v>
      </c>
      <c r="P3" s="281"/>
      <c r="Q3" s="267" t="s">
        <v>17</v>
      </c>
      <c r="R3" s="281"/>
      <c r="S3" s="267" t="s">
        <v>3</v>
      </c>
      <c r="T3" s="275"/>
      <c r="U3" s="257" t="s">
        <v>4</v>
      </c>
      <c r="V3" s="258"/>
      <c r="W3" s="258"/>
      <c r="X3" s="258"/>
      <c r="Y3" s="258"/>
      <c r="Z3" s="258"/>
      <c r="AA3" s="258"/>
      <c r="AB3" s="258"/>
      <c r="AC3" s="261" t="s">
        <v>73</v>
      </c>
      <c r="AD3" s="243" t="s">
        <v>6</v>
      </c>
      <c r="AE3" s="243" t="s">
        <v>7</v>
      </c>
      <c r="AF3" s="254" t="s">
        <v>74</v>
      </c>
      <c r="AG3" s="291" t="s">
        <v>8</v>
      </c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3"/>
      <c r="BC3" s="286" t="s">
        <v>75</v>
      </c>
      <c r="BD3" s="287"/>
      <c r="BE3" s="248" t="s">
        <v>9</v>
      </c>
      <c r="BF3" s="248" t="s">
        <v>10</v>
      </c>
    </row>
    <row r="4" spans="1:58" ht="36" customHeight="1" thickBot="1">
      <c r="A4" s="268"/>
      <c r="B4" s="270"/>
      <c r="C4" s="272"/>
      <c r="D4" s="274"/>
      <c r="E4" s="279"/>
      <c r="F4" s="280"/>
      <c r="G4" s="276"/>
      <c r="H4" s="282"/>
      <c r="I4" s="276"/>
      <c r="J4" s="282"/>
      <c r="K4" s="276"/>
      <c r="L4" s="282"/>
      <c r="M4" s="283"/>
      <c r="N4" s="284"/>
      <c r="O4" s="276"/>
      <c r="P4" s="282"/>
      <c r="Q4" s="276"/>
      <c r="R4" s="282"/>
      <c r="S4" s="276"/>
      <c r="T4" s="277"/>
      <c r="U4" s="259"/>
      <c r="V4" s="260"/>
      <c r="W4" s="260"/>
      <c r="X4" s="260"/>
      <c r="Y4" s="260"/>
      <c r="Z4" s="260"/>
      <c r="AA4" s="260"/>
      <c r="AB4" s="260"/>
      <c r="AC4" s="262"/>
      <c r="AD4" s="244"/>
      <c r="AE4" s="244"/>
      <c r="AF4" s="255"/>
      <c r="AG4" s="265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5"/>
      <c r="BC4" s="251" t="s">
        <v>76</v>
      </c>
      <c r="BD4" s="285" t="s">
        <v>77</v>
      </c>
      <c r="BE4" s="249"/>
      <c r="BF4" s="249"/>
    </row>
    <row r="5" spans="1:58" ht="29.25" customHeight="1" thickBot="1">
      <c r="A5" s="268"/>
      <c r="B5" s="270"/>
      <c r="C5" s="272"/>
      <c r="D5" s="274"/>
      <c r="E5" s="235" t="s">
        <v>18</v>
      </c>
      <c r="F5" s="237" t="s">
        <v>19</v>
      </c>
      <c r="G5" s="237" t="s">
        <v>18</v>
      </c>
      <c r="H5" s="237" t="s">
        <v>19</v>
      </c>
      <c r="I5" s="237" t="s">
        <v>18</v>
      </c>
      <c r="J5" s="237" t="s">
        <v>19</v>
      </c>
      <c r="K5" s="237" t="s">
        <v>18</v>
      </c>
      <c r="L5" s="237" t="s">
        <v>19</v>
      </c>
      <c r="M5" s="237" t="s">
        <v>18</v>
      </c>
      <c r="N5" s="237" t="s">
        <v>19</v>
      </c>
      <c r="O5" s="237" t="s">
        <v>18</v>
      </c>
      <c r="P5" s="237" t="s">
        <v>19</v>
      </c>
      <c r="Q5" s="237" t="s">
        <v>18</v>
      </c>
      <c r="R5" s="237" t="s">
        <v>19</v>
      </c>
      <c r="S5" s="237" t="s">
        <v>18</v>
      </c>
      <c r="T5" s="246" t="s">
        <v>19</v>
      </c>
      <c r="U5" s="233" t="s">
        <v>20</v>
      </c>
      <c r="V5" s="233" t="s">
        <v>21</v>
      </c>
      <c r="W5" s="233" t="s">
        <v>22</v>
      </c>
      <c r="X5" s="233" t="s">
        <v>23</v>
      </c>
      <c r="Y5" s="233" t="s">
        <v>24</v>
      </c>
      <c r="Z5" s="233" t="s">
        <v>25</v>
      </c>
      <c r="AA5" s="233" t="s">
        <v>26</v>
      </c>
      <c r="AB5" s="264" t="s">
        <v>27</v>
      </c>
      <c r="AC5" s="262"/>
      <c r="AD5" s="244"/>
      <c r="AE5" s="244"/>
      <c r="AF5" s="255"/>
      <c r="AG5" s="241" t="s">
        <v>28</v>
      </c>
      <c r="AH5" s="239" t="s">
        <v>29</v>
      </c>
      <c r="AI5" s="239" t="s">
        <v>30</v>
      </c>
      <c r="AJ5" s="229" t="s">
        <v>31</v>
      </c>
      <c r="AK5" s="239" t="s">
        <v>32</v>
      </c>
      <c r="AL5" s="229" t="s">
        <v>31</v>
      </c>
      <c r="AM5" s="229" t="s">
        <v>33</v>
      </c>
      <c r="AN5" s="229" t="s">
        <v>31</v>
      </c>
      <c r="AO5" s="229" t="s">
        <v>34</v>
      </c>
      <c r="AP5" s="229" t="s">
        <v>31</v>
      </c>
      <c r="AQ5" s="296" t="s">
        <v>84</v>
      </c>
      <c r="AR5" s="231" t="s">
        <v>31</v>
      </c>
      <c r="AS5" s="227" t="s">
        <v>78</v>
      </c>
      <c r="AT5" s="227" t="s">
        <v>79</v>
      </c>
      <c r="AU5" s="83" t="s">
        <v>31</v>
      </c>
      <c r="AV5" s="286" t="s">
        <v>80</v>
      </c>
      <c r="AW5" s="288"/>
      <c r="AX5" s="287"/>
      <c r="AY5" s="289" t="s">
        <v>17</v>
      </c>
      <c r="AZ5" s="285" t="s">
        <v>36</v>
      </c>
      <c r="BA5" s="285" t="s">
        <v>31</v>
      </c>
      <c r="BB5" s="285" t="s">
        <v>37</v>
      </c>
      <c r="BC5" s="252"/>
      <c r="BD5" s="229"/>
      <c r="BE5" s="249"/>
      <c r="BF5" s="249"/>
    </row>
    <row r="6" spans="1:58" ht="54" customHeight="1" thickBot="1">
      <c r="A6" s="268"/>
      <c r="B6" s="270"/>
      <c r="C6" s="272"/>
      <c r="D6" s="274"/>
      <c r="E6" s="236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47"/>
      <c r="U6" s="234"/>
      <c r="V6" s="234"/>
      <c r="W6" s="234"/>
      <c r="X6" s="234"/>
      <c r="Y6" s="234"/>
      <c r="Z6" s="234"/>
      <c r="AA6" s="234"/>
      <c r="AB6" s="265"/>
      <c r="AC6" s="263"/>
      <c r="AD6" s="245"/>
      <c r="AE6" s="245"/>
      <c r="AF6" s="256"/>
      <c r="AG6" s="242"/>
      <c r="AH6" s="240"/>
      <c r="AI6" s="240"/>
      <c r="AJ6" s="230"/>
      <c r="AK6" s="240"/>
      <c r="AL6" s="230"/>
      <c r="AM6" s="230"/>
      <c r="AN6" s="230"/>
      <c r="AO6" s="230"/>
      <c r="AP6" s="230"/>
      <c r="AQ6" s="297"/>
      <c r="AR6" s="232"/>
      <c r="AS6" s="228"/>
      <c r="AT6" s="228"/>
      <c r="AU6" s="67"/>
      <c r="AV6" s="66" t="s">
        <v>81</v>
      </c>
      <c r="AW6" s="66" t="s">
        <v>82</v>
      </c>
      <c r="AX6" s="66" t="s">
        <v>83</v>
      </c>
      <c r="AY6" s="290"/>
      <c r="AZ6" s="230"/>
      <c r="BA6" s="230"/>
      <c r="BB6" s="230"/>
      <c r="BC6" s="253"/>
      <c r="BD6" s="230"/>
      <c r="BE6" s="250"/>
      <c r="BF6" s="250"/>
    </row>
    <row r="7" spans="1:58" ht="13.5" thickBot="1">
      <c r="A7" s="5">
        <v>1</v>
      </c>
      <c r="B7" s="6">
        <v>2</v>
      </c>
      <c r="C7" s="5">
        <v>3</v>
      </c>
      <c r="D7" s="6">
        <v>4</v>
      </c>
      <c r="E7" s="5">
        <v>5</v>
      </c>
      <c r="F7" s="6">
        <v>6</v>
      </c>
      <c r="G7" s="5">
        <v>7</v>
      </c>
      <c r="H7" s="6">
        <v>8</v>
      </c>
      <c r="I7" s="5">
        <v>9</v>
      </c>
      <c r="J7" s="6">
        <v>10</v>
      </c>
      <c r="K7" s="5">
        <v>11</v>
      </c>
      <c r="L7" s="6">
        <v>12</v>
      </c>
      <c r="M7" s="5">
        <v>13</v>
      </c>
      <c r="N7" s="6">
        <v>14</v>
      </c>
      <c r="O7" s="5">
        <v>15</v>
      </c>
      <c r="P7" s="6">
        <v>16</v>
      </c>
      <c r="Q7" s="5">
        <v>17</v>
      </c>
      <c r="R7" s="6">
        <v>18</v>
      </c>
      <c r="S7" s="5">
        <v>19</v>
      </c>
      <c r="T7" s="6">
        <v>20</v>
      </c>
      <c r="U7" s="5">
        <v>21</v>
      </c>
      <c r="V7" s="6">
        <v>22</v>
      </c>
      <c r="W7" s="5">
        <v>23</v>
      </c>
      <c r="X7" s="6">
        <v>24</v>
      </c>
      <c r="Y7" s="5">
        <v>25</v>
      </c>
      <c r="Z7" s="6">
        <v>26</v>
      </c>
      <c r="AA7" s="5">
        <v>27</v>
      </c>
      <c r="AB7" s="6">
        <v>28</v>
      </c>
      <c r="AC7" s="5">
        <v>29</v>
      </c>
      <c r="AD7" s="6">
        <v>30</v>
      </c>
      <c r="AE7" s="5">
        <v>31</v>
      </c>
      <c r="AF7" s="6">
        <v>32</v>
      </c>
      <c r="AG7" s="5">
        <v>33</v>
      </c>
      <c r="AH7" s="6">
        <v>34</v>
      </c>
      <c r="AI7" s="5">
        <v>35</v>
      </c>
      <c r="AJ7" s="6">
        <v>36</v>
      </c>
      <c r="AK7" s="5">
        <v>37</v>
      </c>
      <c r="AL7" s="6">
        <v>38</v>
      </c>
      <c r="AM7" s="5">
        <v>39</v>
      </c>
      <c r="AN7" s="6">
        <v>40</v>
      </c>
      <c r="AO7" s="5">
        <v>41</v>
      </c>
      <c r="AP7" s="6">
        <v>42</v>
      </c>
      <c r="AQ7" s="100">
        <v>43</v>
      </c>
      <c r="AR7" s="101">
        <v>44</v>
      </c>
      <c r="AS7" s="99">
        <v>45</v>
      </c>
      <c r="AT7" s="7">
        <v>46</v>
      </c>
      <c r="AU7" s="99">
        <v>47</v>
      </c>
      <c r="AV7" s="6">
        <v>48</v>
      </c>
      <c r="AW7" s="5">
        <v>49</v>
      </c>
      <c r="AX7" s="6">
        <v>50</v>
      </c>
      <c r="AY7" s="5">
        <v>51</v>
      </c>
      <c r="AZ7" s="6">
        <v>52</v>
      </c>
      <c r="BA7" s="5">
        <v>53</v>
      </c>
      <c r="BB7" s="6">
        <v>54</v>
      </c>
      <c r="BC7" s="5">
        <v>55</v>
      </c>
      <c r="BD7" s="8">
        <v>56</v>
      </c>
      <c r="BE7" s="5">
        <v>57</v>
      </c>
      <c r="BF7" s="8">
        <v>58</v>
      </c>
    </row>
    <row r="8" spans="1:58" ht="15" customHeight="1" hidden="1">
      <c r="A8" s="5" t="s">
        <v>41</v>
      </c>
      <c r="B8" s="72"/>
      <c r="C8" s="73"/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76"/>
      <c r="Q8" s="77"/>
      <c r="R8" s="77"/>
      <c r="S8" s="77"/>
      <c r="T8" s="77"/>
      <c r="U8" s="78"/>
      <c r="V8" s="78"/>
      <c r="W8" s="78"/>
      <c r="X8" s="78"/>
      <c r="Y8" s="78"/>
      <c r="Z8" s="78"/>
      <c r="AA8" s="79"/>
      <c r="AB8" s="79"/>
      <c r="AC8" s="53"/>
      <c r="AD8" s="54"/>
      <c r="AE8" s="54"/>
      <c r="AF8" s="39"/>
      <c r="AG8" s="39"/>
      <c r="AH8" s="39"/>
      <c r="AI8" s="39"/>
      <c r="AJ8" s="39"/>
      <c r="AK8" s="39"/>
      <c r="AL8" s="39"/>
      <c r="AM8" s="39"/>
      <c r="AN8" s="45"/>
      <c r="AO8" s="45"/>
      <c r="AP8" s="45"/>
      <c r="AQ8" s="96"/>
      <c r="AR8" s="97"/>
      <c r="AS8" s="52"/>
      <c r="AT8" s="52"/>
      <c r="AU8" s="80"/>
      <c r="AV8" s="39"/>
      <c r="AW8" s="39"/>
      <c r="AX8" s="40"/>
      <c r="AY8" s="1"/>
      <c r="AZ8" s="1"/>
      <c r="BA8" s="1"/>
      <c r="BB8" s="1"/>
      <c r="BC8" s="1"/>
      <c r="BD8" s="1"/>
      <c r="BE8" s="1"/>
      <c r="BF8" s="81"/>
    </row>
    <row r="9" spans="1:58" s="70" customFormat="1" ht="12.75" hidden="1">
      <c r="A9" s="71" t="s">
        <v>42</v>
      </c>
      <c r="B9" s="109">
        <v>842.5</v>
      </c>
      <c r="C9" s="63">
        <f aca="true" t="shared" si="0" ref="C9:C17">B9*8.65</f>
        <v>7287.625</v>
      </c>
      <c r="D9" s="68">
        <f>C9*0.125</f>
        <v>910.953125</v>
      </c>
      <c r="E9" s="110">
        <v>329.92</v>
      </c>
      <c r="F9" s="110">
        <v>18.13</v>
      </c>
      <c r="G9" s="110">
        <v>445.38</v>
      </c>
      <c r="H9" s="110">
        <v>24.47</v>
      </c>
      <c r="I9" s="110">
        <v>894.74</v>
      </c>
      <c r="J9" s="110">
        <v>49.18</v>
      </c>
      <c r="K9" s="110">
        <v>618.29</v>
      </c>
      <c r="L9" s="110">
        <v>34</v>
      </c>
      <c r="M9" s="111">
        <v>263.93</v>
      </c>
      <c r="N9" s="112">
        <v>14.51</v>
      </c>
      <c r="O9" s="113">
        <v>0</v>
      </c>
      <c r="P9" s="113">
        <v>0</v>
      </c>
      <c r="Q9" s="113">
        <v>0</v>
      </c>
      <c r="R9" s="113">
        <v>0</v>
      </c>
      <c r="S9" s="110">
        <f>E9+G9+I9+K9+M9+O9+Q9</f>
        <v>2552.2599999999998</v>
      </c>
      <c r="T9" s="114">
        <f>P9+N9+L9+J9+H9+F9+R9</f>
        <v>140.29</v>
      </c>
      <c r="U9" s="110">
        <v>115.31</v>
      </c>
      <c r="V9" s="110">
        <v>155.65</v>
      </c>
      <c r="W9" s="110">
        <v>310.78</v>
      </c>
      <c r="X9" s="110">
        <v>214.71</v>
      </c>
      <c r="Y9" s="113">
        <v>92.25</v>
      </c>
      <c r="Z9" s="110">
        <v>0</v>
      </c>
      <c r="AA9" s="113">
        <v>0</v>
      </c>
      <c r="AB9" s="82">
        <f>SUM(U9:AA9)</f>
        <v>888.7</v>
      </c>
      <c r="AC9" s="116">
        <f>D9+T9+AB9</f>
        <v>1939.943125</v>
      </c>
      <c r="AD9" s="117">
        <f>P9+Z9</f>
        <v>0</v>
      </c>
      <c r="AE9" s="117">
        <f>R9+AA9</f>
        <v>0</v>
      </c>
      <c r="AF9" s="117"/>
      <c r="AG9" s="110">
        <f>0.6*B9*0.9</f>
        <v>454.95</v>
      </c>
      <c r="AH9" s="110">
        <f>B9*0.2*0.891</f>
        <v>150.1335</v>
      </c>
      <c r="AI9" s="110">
        <f>0.85*B9*0.867-0.02</f>
        <v>620.860375</v>
      </c>
      <c r="AJ9" s="110">
        <f aca="true" t="shared" si="1" ref="AJ9:AJ17">AI9*0.18</f>
        <v>111.75486749999999</v>
      </c>
      <c r="AK9" s="110">
        <f>0.83*B9*0.8685</f>
        <v>607.3203375</v>
      </c>
      <c r="AL9" s="110">
        <f aca="true" t="shared" si="2" ref="AL9:AL17">AK9*0.18</f>
        <v>109.31766075</v>
      </c>
      <c r="AM9" s="110">
        <f>1.91*B9*0.8686</f>
        <v>1397.729405</v>
      </c>
      <c r="AN9" s="110">
        <f aca="true" t="shared" si="3" ref="AN9:AN17">AM9*0.18</f>
        <v>251.59129289999998</v>
      </c>
      <c r="AO9" s="110"/>
      <c r="AP9" s="110">
        <f aca="true" t="shared" si="4" ref="AP9:AP17">AO9*0.18</f>
        <v>0</v>
      </c>
      <c r="AQ9" s="163"/>
      <c r="AR9" s="124">
        <f aca="true" t="shared" si="5" ref="AR9:AR17">AQ9*0.18</f>
        <v>0</v>
      </c>
      <c r="AS9" s="160"/>
      <c r="AT9" s="160"/>
      <c r="AU9" s="118">
        <f aca="true" t="shared" si="6" ref="AU9:AU17">(AS9+AT9)*0.18</f>
        <v>0</v>
      </c>
      <c r="AV9" s="119">
        <v>508</v>
      </c>
      <c r="AW9" s="120">
        <v>0.3</v>
      </c>
      <c r="AX9" s="110">
        <f aca="true" t="shared" si="7" ref="AX9:AX15">AV9*AW9*1.12*1.18</f>
        <v>201.41184</v>
      </c>
      <c r="AY9" s="69"/>
      <c r="AZ9" s="113"/>
      <c r="BA9" s="113">
        <f aca="true" t="shared" si="8" ref="BA9:BA20">AZ9*0.18</f>
        <v>0</v>
      </c>
      <c r="BB9" s="110">
        <f aca="true" t="shared" si="9" ref="BB9:BB17">SUM(AG9:BA9)-AV9-AW9</f>
        <v>3905.0692786499994</v>
      </c>
      <c r="BC9" s="140"/>
      <c r="BD9" s="107">
        <f aca="true" t="shared" si="10" ref="BD9:BD20">BB9-(AF9-BC9)</f>
        <v>3905.0692786499994</v>
      </c>
      <c r="BE9" s="121">
        <f aca="true" t="shared" si="11" ref="BE9:BE20">(AC9-BB9)+(AF9-BC9)</f>
        <v>-1965.1261536499994</v>
      </c>
      <c r="BF9" s="121">
        <f aca="true" t="shared" si="12" ref="BF9:BF20">AB9-S9</f>
        <v>-1663.5599999999997</v>
      </c>
    </row>
    <row r="10" spans="1:58" ht="12.75" hidden="1">
      <c r="A10" s="9" t="s">
        <v>43</v>
      </c>
      <c r="B10" s="109">
        <v>842.5</v>
      </c>
      <c r="C10" s="63">
        <f t="shared" si="0"/>
        <v>7287.625</v>
      </c>
      <c r="D10" s="68">
        <f>C10*0.125</f>
        <v>910.953125</v>
      </c>
      <c r="E10" s="110">
        <v>331.21</v>
      </c>
      <c r="F10" s="110">
        <v>18.13</v>
      </c>
      <c r="G10" s="110">
        <v>422.64</v>
      </c>
      <c r="H10" s="110">
        <v>24.47</v>
      </c>
      <c r="I10" s="110">
        <v>898.23</v>
      </c>
      <c r="J10" s="110">
        <v>49.18</v>
      </c>
      <c r="K10" s="110">
        <v>620.72</v>
      </c>
      <c r="L10" s="110">
        <v>34</v>
      </c>
      <c r="M10" s="111">
        <v>264.95</v>
      </c>
      <c r="N10" s="112">
        <v>14.51</v>
      </c>
      <c r="O10" s="113">
        <v>0</v>
      </c>
      <c r="P10" s="113">
        <v>0</v>
      </c>
      <c r="Q10" s="113">
        <v>0</v>
      </c>
      <c r="R10" s="113">
        <v>0</v>
      </c>
      <c r="S10" s="110">
        <f>E10+G10+I10+K10+M10+O10+Q10</f>
        <v>2537.75</v>
      </c>
      <c r="T10" s="114">
        <f>P10+N10+L10+J10+H10+F10+R10</f>
        <v>140.29</v>
      </c>
      <c r="U10" s="110">
        <v>272.61</v>
      </c>
      <c r="V10" s="110">
        <v>368.01</v>
      </c>
      <c r="W10" s="110">
        <v>727.55</v>
      </c>
      <c r="X10" s="110">
        <v>502.7</v>
      </c>
      <c r="Y10" s="110">
        <v>218.11</v>
      </c>
      <c r="Z10" s="110">
        <v>0</v>
      </c>
      <c r="AA10" s="113">
        <v>0</v>
      </c>
      <c r="AB10" s="115">
        <f>SUM(U10:AA10)</f>
        <v>2088.98</v>
      </c>
      <c r="AC10" s="116">
        <f>D10+T10+AB10</f>
        <v>3140.223125</v>
      </c>
      <c r="AD10" s="117">
        <f>P10+Z10</f>
        <v>0</v>
      </c>
      <c r="AE10" s="117">
        <f>R10+AA10</f>
        <v>0</v>
      </c>
      <c r="AF10" s="117"/>
      <c r="AG10" s="110">
        <f>0.6*B10*0.9</f>
        <v>454.95</v>
      </c>
      <c r="AH10" s="110">
        <f>B10*0.2*0.9153</f>
        <v>154.22805</v>
      </c>
      <c r="AI10" s="110">
        <f>0.85*B10*0.867</f>
        <v>620.880375</v>
      </c>
      <c r="AJ10" s="110">
        <f t="shared" si="1"/>
        <v>111.7584675</v>
      </c>
      <c r="AK10" s="110">
        <f>0.83*B10*0.8684</f>
        <v>607.25041</v>
      </c>
      <c r="AL10" s="110">
        <f t="shared" si="2"/>
        <v>109.30507379999999</v>
      </c>
      <c r="AM10" s="110">
        <f>(1.91)*B10*0.8684</f>
        <v>1397.4075699999999</v>
      </c>
      <c r="AN10" s="110">
        <f t="shared" si="3"/>
        <v>251.53336259999998</v>
      </c>
      <c r="AO10" s="110"/>
      <c r="AP10" s="110">
        <f t="shared" si="4"/>
        <v>0</v>
      </c>
      <c r="AQ10" s="163"/>
      <c r="AR10" s="124">
        <f t="shared" si="5"/>
        <v>0</v>
      </c>
      <c r="AS10" s="118">
        <v>4650</v>
      </c>
      <c r="AT10" s="160"/>
      <c r="AU10" s="118">
        <f t="shared" si="6"/>
        <v>837</v>
      </c>
      <c r="AV10" s="119">
        <v>407</v>
      </c>
      <c r="AW10" s="120">
        <v>0.3</v>
      </c>
      <c r="AX10" s="110">
        <f t="shared" si="7"/>
        <v>161.36736</v>
      </c>
      <c r="AY10" s="69"/>
      <c r="AZ10" s="164"/>
      <c r="BA10" s="113">
        <f t="shared" si="8"/>
        <v>0</v>
      </c>
      <c r="BB10" s="110">
        <f t="shared" si="9"/>
        <v>9355.6806689</v>
      </c>
      <c r="BC10" s="125"/>
      <c r="BD10" s="107">
        <f t="shared" si="10"/>
        <v>9355.6806689</v>
      </c>
      <c r="BE10" s="121">
        <f t="shared" si="11"/>
        <v>-6215.4575439</v>
      </c>
      <c r="BF10" s="121">
        <f t="shared" si="12"/>
        <v>-448.77</v>
      </c>
    </row>
    <row r="11" spans="1:58" ht="13.5" hidden="1" thickBot="1">
      <c r="A11" s="86" t="s">
        <v>44</v>
      </c>
      <c r="B11" s="126">
        <v>842.5</v>
      </c>
      <c r="C11" s="87">
        <f t="shared" si="0"/>
        <v>7287.625</v>
      </c>
      <c r="D11" s="88">
        <f>C11*0.125</f>
        <v>910.953125</v>
      </c>
      <c r="E11" s="127">
        <v>331.32</v>
      </c>
      <c r="F11" s="127">
        <v>18.13</v>
      </c>
      <c r="G11" s="127">
        <v>447.28</v>
      </c>
      <c r="H11" s="127">
        <v>24.47</v>
      </c>
      <c r="I11" s="127">
        <v>898.54</v>
      </c>
      <c r="J11" s="127">
        <v>49.18</v>
      </c>
      <c r="K11" s="127">
        <v>620.94</v>
      </c>
      <c r="L11" s="127">
        <v>34</v>
      </c>
      <c r="M11" s="128">
        <v>265.04</v>
      </c>
      <c r="N11" s="129">
        <v>14.51</v>
      </c>
      <c r="O11" s="130">
        <v>0</v>
      </c>
      <c r="P11" s="130">
        <v>0</v>
      </c>
      <c r="Q11" s="130">
        <v>0</v>
      </c>
      <c r="R11" s="130">
        <v>0</v>
      </c>
      <c r="S11" s="127">
        <f>E11+G11+I11+K11+M11+O11+Q11</f>
        <v>2563.12</v>
      </c>
      <c r="T11" s="131">
        <f>P11+N11+L11+J11+H11+F11+R11</f>
        <v>140.29</v>
      </c>
      <c r="U11" s="84">
        <v>194.35</v>
      </c>
      <c r="V11" s="84">
        <v>262.37</v>
      </c>
      <c r="W11" s="84">
        <v>522.43</v>
      </c>
      <c r="X11" s="84">
        <v>360.97</v>
      </c>
      <c r="Y11" s="89">
        <v>155.49</v>
      </c>
      <c r="Z11" s="84">
        <v>0</v>
      </c>
      <c r="AA11" s="89">
        <v>0</v>
      </c>
      <c r="AB11" s="90">
        <f>SUM(U11:AA11)</f>
        <v>1495.61</v>
      </c>
      <c r="AC11" s="132">
        <f>D11+T11+AB11</f>
        <v>2546.8531249999996</v>
      </c>
      <c r="AD11" s="133">
        <f>P11+Z11</f>
        <v>0</v>
      </c>
      <c r="AE11" s="133">
        <f>R11+AA11</f>
        <v>0</v>
      </c>
      <c r="AF11" s="133"/>
      <c r="AG11" s="127">
        <f>0.6*B11*0.9</f>
        <v>454.95</v>
      </c>
      <c r="AH11" s="84">
        <f>B11*0.2*0.9082</f>
        <v>153.0317</v>
      </c>
      <c r="AI11" s="127">
        <f>0.85*B11*0.8675</f>
        <v>621.2384375</v>
      </c>
      <c r="AJ11" s="127">
        <f t="shared" si="1"/>
        <v>111.82291875</v>
      </c>
      <c r="AK11" s="84">
        <f>0.83*B11*0.838</f>
        <v>585.99245</v>
      </c>
      <c r="AL11" s="127">
        <f t="shared" si="2"/>
        <v>105.478641</v>
      </c>
      <c r="AM11" s="127">
        <f>1.91*B11*0.8381</f>
        <v>1348.6495674999999</v>
      </c>
      <c r="AN11" s="127">
        <f t="shared" si="3"/>
        <v>242.75692214999998</v>
      </c>
      <c r="AO11" s="127"/>
      <c r="AP11" s="127">
        <f t="shared" si="4"/>
        <v>0</v>
      </c>
      <c r="AQ11" s="166"/>
      <c r="AR11" s="134">
        <f t="shared" si="5"/>
        <v>0</v>
      </c>
      <c r="AS11" s="167">
        <v>3988</v>
      </c>
      <c r="AT11" s="168"/>
      <c r="AU11" s="135">
        <f t="shared" si="6"/>
        <v>717.8399999999999</v>
      </c>
      <c r="AV11" s="136">
        <v>383</v>
      </c>
      <c r="AW11" s="137">
        <v>0.3</v>
      </c>
      <c r="AX11" s="127">
        <f t="shared" si="7"/>
        <v>151.85184</v>
      </c>
      <c r="AY11" s="91"/>
      <c r="AZ11" s="130"/>
      <c r="BA11" s="130">
        <f t="shared" si="8"/>
        <v>0</v>
      </c>
      <c r="BB11" s="127">
        <f t="shared" si="9"/>
        <v>8481.612476899998</v>
      </c>
      <c r="BC11" s="138"/>
      <c r="BD11" s="108">
        <f t="shared" si="10"/>
        <v>8481.612476899998</v>
      </c>
      <c r="BE11" s="139">
        <f t="shared" si="11"/>
        <v>-5934.759351899998</v>
      </c>
      <c r="BF11" s="139">
        <f t="shared" si="12"/>
        <v>-1067.51</v>
      </c>
    </row>
    <row r="12" spans="1:58" ht="12.75" hidden="1">
      <c r="A12" s="85" t="s">
        <v>45</v>
      </c>
      <c r="B12" s="92">
        <v>842.5</v>
      </c>
      <c r="C12" s="63">
        <f t="shared" si="0"/>
        <v>7287.625</v>
      </c>
      <c r="D12" s="68">
        <f>C12*0.125</f>
        <v>910.953125</v>
      </c>
      <c r="E12" s="48">
        <v>331.32</v>
      </c>
      <c r="F12" s="48">
        <v>18.13</v>
      </c>
      <c r="G12" s="48">
        <v>447.27</v>
      </c>
      <c r="H12" s="48">
        <v>24.47</v>
      </c>
      <c r="I12" s="48">
        <v>898.54</v>
      </c>
      <c r="J12" s="48">
        <v>49.18</v>
      </c>
      <c r="K12" s="48">
        <v>620.94</v>
      </c>
      <c r="L12" s="48">
        <v>34</v>
      </c>
      <c r="M12" s="93">
        <v>265.04</v>
      </c>
      <c r="N12" s="105">
        <v>14.51</v>
      </c>
      <c r="O12" s="49">
        <v>0</v>
      </c>
      <c r="P12" s="49">
        <v>0</v>
      </c>
      <c r="Q12" s="49">
        <v>0</v>
      </c>
      <c r="R12" s="49">
        <v>0</v>
      </c>
      <c r="S12" s="110">
        <f aca="true" t="shared" si="13" ref="S12:S17">E12+G12+I12+K12+M12+O12+Q12</f>
        <v>2563.1099999999997</v>
      </c>
      <c r="T12" s="114">
        <f aca="true" t="shared" si="14" ref="T12:T17">P12+N12+L12+J12+H12+F12+R12</f>
        <v>140.29</v>
      </c>
      <c r="U12" s="110">
        <v>200.22</v>
      </c>
      <c r="V12" s="110">
        <v>270.27</v>
      </c>
      <c r="W12" s="110">
        <v>538.97</v>
      </c>
      <c r="X12" s="110">
        <v>372.44</v>
      </c>
      <c r="Y12" s="110">
        <v>160.17</v>
      </c>
      <c r="Z12" s="110">
        <v>0</v>
      </c>
      <c r="AA12" s="110">
        <v>0</v>
      </c>
      <c r="AB12" s="82">
        <f aca="true" t="shared" si="15" ref="AB12:AB17">SUM(U12:AA12)</f>
        <v>1542.0700000000002</v>
      </c>
      <c r="AC12" s="116">
        <f aca="true" t="shared" si="16" ref="AC12:AC17">D12+T12+AB12</f>
        <v>2593.313125</v>
      </c>
      <c r="AD12" s="117">
        <f aca="true" t="shared" si="17" ref="AD12:AD17">P12+Z12</f>
        <v>0</v>
      </c>
      <c r="AE12" s="117">
        <f aca="true" t="shared" si="18" ref="AE12:AE17">R12+AA12</f>
        <v>0</v>
      </c>
      <c r="AF12" s="117"/>
      <c r="AG12" s="110">
        <f>0.6*B12*0.9</f>
        <v>454.95</v>
      </c>
      <c r="AH12" s="48">
        <f>B12*0.2*0.9234</f>
        <v>155.5929</v>
      </c>
      <c r="AI12" s="110">
        <f>0.85*B12*0.8934</f>
        <v>639.786075</v>
      </c>
      <c r="AJ12" s="110">
        <f t="shared" si="1"/>
        <v>115.16149349999999</v>
      </c>
      <c r="AK12" s="110">
        <f>0.83*B12*0.8498</f>
        <v>594.243895</v>
      </c>
      <c r="AL12" s="110">
        <f t="shared" si="2"/>
        <v>106.96390109999999</v>
      </c>
      <c r="AM12" s="110">
        <f>(1.91)*B12*0.8498</f>
        <v>1367.476915</v>
      </c>
      <c r="AN12" s="110">
        <f t="shared" si="3"/>
        <v>246.1458447</v>
      </c>
      <c r="AO12" s="110"/>
      <c r="AP12" s="110">
        <f t="shared" si="4"/>
        <v>0</v>
      </c>
      <c r="AQ12" s="124"/>
      <c r="AR12" s="124">
        <f t="shared" si="5"/>
        <v>0</v>
      </c>
      <c r="AS12" s="147">
        <v>15275.39</v>
      </c>
      <c r="AT12" s="118"/>
      <c r="AU12" s="118">
        <f t="shared" si="6"/>
        <v>2749.5701999999997</v>
      </c>
      <c r="AV12" s="119">
        <v>307</v>
      </c>
      <c r="AW12" s="120">
        <v>0.3</v>
      </c>
      <c r="AX12" s="110">
        <f t="shared" si="7"/>
        <v>121.71936</v>
      </c>
      <c r="AY12" s="69"/>
      <c r="AZ12" s="113"/>
      <c r="BA12" s="113">
        <f t="shared" si="8"/>
        <v>0</v>
      </c>
      <c r="BB12" s="148">
        <f t="shared" si="9"/>
        <v>21827.000584299996</v>
      </c>
      <c r="BC12" s="125"/>
      <c r="BD12" s="113">
        <f t="shared" si="10"/>
        <v>21827.000584299996</v>
      </c>
      <c r="BE12" s="169">
        <f t="shared" si="11"/>
        <v>-19233.687459299996</v>
      </c>
      <c r="BF12" s="122">
        <f t="shared" si="12"/>
        <v>-1021.0399999999995</v>
      </c>
    </row>
    <row r="13" spans="1:58" ht="12.75" hidden="1">
      <c r="A13" s="9" t="s">
        <v>46</v>
      </c>
      <c r="B13" s="123">
        <v>842.5</v>
      </c>
      <c r="C13" s="63">
        <f t="shared" si="0"/>
        <v>7287.625</v>
      </c>
      <c r="D13" s="94">
        <f aca="true" t="shared" si="19" ref="D13:D20">C13-E13-F13-G13-H13-I13-J13-K13-L13-M13-N13</f>
        <v>4239.135</v>
      </c>
      <c r="E13" s="48">
        <v>354.34</v>
      </c>
      <c r="F13" s="48">
        <v>17.52</v>
      </c>
      <c r="G13" s="48">
        <v>480.04</v>
      </c>
      <c r="H13" s="48">
        <v>23.73</v>
      </c>
      <c r="I13" s="48">
        <v>1056.16</v>
      </c>
      <c r="J13" s="48">
        <v>51.38</v>
      </c>
      <c r="K13" s="48">
        <v>732.21</v>
      </c>
      <c r="L13" s="48">
        <v>35.61</v>
      </c>
      <c r="M13" s="93">
        <v>283.49</v>
      </c>
      <c r="N13" s="105">
        <v>14.01</v>
      </c>
      <c r="O13" s="49">
        <v>0</v>
      </c>
      <c r="P13" s="49">
        <v>0</v>
      </c>
      <c r="Q13" s="49">
        <v>0</v>
      </c>
      <c r="R13" s="49">
        <v>0</v>
      </c>
      <c r="S13" s="110">
        <f t="shared" si="13"/>
        <v>2906.24</v>
      </c>
      <c r="T13" s="114">
        <f t="shared" si="14"/>
        <v>142.25</v>
      </c>
      <c r="U13" s="48">
        <v>135.42</v>
      </c>
      <c r="V13" s="48">
        <v>182.79</v>
      </c>
      <c r="W13" s="48">
        <v>364.07</v>
      </c>
      <c r="X13" s="48">
        <v>251.61</v>
      </c>
      <c r="Y13" s="49">
        <v>108.32</v>
      </c>
      <c r="Z13" s="48">
        <v>0</v>
      </c>
      <c r="AA13" s="49">
        <v>0</v>
      </c>
      <c r="AB13" s="82">
        <f t="shared" si="15"/>
        <v>1042.21</v>
      </c>
      <c r="AC13" s="116">
        <f t="shared" si="16"/>
        <v>5423.595</v>
      </c>
      <c r="AD13" s="117">
        <f t="shared" si="17"/>
        <v>0</v>
      </c>
      <c r="AE13" s="117">
        <f t="shared" si="18"/>
        <v>0</v>
      </c>
      <c r="AF13" s="117"/>
      <c r="AG13" s="110">
        <f aca="true" t="shared" si="20" ref="AG13:AG20">0.6*B13</f>
        <v>505.5</v>
      </c>
      <c r="AH13" s="110">
        <f>B13*0.2*1.01</f>
        <v>170.185</v>
      </c>
      <c r="AI13" s="110">
        <f>0.85*B13</f>
        <v>716.125</v>
      </c>
      <c r="AJ13" s="110">
        <f t="shared" si="1"/>
        <v>128.9025</v>
      </c>
      <c r="AK13" s="110">
        <f>0.83*B13</f>
        <v>699.275</v>
      </c>
      <c r="AL13" s="110">
        <f t="shared" si="2"/>
        <v>125.86949999999999</v>
      </c>
      <c r="AM13" s="110">
        <f>(1.91)*B13</f>
        <v>1609.175</v>
      </c>
      <c r="AN13" s="110">
        <f t="shared" si="3"/>
        <v>289.6515</v>
      </c>
      <c r="AO13" s="110"/>
      <c r="AP13" s="110">
        <f t="shared" si="4"/>
        <v>0</v>
      </c>
      <c r="AQ13" s="124"/>
      <c r="AR13" s="124">
        <f t="shared" si="5"/>
        <v>0</v>
      </c>
      <c r="AS13" s="160"/>
      <c r="AT13" s="160"/>
      <c r="AU13" s="118">
        <f t="shared" si="6"/>
        <v>0</v>
      </c>
      <c r="AV13" s="119">
        <v>263</v>
      </c>
      <c r="AW13" s="120">
        <v>0.3</v>
      </c>
      <c r="AX13" s="110">
        <f t="shared" si="7"/>
        <v>104.27423999999999</v>
      </c>
      <c r="AY13" s="69"/>
      <c r="AZ13" s="113"/>
      <c r="BA13" s="113">
        <f t="shared" si="8"/>
        <v>0</v>
      </c>
      <c r="BB13" s="110">
        <f t="shared" si="9"/>
        <v>4348.957739999999</v>
      </c>
      <c r="BC13" s="125"/>
      <c r="BD13" s="115">
        <f t="shared" si="10"/>
        <v>4348.957739999999</v>
      </c>
      <c r="BE13" s="121">
        <f t="shared" si="11"/>
        <v>1074.6372600000013</v>
      </c>
      <c r="BF13" s="121">
        <f t="shared" si="12"/>
        <v>-1864.0299999999997</v>
      </c>
    </row>
    <row r="14" spans="1:58" ht="13.5" hidden="1" thickBot="1">
      <c r="A14" s="86" t="s">
        <v>47</v>
      </c>
      <c r="B14" s="126">
        <v>842.5</v>
      </c>
      <c r="C14" s="87">
        <f t="shared" si="0"/>
        <v>7287.625</v>
      </c>
      <c r="D14" s="88">
        <f t="shared" si="19"/>
        <v>4158.435</v>
      </c>
      <c r="E14" s="84">
        <v>367.86</v>
      </c>
      <c r="F14" s="84">
        <v>17.52</v>
      </c>
      <c r="G14" s="84">
        <v>498.29</v>
      </c>
      <c r="H14" s="84">
        <v>23.73</v>
      </c>
      <c r="I14" s="84">
        <v>1078.76</v>
      </c>
      <c r="J14" s="84">
        <v>51.38</v>
      </c>
      <c r="K14" s="84">
        <v>747.74</v>
      </c>
      <c r="L14" s="84">
        <v>35.61</v>
      </c>
      <c r="M14" s="95">
        <v>294.29</v>
      </c>
      <c r="N14" s="106">
        <v>14.01</v>
      </c>
      <c r="O14" s="89">
        <v>0</v>
      </c>
      <c r="P14" s="89">
        <v>0</v>
      </c>
      <c r="Q14" s="89">
        <v>0</v>
      </c>
      <c r="R14" s="89">
        <v>0</v>
      </c>
      <c r="S14" s="127">
        <f t="shared" si="13"/>
        <v>2986.94</v>
      </c>
      <c r="T14" s="131">
        <f t="shared" si="14"/>
        <v>142.25</v>
      </c>
      <c r="U14" s="84">
        <v>478.41</v>
      </c>
      <c r="V14" s="84">
        <v>646.62</v>
      </c>
      <c r="W14" s="84">
        <v>1326.49</v>
      </c>
      <c r="X14" s="84">
        <v>917.61</v>
      </c>
      <c r="Y14" s="89">
        <v>382.71</v>
      </c>
      <c r="Z14" s="84">
        <v>0</v>
      </c>
      <c r="AA14" s="89">
        <v>0</v>
      </c>
      <c r="AB14" s="90">
        <f t="shared" si="15"/>
        <v>3751.84</v>
      </c>
      <c r="AC14" s="132">
        <f t="shared" si="16"/>
        <v>8052.525000000001</v>
      </c>
      <c r="AD14" s="133">
        <f t="shared" si="17"/>
        <v>0</v>
      </c>
      <c r="AE14" s="133">
        <f t="shared" si="18"/>
        <v>0</v>
      </c>
      <c r="AF14" s="133"/>
      <c r="AG14" s="127">
        <f t="shared" si="20"/>
        <v>505.5</v>
      </c>
      <c r="AH14" s="127">
        <f>B14*0.2*1.01045</f>
        <v>170.260825</v>
      </c>
      <c r="AI14" s="127">
        <f>0.85*B14</f>
        <v>716.125</v>
      </c>
      <c r="AJ14" s="127">
        <f t="shared" si="1"/>
        <v>128.9025</v>
      </c>
      <c r="AK14" s="127">
        <f>0.83*B14</f>
        <v>699.275</v>
      </c>
      <c r="AL14" s="127">
        <f t="shared" si="2"/>
        <v>125.86949999999999</v>
      </c>
      <c r="AM14" s="127">
        <f>(1.91)*B14</f>
        <v>1609.175</v>
      </c>
      <c r="AN14" s="127">
        <f t="shared" si="3"/>
        <v>289.6515</v>
      </c>
      <c r="AO14" s="127"/>
      <c r="AP14" s="127">
        <f t="shared" si="4"/>
        <v>0</v>
      </c>
      <c r="AQ14" s="134"/>
      <c r="AR14" s="134">
        <f t="shared" si="5"/>
        <v>0</v>
      </c>
      <c r="AS14" s="167">
        <v>38543.99</v>
      </c>
      <c r="AT14" s="167"/>
      <c r="AU14" s="135">
        <f t="shared" si="6"/>
        <v>6937.918199999999</v>
      </c>
      <c r="AV14" s="136">
        <v>233</v>
      </c>
      <c r="AW14" s="137">
        <v>0.3</v>
      </c>
      <c r="AX14" s="127">
        <f t="shared" si="7"/>
        <v>92.37983999999999</v>
      </c>
      <c r="AY14" s="91"/>
      <c r="AZ14" s="130"/>
      <c r="BA14" s="130">
        <f t="shared" si="8"/>
        <v>0</v>
      </c>
      <c r="BB14" s="127">
        <f t="shared" si="9"/>
        <v>49819.047365</v>
      </c>
      <c r="BC14" s="138"/>
      <c r="BD14" s="141">
        <f t="shared" si="10"/>
        <v>49819.047365</v>
      </c>
      <c r="BE14" s="170">
        <f t="shared" si="11"/>
        <v>-41766.522365</v>
      </c>
      <c r="BF14" s="142">
        <f t="shared" si="12"/>
        <v>764.9000000000001</v>
      </c>
    </row>
    <row r="15" spans="1:58" ht="12.75" hidden="1">
      <c r="A15" s="85" t="s">
        <v>48</v>
      </c>
      <c r="B15" s="161">
        <v>842.5</v>
      </c>
      <c r="C15" s="63">
        <f t="shared" si="0"/>
        <v>7287.625</v>
      </c>
      <c r="D15" s="94">
        <f t="shared" si="19"/>
        <v>4158.435</v>
      </c>
      <c r="E15" s="48">
        <v>367.86</v>
      </c>
      <c r="F15" s="48">
        <v>17.52</v>
      </c>
      <c r="G15" s="48">
        <v>498.29</v>
      </c>
      <c r="H15" s="48">
        <v>23.73</v>
      </c>
      <c r="I15" s="48">
        <v>1078.76</v>
      </c>
      <c r="J15" s="48">
        <v>51.38</v>
      </c>
      <c r="K15" s="48">
        <v>747.74</v>
      </c>
      <c r="L15" s="48">
        <v>35.61</v>
      </c>
      <c r="M15" s="93">
        <v>294.29</v>
      </c>
      <c r="N15" s="105">
        <v>14.01</v>
      </c>
      <c r="O15" s="49">
        <v>0</v>
      </c>
      <c r="P15" s="49">
        <v>0</v>
      </c>
      <c r="Q15" s="49">
        <v>0</v>
      </c>
      <c r="R15" s="49">
        <v>0</v>
      </c>
      <c r="S15" s="110">
        <f t="shared" si="13"/>
        <v>2986.94</v>
      </c>
      <c r="T15" s="114">
        <f t="shared" si="14"/>
        <v>142.25</v>
      </c>
      <c r="U15" s="48">
        <v>345.51</v>
      </c>
      <c r="V15" s="48">
        <v>467.9</v>
      </c>
      <c r="W15" s="48">
        <v>1004.15</v>
      </c>
      <c r="X15" s="48">
        <v>695.86</v>
      </c>
      <c r="Y15" s="49">
        <v>276.41</v>
      </c>
      <c r="Z15" s="48">
        <v>0</v>
      </c>
      <c r="AA15" s="49">
        <v>0</v>
      </c>
      <c r="AB15" s="82">
        <f t="shared" si="15"/>
        <v>2789.83</v>
      </c>
      <c r="AC15" s="116">
        <f t="shared" si="16"/>
        <v>7090.515</v>
      </c>
      <c r="AD15" s="117">
        <f t="shared" si="17"/>
        <v>0</v>
      </c>
      <c r="AE15" s="117">
        <f t="shared" si="18"/>
        <v>0</v>
      </c>
      <c r="AF15" s="117"/>
      <c r="AG15" s="110">
        <f t="shared" si="20"/>
        <v>505.5</v>
      </c>
      <c r="AH15" s="110">
        <f>B15*0.2*0.99426</f>
        <v>167.53281</v>
      </c>
      <c r="AI15" s="110">
        <f>0.85*B15*0.9857</f>
        <v>705.8844125</v>
      </c>
      <c r="AJ15" s="110">
        <f t="shared" si="1"/>
        <v>127.05919425</v>
      </c>
      <c r="AK15" s="110">
        <f>0.83*B15*0.9905</f>
        <v>692.6318875000001</v>
      </c>
      <c r="AL15" s="110">
        <f t="shared" si="2"/>
        <v>124.67373975000001</v>
      </c>
      <c r="AM15" s="110">
        <f>(1.91)*B15*0.9905</f>
        <v>1593.8878375</v>
      </c>
      <c r="AN15" s="110">
        <f t="shared" si="3"/>
        <v>286.89981075</v>
      </c>
      <c r="AO15" s="110"/>
      <c r="AP15" s="110">
        <f t="shared" si="4"/>
        <v>0</v>
      </c>
      <c r="AQ15" s="124"/>
      <c r="AR15" s="124">
        <f t="shared" si="5"/>
        <v>0</v>
      </c>
      <c r="AS15" s="165">
        <v>440</v>
      </c>
      <c r="AT15" s="118"/>
      <c r="AU15" s="118">
        <f t="shared" si="6"/>
        <v>79.2</v>
      </c>
      <c r="AV15" s="119">
        <v>248</v>
      </c>
      <c r="AW15" s="120">
        <v>0.3</v>
      </c>
      <c r="AX15" s="110">
        <f t="shared" si="7"/>
        <v>98.32704</v>
      </c>
      <c r="AY15" s="69"/>
      <c r="AZ15" s="113"/>
      <c r="BA15" s="113">
        <f t="shared" si="8"/>
        <v>0</v>
      </c>
      <c r="BB15" s="143">
        <f t="shared" si="9"/>
        <v>4821.59673225</v>
      </c>
      <c r="BC15" s="125"/>
      <c r="BD15" s="115">
        <f t="shared" si="10"/>
        <v>4821.59673225</v>
      </c>
      <c r="BE15" s="121">
        <f t="shared" si="11"/>
        <v>2268.9182677500003</v>
      </c>
      <c r="BF15" s="122">
        <f t="shared" si="12"/>
        <v>-197.11000000000013</v>
      </c>
    </row>
    <row r="16" spans="1:58" ht="12.75" hidden="1">
      <c r="A16" s="9" t="s">
        <v>49</v>
      </c>
      <c r="B16" s="162">
        <v>842.5</v>
      </c>
      <c r="C16" s="63">
        <f t="shared" si="0"/>
        <v>7287.625</v>
      </c>
      <c r="D16" s="94">
        <f t="shared" si="19"/>
        <v>4158.445</v>
      </c>
      <c r="E16" s="48">
        <v>367.85</v>
      </c>
      <c r="F16" s="48">
        <v>17.52</v>
      </c>
      <c r="G16" s="48">
        <v>498.29</v>
      </c>
      <c r="H16" s="48">
        <v>23.73</v>
      </c>
      <c r="I16" s="48">
        <v>1078.76</v>
      </c>
      <c r="J16" s="48">
        <v>51.38</v>
      </c>
      <c r="K16" s="48">
        <v>747.75</v>
      </c>
      <c r="L16" s="48">
        <v>35.61</v>
      </c>
      <c r="M16" s="93">
        <v>294.28</v>
      </c>
      <c r="N16" s="105">
        <v>14.01</v>
      </c>
      <c r="O16" s="49">
        <v>0</v>
      </c>
      <c r="P16" s="49">
        <v>0</v>
      </c>
      <c r="Q16" s="48">
        <v>0</v>
      </c>
      <c r="R16" s="48">
        <v>0</v>
      </c>
      <c r="S16" s="110">
        <f t="shared" si="13"/>
        <v>2986.9300000000003</v>
      </c>
      <c r="T16" s="114">
        <f t="shared" si="14"/>
        <v>142.25</v>
      </c>
      <c r="U16" s="48">
        <v>239.93</v>
      </c>
      <c r="V16" s="48">
        <v>324.9</v>
      </c>
      <c r="W16" s="48">
        <v>699.42</v>
      </c>
      <c r="X16" s="48">
        <v>484.72</v>
      </c>
      <c r="Y16" s="49">
        <v>191.92</v>
      </c>
      <c r="Z16" s="48">
        <v>0</v>
      </c>
      <c r="AA16" s="49">
        <v>0</v>
      </c>
      <c r="AB16" s="82">
        <f t="shared" si="15"/>
        <v>1940.89</v>
      </c>
      <c r="AC16" s="116">
        <f t="shared" si="16"/>
        <v>6241.585</v>
      </c>
      <c r="AD16" s="117">
        <f t="shared" si="17"/>
        <v>0</v>
      </c>
      <c r="AE16" s="117">
        <f t="shared" si="18"/>
        <v>0</v>
      </c>
      <c r="AF16" s="117"/>
      <c r="AG16" s="110">
        <f t="shared" si="20"/>
        <v>505.5</v>
      </c>
      <c r="AH16" s="110">
        <f>B16*0.2*0.99875</f>
        <v>168.289375</v>
      </c>
      <c r="AI16" s="110">
        <f>0.85*B16*0.98526</f>
        <v>705.5693175</v>
      </c>
      <c r="AJ16" s="110">
        <f t="shared" si="1"/>
        <v>127.00247715</v>
      </c>
      <c r="AK16" s="110">
        <f>0.83*B16*0.99</f>
        <v>692.28225</v>
      </c>
      <c r="AL16" s="110">
        <f t="shared" si="2"/>
        <v>124.61080499999998</v>
      </c>
      <c r="AM16" s="110">
        <f>(1.91)*B16*0.99</f>
        <v>1593.08325</v>
      </c>
      <c r="AN16" s="110">
        <f t="shared" si="3"/>
        <v>286.754985</v>
      </c>
      <c r="AO16" s="110"/>
      <c r="AP16" s="110">
        <f t="shared" si="4"/>
        <v>0</v>
      </c>
      <c r="AQ16" s="124">
        <v>7311.36</v>
      </c>
      <c r="AR16" s="124">
        <f t="shared" si="5"/>
        <v>1316.0448</v>
      </c>
      <c r="AS16" s="165">
        <v>3236.96</v>
      </c>
      <c r="AT16" s="118"/>
      <c r="AU16" s="118">
        <f t="shared" si="6"/>
        <v>582.6528</v>
      </c>
      <c r="AV16" s="119">
        <v>293</v>
      </c>
      <c r="AW16" s="120">
        <v>0.3</v>
      </c>
      <c r="AX16" s="110">
        <f>AW16*1.12*1.18</f>
        <v>0.39648</v>
      </c>
      <c r="AY16" s="69"/>
      <c r="AZ16" s="113"/>
      <c r="BA16" s="113">
        <f t="shared" si="8"/>
        <v>0</v>
      </c>
      <c r="BB16" s="113">
        <f t="shared" si="9"/>
        <v>16650.506539649996</v>
      </c>
      <c r="BC16" s="125"/>
      <c r="BD16" s="115">
        <f t="shared" si="10"/>
        <v>16650.506539649996</v>
      </c>
      <c r="BE16" s="121">
        <f t="shared" si="11"/>
        <v>-10408.921539649997</v>
      </c>
      <c r="BF16" s="122">
        <f t="shared" si="12"/>
        <v>-1046.0400000000002</v>
      </c>
    </row>
    <row r="17" spans="1:58" ht="13.5" hidden="1" thickBot="1">
      <c r="A17" s="86" t="s">
        <v>50</v>
      </c>
      <c r="B17" s="173">
        <v>842.5</v>
      </c>
      <c r="C17" s="87">
        <f t="shared" si="0"/>
        <v>7287.625</v>
      </c>
      <c r="D17" s="88">
        <f t="shared" si="19"/>
        <v>4158.435</v>
      </c>
      <c r="E17" s="127">
        <v>367.86</v>
      </c>
      <c r="F17" s="127">
        <v>17.52</v>
      </c>
      <c r="G17" s="127">
        <v>498.29</v>
      </c>
      <c r="H17" s="127">
        <v>23.73</v>
      </c>
      <c r="I17" s="127">
        <v>1078.76</v>
      </c>
      <c r="J17" s="127">
        <v>51.38</v>
      </c>
      <c r="K17" s="127">
        <v>747.74</v>
      </c>
      <c r="L17" s="127">
        <v>35.61</v>
      </c>
      <c r="M17" s="128">
        <v>294.29</v>
      </c>
      <c r="N17" s="129">
        <v>14.01</v>
      </c>
      <c r="O17" s="130">
        <v>0</v>
      </c>
      <c r="P17" s="130">
        <v>0</v>
      </c>
      <c r="Q17" s="130">
        <v>0</v>
      </c>
      <c r="R17" s="130">
        <v>0</v>
      </c>
      <c r="S17" s="127">
        <f t="shared" si="13"/>
        <v>2986.94</v>
      </c>
      <c r="T17" s="131">
        <f t="shared" si="14"/>
        <v>142.25</v>
      </c>
      <c r="U17" s="127">
        <v>163.44</v>
      </c>
      <c r="V17" s="127">
        <v>221.33</v>
      </c>
      <c r="W17" s="127">
        <v>477.56</v>
      </c>
      <c r="X17" s="127">
        <v>330.98</v>
      </c>
      <c r="Y17" s="130">
        <v>130.76</v>
      </c>
      <c r="Z17" s="127">
        <v>0</v>
      </c>
      <c r="AA17" s="130">
        <v>0</v>
      </c>
      <c r="AB17" s="90">
        <f t="shared" si="15"/>
        <v>1324.07</v>
      </c>
      <c r="AC17" s="132">
        <f t="shared" si="16"/>
        <v>5624.755</v>
      </c>
      <c r="AD17" s="133">
        <f t="shared" si="17"/>
        <v>0</v>
      </c>
      <c r="AE17" s="133">
        <f t="shared" si="18"/>
        <v>0</v>
      </c>
      <c r="AF17" s="133"/>
      <c r="AG17" s="127">
        <f t="shared" si="20"/>
        <v>505.5</v>
      </c>
      <c r="AH17" s="127">
        <f>B17*0.2*0.9997</f>
        <v>168.44945</v>
      </c>
      <c r="AI17" s="127">
        <f>0.85*B17*0.98509</f>
        <v>705.44757625</v>
      </c>
      <c r="AJ17" s="127">
        <f t="shared" si="1"/>
        <v>126.980563725</v>
      </c>
      <c r="AK17" s="127">
        <f>0.83*B17*0.98981</f>
        <v>692.14938775</v>
      </c>
      <c r="AL17" s="127">
        <f t="shared" si="2"/>
        <v>124.58688979499999</v>
      </c>
      <c r="AM17" s="127">
        <f>(1.91)*B17*0.9898</f>
        <v>1592.761415</v>
      </c>
      <c r="AN17" s="127">
        <f t="shared" si="3"/>
        <v>286.69705469999997</v>
      </c>
      <c r="AO17" s="127"/>
      <c r="AP17" s="127">
        <f t="shared" si="4"/>
        <v>0</v>
      </c>
      <c r="AQ17" s="134"/>
      <c r="AR17" s="134">
        <f t="shared" si="5"/>
        <v>0</v>
      </c>
      <c r="AS17" s="167"/>
      <c r="AT17" s="135"/>
      <c r="AU17" s="135">
        <f t="shared" si="6"/>
        <v>0</v>
      </c>
      <c r="AV17" s="136">
        <v>349</v>
      </c>
      <c r="AW17" s="137">
        <v>0.3</v>
      </c>
      <c r="AX17" s="127">
        <f>AW17*1.12*1.18</f>
        <v>0.39648</v>
      </c>
      <c r="AY17" s="91"/>
      <c r="AZ17" s="130"/>
      <c r="BA17" s="130">
        <f t="shared" si="8"/>
        <v>0</v>
      </c>
      <c r="BB17" s="130">
        <f t="shared" si="9"/>
        <v>4202.96881722</v>
      </c>
      <c r="BC17" s="138"/>
      <c r="BD17" s="141">
        <f t="shared" si="10"/>
        <v>4202.96881722</v>
      </c>
      <c r="BE17" s="139">
        <f t="shared" si="11"/>
        <v>1421.7861827799998</v>
      </c>
      <c r="BF17" s="142">
        <f t="shared" si="12"/>
        <v>-1662.8700000000001</v>
      </c>
    </row>
    <row r="18" spans="1:58" ht="12.75" hidden="1">
      <c r="A18" s="144" t="s">
        <v>38</v>
      </c>
      <c r="B18" s="171">
        <v>842.5</v>
      </c>
      <c r="C18" s="63">
        <f>B18*8.65</f>
        <v>7287.625</v>
      </c>
      <c r="D18" s="68">
        <f t="shared" si="19"/>
        <v>4158.455</v>
      </c>
      <c r="E18" s="157">
        <v>367.86</v>
      </c>
      <c r="F18" s="148">
        <v>17.52</v>
      </c>
      <c r="G18" s="148">
        <v>498.29</v>
      </c>
      <c r="H18" s="148">
        <v>23.73</v>
      </c>
      <c r="I18" s="148">
        <f>1078.76-0.01</f>
        <v>1078.75</v>
      </c>
      <c r="J18" s="148">
        <v>51.39</v>
      </c>
      <c r="K18" s="148">
        <f>747.74-0.01</f>
        <v>747.73</v>
      </c>
      <c r="L18" s="148">
        <v>35.61</v>
      </c>
      <c r="M18" s="148">
        <f>294.29-0.01</f>
        <v>294.28000000000003</v>
      </c>
      <c r="N18" s="143">
        <v>14.01</v>
      </c>
      <c r="O18" s="143">
        <v>0</v>
      </c>
      <c r="P18" s="143">
        <v>0</v>
      </c>
      <c r="Q18" s="148">
        <v>0</v>
      </c>
      <c r="R18" s="148">
        <v>0</v>
      </c>
      <c r="S18" s="148">
        <f>E18+G18+I18+K18+M18+O18+Q18</f>
        <v>2986.9100000000003</v>
      </c>
      <c r="T18" s="149">
        <f>P18+N18+L18+J18+H18+F18+R18</f>
        <v>142.26</v>
      </c>
      <c r="U18" s="158">
        <f>315.23+65.58</f>
        <v>380.81</v>
      </c>
      <c r="V18" s="148">
        <f>426.78+88.88</f>
        <v>515.66</v>
      </c>
      <c r="W18" s="148">
        <f>924.32+192.36</f>
        <v>1116.68</v>
      </c>
      <c r="X18" s="148">
        <f>640.66+133.34</f>
        <v>774</v>
      </c>
      <c r="Y18" s="143">
        <f>252.2+52.46</f>
        <v>304.65999999999997</v>
      </c>
      <c r="Z18" s="148">
        <v>0</v>
      </c>
      <c r="AA18" s="143">
        <v>0</v>
      </c>
      <c r="AB18" s="143">
        <f>SUM(U18:AA18)</f>
        <v>3091.81</v>
      </c>
      <c r="AC18" s="150">
        <f>AB18+T18+D18</f>
        <v>7392.525</v>
      </c>
      <c r="AD18" s="148">
        <f>P18+Z18</f>
        <v>0</v>
      </c>
      <c r="AE18" s="148">
        <f>R18+AA18</f>
        <v>0</v>
      </c>
      <c r="AF18" s="148"/>
      <c r="AG18" s="148">
        <f t="shared" si="20"/>
        <v>505.5</v>
      </c>
      <c r="AH18" s="148">
        <f>B18*0.2</f>
        <v>168.5</v>
      </c>
      <c r="AI18" s="148">
        <f>0.847*B18</f>
        <v>713.5975</v>
      </c>
      <c r="AJ18" s="148">
        <f>AI18*0.18</f>
        <v>128.44754999999998</v>
      </c>
      <c r="AK18" s="148">
        <f>(0.83*B18)</f>
        <v>699.275</v>
      </c>
      <c r="AL18" s="148">
        <f>AK18*0.18</f>
        <v>125.86949999999999</v>
      </c>
      <c r="AM18" s="148">
        <f>(2.25/1.18)*B18</f>
        <v>1606.4618644067798</v>
      </c>
      <c r="AN18" s="148">
        <f>AM18*0.18</f>
        <v>289.1631355932204</v>
      </c>
      <c r="AO18" s="148"/>
      <c r="AP18" s="148">
        <f>AO18*0.18</f>
        <v>0</v>
      </c>
      <c r="AQ18" s="151"/>
      <c r="AR18" s="151">
        <f>AQ18*0.18</f>
        <v>0</v>
      </c>
      <c r="AS18" s="152">
        <v>0</v>
      </c>
      <c r="AT18" s="172"/>
      <c r="AU18" s="152">
        <f>(AS18+AT18)*0.18</f>
        <v>0</v>
      </c>
      <c r="AV18" s="153">
        <v>425</v>
      </c>
      <c r="AW18" s="154">
        <v>0.3</v>
      </c>
      <c r="AX18" s="148">
        <f>AV18*AW18*1.12*1.18</f>
        <v>168.504</v>
      </c>
      <c r="AY18" s="155"/>
      <c r="AZ18" s="143"/>
      <c r="BA18" s="143">
        <f t="shared" si="8"/>
        <v>0</v>
      </c>
      <c r="BB18" s="143">
        <f>SUM(AG18:AU18)+AX18+AY18+AZ18+BA18</f>
        <v>4405.31855</v>
      </c>
      <c r="BC18" s="159"/>
      <c r="BD18" s="145">
        <f t="shared" si="10"/>
        <v>4405.31855</v>
      </c>
      <c r="BE18" s="156">
        <f t="shared" si="11"/>
        <v>2987.2064499999997</v>
      </c>
      <c r="BF18" s="156">
        <f t="shared" si="12"/>
        <v>104.89999999999964</v>
      </c>
    </row>
    <row r="19" spans="1:58" ht="12.75" hidden="1">
      <c r="A19" s="9" t="s">
        <v>39</v>
      </c>
      <c r="B19" s="162">
        <v>842.5</v>
      </c>
      <c r="C19" s="62">
        <f>B19*8.65</f>
        <v>7287.625</v>
      </c>
      <c r="D19" s="94">
        <f t="shared" si="19"/>
        <v>4165.635</v>
      </c>
      <c r="E19" s="110">
        <v>339.96</v>
      </c>
      <c r="F19" s="110">
        <v>44.52</v>
      </c>
      <c r="G19" s="110">
        <v>460.52</v>
      </c>
      <c r="H19" s="110">
        <v>60.33</v>
      </c>
      <c r="I19" s="110">
        <v>996.95</v>
      </c>
      <c r="J19" s="110">
        <v>130.58</v>
      </c>
      <c r="K19" s="110">
        <v>691.04</v>
      </c>
      <c r="L19" s="110">
        <v>90.51</v>
      </c>
      <c r="M19" s="111">
        <v>271.97</v>
      </c>
      <c r="N19" s="112">
        <v>35.61</v>
      </c>
      <c r="O19" s="113">
        <v>0</v>
      </c>
      <c r="P19" s="113">
        <v>0</v>
      </c>
      <c r="Q19" s="113">
        <v>0</v>
      </c>
      <c r="R19" s="113">
        <v>0</v>
      </c>
      <c r="S19" s="110">
        <f>E19+G19+I19+K19+M19+O19+Q19</f>
        <v>2760.4400000000005</v>
      </c>
      <c r="T19" s="114">
        <f>P19+N19+L19+J19+H19+F19+R19</f>
        <v>361.55</v>
      </c>
      <c r="U19" s="110">
        <v>180.34</v>
      </c>
      <c r="V19" s="110">
        <v>244.21</v>
      </c>
      <c r="W19" s="110">
        <v>528.83</v>
      </c>
      <c r="X19" s="110">
        <v>366.52</v>
      </c>
      <c r="Y19" s="113">
        <v>144.29</v>
      </c>
      <c r="Z19" s="110">
        <v>0</v>
      </c>
      <c r="AA19" s="113">
        <v>0</v>
      </c>
      <c r="AB19" s="113">
        <f>SUM(U19:AA19)</f>
        <v>1464.19</v>
      </c>
      <c r="AC19" s="116">
        <f>D19+T19+AB19</f>
        <v>5991.375</v>
      </c>
      <c r="AD19" s="117">
        <f>P19+Z19</f>
        <v>0</v>
      </c>
      <c r="AE19" s="117">
        <f>R19+AA19</f>
        <v>0</v>
      </c>
      <c r="AF19" s="117"/>
      <c r="AG19" s="110">
        <f t="shared" si="20"/>
        <v>505.5</v>
      </c>
      <c r="AH19" s="110">
        <f>B19*0.2</f>
        <v>168.5</v>
      </c>
      <c r="AI19" s="110">
        <f>0.85*B19</f>
        <v>716.125</v>
      </c>
      <c r="AJ19" s="110">
        <f>AI19*0.18</f>
        <v>128.9025</v>
      </c>
      <c r="AK19" s="110">
        <f>(0.83*B19)</f>
        <v>699.275</v>
      </c>
      <c r="AL19" s="110">
        <f>AK19*0.18</f>
        <v>125.86949999999999</v>
      </c>
      <c r="AM19" s="110">
        <f>(1.91)*B19</f>
        <v>1609.175</v>
      </c>
      <c r="AN19" s="110">
        <f>AM19*0.18</f>
        <v>289.6515</v>
      </c>
      <c r="AO19" s="110"/>
      <c r="AP19" s="110">
        <f>AO19*0.18</f>
        <v>0</v>
      </c>
      <c r="AQ19" s="124"/>
      <c r="AR19" s="124">
        <f>AQ19*0.18</f>
        <v>0</v>
      </c>
      <c r="AS19" s="118">
        <v>0</v>
      </c>
      <c r="AT19" s="160"/>
      <c r="AU19" s="118">
        <f>(AS19+AT19)*0.18</f>
        <v>0</v>
      </c>
      <c r="AV19" s="119">
        <v>470</v>
      </c>
      <c r="AW19" s="120">
        <v>0.3</v>
      </c>
      <c r="AX19" s="110">
        <f>AV19*AW19*1.12*1.18</f>
        <v>186.34560000000002</v>
      </c>
      <c r="AY19" s="69"/>
      <c r="AZ19" s="113"/>
      <c r="BA19" s="113">
        <f t="shared" si="8"/>
        <v>0</v>
      </c>
      <c r="BB19" s="113">
        <f>SUM(AG19:AU19)+AX19+AY19+AZ19+BA19</f>
        <v>4429.344099999999</v>
      </c>
      <c r="BC19" s="140"/>
      <c r="BD19" s="146">
        <f t="shared" si="10"/>
        <v>4429.344099999999</v>
      </c>
      <c r="BE19" s="121">
        <f t="shared" si="11"/>
        <v>1562.0309000000007</v>
      </c>
      <c r="BF19" s="121">
        <f t="shared" si="12"/>
        <v>-1296.2500000000005</v>
      </c>
    </row>
    <row r="20" spans="1:58" s="70" customFormat="1" ht="12.75" hidden="1">
      <c r="A20" s="71" t="s">
        <v>40</v>
      </c>
      <c r="B20" s="162">
        <v>842.5</v>
      </c>
      <c r="C20" s="62">
        <f>B20*8.65</f>
        <v>7287.625</v>
      </c>
      <c r="D20" s="94">
        <f t="shared" si="19"/>
        <v>4299.844999999999</v>
      </c>
      <c r="E20" s="110">
        <v>323.54</v>
      </c>
      <c r="F20" s="110">
        <v>31.02</v>
      </c>
      <c r="G20" s="110">
        <v>439</v>
      </c>
      <c r="H20" s="110">
        <v>42.03</v>
      </c>
      <c r="I20" s="110">
        <v>1012</v>
      </c>
      <c r="J20" s="110">
        <v>90.98</v>
      </c>
      <c r="K20" s="110">
        <v>702.5</v>
      </c>
      <c r="L20" s="110">
        <v>63.06</v>
      </c>
      <c r="M20" s="111">
        <v>258.84</v>
      </c>
      <c r="N20" s="112">
        <v>24.81</v>
      </c>
      <c r="O20" s="113">
        <v>0</v>
      </c>
      <c r="P20" s="113">
        <v>0</v>
      </c>
      <c r="Q20" s="113"/>
      <c r="R20" s="113"/>
      <c r="S20" s="110">
        <f>E20+G20+I20+K20+M20+O20+Q20</f>
        <v>2735.88</v>
      </c>
      <c r="T20" s="114">
        <f>P20+N20+L20+J20+H20+F20+R20</f>
        <v>251.90000000000003</v>
      </c>
      <c r="U20" s="110">
        <v>251.13</v>
      </c>
      <c r="V20" s="110">
        <v>340.13</v>
      </c>
      <c r="W20" s="110">
        <v>736.47</v>
      </c>
      <c r="X20" s="110">
        <v>510.51</v>
      </c>
      <c r="Y20" s="113">
        <v>200.91</v>
      </c>
      <c r="Z20" s="110">
        <v>0</v>
      </c>
      <c r="AA20" s="113">
        <v>0</v>
      </c>
      <c r="AB20" s="113">
        <f>SUM(U20:AA20)</f>
        <v>2039.15</v>
      </c>
      <c r="AC20" s="116">
        <f>D20+T20+AB20</f>
        <v>6590.894999999999</v>
      </c>
      <c r="AD20" s="117">
        <f>P20+Z20</f>
        <v>0</v>
      </c>
      <c r="AE20" s="117">
        <f>R20+AA20</f>
        <v>0</v>
      </c>
      <c r="AF20" s="117"/>
      <c r="AG20" s="110">
        <f t="shared" si="20"/>
        <v>505.5</v>
      </c>
      <c r="AH20" s="110">
        <f>B20*0.2</f>
        <v>168.5</v>
      </c>
      <c r="AI20" s="110">
        <f>0.85*B20</f>
        <v>716.125</v>
      </c>
      <c r="AJ20" s="110">
        <f>AI20*0.18</f>
        <v>128.9025</v>
      </c>
      <c r="AK20" s="110">
        <f>(0.83*B20)</f>
        <v>699.275</v>
      </c>
      <c r="AL20" s="110">
        <f>AK20*0.18</f>
        <v>125.86949999999999</v>
      </c>
      <c r="AM20" s="110">
        <f>(1.91)*B20</f>
        <v>1609.175</v>
      </c>
      <c r="AN20" s="110">
        <f>AM20*0.18</f>
        <v>289.6515</v>
      </c>
      <c r="AO20" s="110"/>
      <c r="AP20" s="110">
        <f>AO20*0.18</f>
        <v>0</v>
      </c>
      <c r="AQ20" s="124"/>
      <c r="AR20" s="124">
        <f>AQ20*0.18</f>
        <v>0</v>
      </c>
      <c r="AS20" s="118">
        <v>0</v>
      </c>
      <c r="AT20" s="160"/>
      <c r="AU20" s="118">
        <f>(AS20+AT20)*0.18</f>
        <v>0</v>
      </c>
      <c r="AV20" s="119">
        <v>514</v>
      </c>
      <c r="AW20" s="120">
        <v>0.3</v>
      </c>
      <c r="AX20" s="110">
        <f>AV20*AW20*1.12*1.18</f>
        <v>203.79072</v>
      </c>
      <c r="AY20" s="69"/>
      <c r="AZ20" s="113"/>
      <c r="BA20" s="113">
        <f t="shared" si="8"/>
        <v>0</v>
      </c>
      <c r="BB20" s="113">
        <f>SUM(AG20:BA20)-AV20-AW20</f>
        <v>4446.78922</v>
      </c>
      <c r="BC20" s="140"/>
      <c r="BD20" s="113">
        <f t="shared" si="10"/>
        <v>4446.78922</v>
      </c>
      <c r="BE20" s="121">
        <f t="shared" si="11"/>
        <v>2144.105779999999</v>
      </c>
      <c r="BF20" s="121">
        <f t="shared" si="12"/>
        <v>-696.73</v>
      </c>
    </row>
    <row r="21" spans="1:58" s="70" customFormat="1" ht="12.75" hidden="1">
      <c r="A21" s="71"/>
      <c r="B21" s="162"/>
      <c r="C21" s="62"/>
      <c r="D21" s="94"/>
      <c r="E21" s="110"/>
      <c r="F21" s="110"/>
      <c r="G21" s="110"/>
      <c r="H21" s="110"/>
      <c r="I21" s="110"/>
      <c r="J21" s="110"/>
      <c r="K21" s="110"/>
      <c r="L21" s="110"/>
      <c r="M21" s="111"/>
      <c r="N21" s="112"/>
      <c r="O21" s="113"/>
      <c r="P21" s="113"/>
      <c r="Q21" s="113"/>
      <c r="R21" s="113"/>
      <c r="S21" s="110"/>
      <c r="T21" s="178"/>
      <c r="U21" s="110"/>
      <c r="V21" s="110"/>
      <c r="W21" s="110"/>
      <c r="X21" s="110"/>
      <c r="Y21" s="113"/>
      <c r="Z21" s="110"/>
      <c r="AA21" s="113"/>
      <c r="AB21" s="113"/>
      <c r="AC21" s="116"/>
      <c r="AD21" s="117"/>
      <c r="AE21" s="117"/>
      <c r="AF21" s="117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4"/>
      <c r="AR21" s="124"/>
      <c r="AS21" s="118"/>
      <c r="AT21" s="160"/>
      <c r="AU21" s="118"/>
      <c r="AV21" s="119"/>
      <c r="AW21" s="120"/>
      <c r="AX21" s="110"/>
      <c r="AY21" s="69"/>
      <c r="AZ21" s="113"/>
      <c r="BA21" s="113"/>
      <c r="BB21" s="113"/>
      <c r="BC21" s="140"/>
      <c r="BD21" s="113"/>
      <c r="BE21" s="121"/>
      <c r="BF21" s="121"/>
    </row>
    <row r="22" spans="1:58" s="16" customFormat="1" ht="12.75" hidden="1">
      <c r="A22" s="13" t="s">
        <v>3</v>
      </c>
      <c r="B22" s="14"/>
      <c r="C22" s="14">
        <f>SUM(C9:C20)</f>
        <v>87451.5</v>
      </c>
      <c r="D22" s="14">
        <f aca="true" t="shared" si="21" ref="D22:BF22">SUM(D9:D20)</f>
        <v>37140.63250000001</v>
      </c>
      <c r="E22" s="14">
        <f t="shared" si="21"/>
        <v>4180.900000000001</v>
      </c>
      <c r="F22" s="14">
        <f t="shared" si="21"/>
        <v>253.18000000000004</v>
      </c>
      <c r="G22" s="14">
        <f t="shared" si="21"/>
        <v>5633.58</v>
      </c>
      <c r="H22" s="14">
        <f t="shared" si="21"/>
        <v>342.62</v>
      </c>
      <c r="I22" s="14">
        <f t="shared" si="21"/>
        <v>12048.95</v>
      </c>
      <c r="J22" s="14">
        <f t="shared" si="21"/>
        <v>726.57</v>
      </c>
      <c r="K22" s="14">
        <f t="shared" si="21"/>
        <v>8345.34</v>
      </c>
      <c r="L22" s="14">
        <f t="shared" si="21"/>
        <v>503.2300000000001</v>
      </c>
      <c r="M22" s="14">
        <f t="shared" si="21"/>
        <v>3344.6900000000005</v>
      </c>
      <c r="N22" s="14">
        <f t="shared" si="21"/>
        <v>202.51999999999998</v>
      </c>
      <c r="O22" s="14">
        <f t="shared" si="21"/>
        <v>0</v>
      </c>
      <c r="P22" s="14">
        <f t="shared" si="21"/>
        <v>0</v>
      </c>
      <c r="Q22" s="14">
        <f t="shared" si="21"/>
        <v>0</v>
      </c>
      <c r="R22" s="14">
        <f t="shared" si="21"/>
        <v>0</v>
      </c>
      <c r="S22" s="14">
        <f t="shared" si="21"/>
        <v>33553.46</v>
      </c>
      <c r="T22" s="14">
        <f t="shared" si="21"/>
        <v>2028.12</v>
      </c>
      <c r="U22" s="14">
        <f t="shared" si="21"/>
        <v>2957.48</v>
      </c>
      <c r="V22" s="14">
        <f t="shared" si="21"/>
        <v>3999.84</v>
      </c>
      <c r="W22" s="14">
        <f t="shared" si="21"/>
        <v>8353.4</v>
      </c>
      <c r="X22" s="14">
        <f t="shared" si="21"/>
        <v>5782.630000000001</v>
      </c>
      <c r="Y22" s="14">
        <f t="shared" si="21"/>
        <v>2366</v>
      </c>
      <c r="Z22" s="14">
        <f t="shared" si="21"/>
        <v>0</v>
      </c>
      <c r="AA22" s="14">
        <f t="shared" si="21"/>
        <v>0</v>
      </c>
      <c r="AB22" s="14">
        <f t="shared" si="21"/>
        <v>23459.350000000002</v>
      </c>
      <c r="AC22" s="14">
        <f t="shared" si="21"/>
        <v>62628.1025</v>
      </c>
      <c r="AD22" s="14">
        <f t="shared" si="21"/>
        <v>0</v>
      </c>
      <c r="AE22" s="14">
        <f t="shared" si="21"/>
        <v>0</v>
      </c>
      <c r="AF22" s="14">
        <f t="shared" si="21"/>
        <v>0</v>
      </c>
      <c r="AG22" s="14">
        <f t="shared" si="21"/>
        <v>5863.8</v>
      </c>
      <c r="AH22" s="14">
        <f t="shared" si="21"/>
        <v>1963.20361</v>
      </c>
      <c r="AI22" s="14">
        <f t="shared" si="21"/>
        <v>8197.764068749999</v>
      </c>
      <c r="AJ22" s="14">
        <f t="shared" si="21"/>
        <v>1475.597532375</v>
      </c>
      <c r="AK22" s="14">
        <f t="shared" si="21"/>
        <v>7968.245617749999</v>
      </c>
      <c r="AL22" s="14">
        <f t="shared" si="21"/>
        <v>1434.2842111950001</v>
      </c>
      <c r="AM22" s="14">
        <f t="shared" si="21"/>
        <v>18334.15782440678</v>
      </c>
      <c r="AN22" s="14">
        <f t="shared" si="21"/>
        <v>3300.14840839322</v>
      </c>
      <c r="AO22" s="14">
        <f t="shared" si="21"/>
        <v>0</v>
      </c>
      <c r="AP22" s="14">
        <f t="shared" si="21"/>
        <v>0</v>
      </c>
      <c r="AQ22" s="98">
        <f t="shared" si="21"/>
        <v>7311.36</v>
      </c>
      <c r="AR22" s="98">
        <f t="shared" si="21"/>
        <v>1316.0448</v>
      </c>
      <c r="AS22" s="15">
        <f t="shared" si="21"/>
        <v>66134.34</v>
      </c>
      <c r="AT22" s="15">
        <f t="shared" si="21"/>
        <v>0</v>
      </c>
      <c r="AU22" s="15">
        <f t="shared" si="21"/>
        <v>11904.181199999999</v>
      </c>
      <c r="AV22" s="14">
        <f t="shared" si="21"/>
        <v>4400</v>
      </c>
      <c r="AW22" s="14">
        <f t="shared" si="21"/>
        <v>3.599999999999999</v>
      </c>
      <c r="AX22" s="14">
        <f t="shared" si="21"/>
        <v>1490.7648</v>
      </c>
      <c r="AY22" s="14">
        <f t="shared" si="21"/>
        <v>0</v>
      </c>
      <c r="AZ22" s="14">
        <f t="shared" si="21"/>
        <v>0</v>
      </c>
      <c r="BA22" s="14">
        <f t="shared" si="21"/>
        <v>0</v>
      </c>
      <c r="BB22" s="14">
        <f t="shared" si="21"/>
        <v>136693.89207287</v>
      </c>
      <c r="BC22" s="14">
        <f t="shared" si="21"/>
        <v>0</v>
      </c>
      <c r="BD22" s="14">
        <f t="shared" si="21"/>
        <v>136693.89207287</v>
      </c>
      <c r="BE22" s="14">
        <f t="shared" si="21"/>
        <v>-74065.78957287</v>
      </c>
      <c r="BF22" s="14">
        <f t="shared" si="21"/>
        <v>-10094.109999999999</v>
      </c>
    </row>
    <row r="23" spans="1:58" ht="15" customHeight="1" hidden="1">
      <c r="A23" s="5" t="s">
        <v>90</v>
      </c>
      <c r="B23" s="72"/>
      <c r="C23" s="73"/>
      <c r="D23" s="7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6"/>
      <c r="Q23" s="77"/>
      <c r="R23" s="77"/>
      <c r="S23" s="77"/>
      <c r="T23" s="77"/>
      <c r="U23" s="78"/>
      <c r="V23" s="78"/>
      <c r="W23" s="78"/>
      <c r="X23" s="78"/>
      <c r="Y23" s="78"/>
      <c r="Z23" s="78"/>
      <c r="AA23" s="79"/>
      <c r="AB23" s="79"/>
      <c r="AC23" s="53"/>
      <c r="AD23" s="54"/>
      <c r="AE23" s="54"/>
      <c r="AF23" s="39"/>
      <c r="AG23" s="39"/>
      <c r="AH23" s="39"/>
      <c r="AI23" s="39"/>
      <c r="AJ23" s="39"/>
      <c r="AK23" s="39"/>
      <c r="AL23" s="39"/>
      <c r="AM23" s="39"/>
      <c r="AN23" s="45"/>
      <c r="AO23" s="45"/>
      <c r="AP23" s="45"/>
      <c r="AQ23" s="96"/>
      <c r="AR23" s="97"/>
      <c r="AS23" s="52"/>
      <c r="AT23" s="52"/>
      <c r="AU23" s="80"/>
      <c r="AV23" s="39"/>
      <c r="AW23" s="39"/>
      <c r="AX23" s="40"/>
      <c r="AY23" s="1"/>
      <c r="AZ23" s="1"/>
      <c r="BA23" s="1"/>
      <c r="BB23" s="1"/>
      <c r="BC23" s="1"/>
      <c r="BD23" s="1"/>
      <c r="BE23" s="1"/>
      <c r="BF23" s="81"/>
    </row>
    <row r="24" spans="1:58" ht="12.75" hidden="1">
      <c r="A24" s="71" t="s">
        <v>42</v>
      </c>
      <c r="B24" s="181">
        <v>842.5</v>
      </c>
      <c r="C24" s="182">
        <f aca="true" t="shared" si="22" ref="C24:C35">B24*8.65</f>
        <v>7287.625</v>
      </c>
      <c r="D24" s="183">
        <f aca="true" t="shared" si="23" ref="D24:D35">C24-E24-F24-G24-H24-I24-J24-K24-L24-M24-N24</f>
        <v>4165.634999999999</v>
      </c>
      <c r="E24" s="184">
        <v>353.46</v>
      </c>
      <c r="F24" s="184">
        <v>31.02</v>
      </c>
      <c r="G24" s="184">
        <v>478.82</v>
      </c>
      <c r="H24" s="184">
        <v>42.03</v>
      </c>
      <c r="I24" s="184">
        <v>1036.55</v>
      </c>
      <c r="J24" s="184">
        <v>90.98</v>
      </c>
      <c r="K24" s="184">
        <v>718.49</v>
      </c>
      <c r="L24" s="184">
        <v>63.06</v>
      </c>
      <c r="M24" s="174">
        <v>282.77</v>
      </c>
      <c r="N24" s="185">
        <v>24.81</v>
      </c>
      <c r="O24" s="186">
        <v>0</v>
      </c>
      <c r="P24" s="186">
        <v>0</v>
      </c>
      <c r="Q24" s="186"/>
      <c r="R24" s="186"/>
      <c r="S24" s="184">
        <f aca="true" t="shared" si="24" ref="S24:S35">E24+G24+I24+K24+M24+O24+Q24</f>
        <v>2870.0899999999997</v>
      </c>
      <c r="T24" s="187">
        <f aca="true" t="shared" si="25" ref="T24:T35">P24+N24+L24+J24+H24+F24+R24</f>
        <v>251.90000000000003</v>
      </c>
      <c r="U24" s="184">
        <v>134.62</v>
      </c>
      <c r="V24" s="184">
        <v>182.4</v>
      </c>
      <c r="W24" s="184">
        <v>394.82</v>
      </c>
      <c r="X24" s="184">
        <v>273.68</v>
      </c>
      <c r="Y24" s="186">
        <v>107.71</v>
      </c>
      <c r="Z24" s="184">
        <v>0</v>
      </c>
      <c r="AA24" s="186">
        <v>0</v>
      </c>
      <c r="AB24" s="186">
        <f>SUM(U24:AA24)</f>
        <v>1093.23</v>
      </c>
      <c r="AC24" s="188">
        <f aca="true" t="shared" si="26" ref="AC24:AC35">D24+T24+AB24</f>
        <v>5510.764999999999</v>
      </c>
      <c r="AD24" s="189">
        <f aca="true" t="shared" si="27" ref="AD24:AD35">P24+Z24</f>
        <v>0</v>
      </c>
      <c r="AE24" s="189">
        <f aca="true" t="shared" si="28" ref="AE24:AE35">R24+AA24</f>
        <v>0</v>
      </c>
      <c r="AF24" s="189"/>
      <c r="AG24" s="190">
        <f aca="true" t="shared" si="29" ref="AG24:AG35">0.6*B24</f>
        <v>505.5</v>
      </c>
      <c r="AH24" s="190">
        <f aca="true" t="shared" si="30" ref="AH24:AH35">B24*0.2</f>
        <v>168.5</v>
      </c>
      <c r="AI24" s="190">
        <f aca="true" t="shared" si="31" ref="AI24:AI35">1*B24</f>
        <v>842.5</v>
      </c>
      <c r="AJ24" s="190">
        <v>0</v>
      </c>
      <c r="AK24" s="190">
        <f aca="true" t="shared" si="32" ref="AK24:AK35">0.98*B24</f>
        <v>825.65</v>
      </c>
      <c r="AL24" s="190">
        <v>0</v>
      </c>
      <c r="AM24" s="190">
        <f aca="true" t="shared" si="33" ref="AM24:AM35">2.25*B24</f>
        <v>1895.625</v>
      </c>
      <c r="AN24" s="190">
        <v>0</v>
      </c>
      <c r="AO24" s="190"/>
      <c r="AP24" s="190">
        <v>0</v>
      </c>
      <c r="AQ24" s="191"/>
      <c r="AR24" s="191"/>
      <c r="AS24" s="192">
        <v>0</v>
      </c>
      <c r="AT24" s="192"/>
      <c r="AU24" s="192">
        <f aca="true" t="shared" si="34" ref="AU24:AU35">AT24*0.18</f>
        <v>0</v>
      </c>
      <c r="AV24" s="193">
        <v>508</v>
      </c>
      <c r="AW24" s="194">
        <v>0.3</v>
      </c>
      <c r="AX24" s="190">
        <f>AV24*AW24*1.4</f>
        <v>213.35999999999999</v>
      </c>
      <c r="AY24" s="195"/>
      <c r="AZ24" s="196"/>
      <c r="BA24" s="196">
        <f aca="true" t="shared" si="35" ref="BA24:BA35">AZ24*0.18</f>
        <v>0</v>
      </c>
      <c r="BB24" s="196">
        <f aca="true" t="shared" si="36" ref="BB24:BB35">SUM(AG24:BA24)-AV24-AW24</f>
        <v>4451.134999999999</v>
      </c>
      <c r="BC24" s="197"/>
      <c r="BD24" s="107">
        <f aca="true" t="shared" si="37" ref="BD24:BD35">BB24-(AF24-BC24)</f>
        <v>4451.134999999999</v>
      </c>
      <c r="BE24" s="121">
        <f aca="true" t="shared" si="38" ref="BE24:BE35">(AC24-BB24)+(AF24-BC24)</f>
        <v>1059.63</v>
      </c>
      <c r="BF24" s="121">
        <f aca="true" t="shared" si="39" ref="BF24:BF35">AB24-S24</f>
        <v>-1776.8599999999997</v>
      </c>
    </row>
    <row r="25" spans="1:58" ht="12.75" hidden="1">
      <c r="A25" s="9" t="s">
        <v>43</v>
      </c>
      <c r="B25" s="181">
        <v>842.5</v>
      </c>
      <c r="C25" s="182">
        <f t="shared" si="22"/>
        <v>7287.625</v>
      </c>
      <c r="D25" s="183">
        <f t="shared" si="23"/>
        <v>4165.634999999999</v>
      </c>
      <c r="E25" s="198">
        <v>353.46</v>
      </c>
      <c r="F25" s="184">
        <v>31.02</v>
      </c>
      <c r="G25" s="184">
        <v>478.82</v>
      </c>
      <c r="H25" s="184">
        <v>42.03</v>
      </c>
      <c r="I25" s="184">
        <v>1036.55</v>
      </c>
      <c r="J25" s="184">
        <v>90.98</v>
      </c>
      <c r="K25" s="184">
        <v>718.49</v>
      </c>
      <c r="L25" s="184">
        <v>63.06</v>
      </c>
      <c r="M25" s="174">
        <v>282.77</v>
      </c>
      <c r="N25" s="185">
        <v>24.81</v>
      </c>
      <c r="O25" s="186">
        <v>0</v>
      </c>
      <c r="P25" s="186">
        <v>0</v>
      </c>
      <c r="Q25" s="186">
        <v>0</v>
      </c>
      <c r="R25" s="186">
        <v>0</v>
      </c>
      <c r="S25" s="184">
        <f t="shared" si="24"/>
        <v>2870.0899999999997</v>
      </c>
      <c r="T25" s="187">
        <f t="shared" si="25"/>
        <v>251.90000000000003</v>
      </c>
      <c r="U25" s="184">
        <v>330.86</v>
      </c>
      <c r="V25" s="184">
        <v>448.05</v>
      </c>
      <c r="W25" s="184">
        <v>967.57</v>
      </c>
      <c r="X25" s="184">
        <v>670.59</v>
      </c>
      <c r="Y25" s="186">
        <v>264.68</v>
      </c>
      <c r="Z25" s="184">
        <v>0</v>
      </c>
      <c r="AA25" s="186">
        <v>0</v>
      </c>
      <c r="AB25" s="186">
        <f>SUM(U25:AA25)</f>
        <v>2681.75</v>
      </c>
      <c r="AC25" s="188">
        <f t="shared" si="26"/>
        <v>7099.284999999999</v>
      </c>
      <c r="AD25" s="189">
        <f t="shared" si="27"/>
        <v>0</v>
      </c>
      <c r="AE25" s="189">
        <f t="shared" si="28"/>
        <v>0</v>
      </c>
      <c r="AF25" s="189"/>
      <c r="AG25" s="190">
        <f t="shared" si="29"/>
        <v>505.5</v>
      </c>
      <c r="AH25" s="190">
        <f t="shared" si="30"/>
        <v>168.5</v>
      </c>
      <c r="AI25" s="190">
        <f t="shared" si="31"/>
        <v>842.5</v>
      </c>
      <c r="AJ25" s="190">
        <v>0</v>
      </c>
      <c r="AK25" s="190">
        <f t="shared" si="32"/>
        <v>825.65</v>
      </c>
      <c r="AL25" s="190">
        <v>0</v>
      </c>
      <c r="AM25" s="190">
        <f t="shared" si="33"/>
        <v>1895.625</v>
      </c>
      <c r="AN25" s="190">
        <v>0</v>
      </c>
      <c r="AO25" s="190"/>
      <c r="AP25" s="190"/>
      <c r="AQ25" s="191"/>
      <c r="AR25" s="191"/>
      <c r="AS25" s="192"/>
      <c r="AT25" s="192"/>
      <c r="AU25" s="192">
        <f t="shared" si="34"/>
        <v>0</v>
      </c>
      <c r="AV25" s="193">
        <v>407</v>
      </c>
      <c r="AW25" s="194">
        <v>0.3</v>
      </c>
      <c r="AX25" s="190">
        <f>AV25*AW25*1.4</f>
        <v>170.93999999999997</v>
      </c>
      <c r="AY25" s="195"/>
      <c r="AZ25" s="196"/>
      <c r="BA25" s="196">
        <f t="shared" si="35"/>
        <v>0</v>
      </c>
      <c r="BB25" s="196">
        <f t="shared" si="36"/>
        <v>4408.714999999999</v>
      </c>
      <c r="BC25" s="197"/>
      <c r="BD25" s="107">
        <f t="shared" si="37"/>
        <v>4408.714999999999</v>
      </c>
      <c r="BE25" s="121">
        <f t="shared" si="38"/>
        <v>2690.5699999999997</v>
      </c>
      <c r="BF25" s="121">
        <f t="shared" si="39"/>
        <v>-188.3399999999997</v>
      </c>
    </row>
    <row r="26" spans="1:58" ht="13.5" hidden="1" thickBot="1">
      <c r="A26" s="86" t="s">
        <v>44</v>
      </c>
      <c r="B26" s="181">
        <v>842.5</v>
      </c>
      <c r="C26" s="182">
        <f t="shared" si="22"/>
        <v>7287.625</v>
      </c>
      <c r="D26" s="183">
        <f t="shared" si="23"/>
        <v>4082.804999999999</v>
      </c>
      <c r="E26" s="184">
        <v>364.16</v>
      </c>
      <c r="F26" s="184">
        <v>31.02</v>
      </c>
      <c r="G26" s="184">
        <v>493.27</v>
      </c>
      <c r="H26" s="184">
        <v>42.03</v>
      </c>
      <c r="I26" s="184">
        <v>1065.59</v>
      </c>
      <c r="J26" s="184">
        <v>90.98</v>
      </c>
      <c r="K26" s="184">
        <v>738.55</v>
      </c>
      <c r="L26" s="184">
        <v>63.06</v>
      </c>
      <c r="M26" s="174">
        <v>291.35</v>
      </c>
      <c r="N26" s="185">
        <v>24.81</v>
      </c>
      <c r="O26" s="186">
        <v>0</v>
      </c>
      <c r="P26" s="186">
        <v>0</v>
      </c>
      <c r="Q26" s="186">
        <v>0</v>
      </c>
      <c r="R26" s="186">
        <v>0</v>
      </c>
      <c r="S26" s="184">
        <f t="shared" si="24"/>
        <v>2952.9199999999996</v>
      </c>
      <c r="T26" s="187">
        <f t="shared" si="25"/>
        <v>251.90000000000003</v>
      </c>
      <c r="U26" s="184">
        <v>279.03</v>
      </c>
      <c r="V26" s="184">
        <v>377.95</v>
      </c>
      <c r="W26" s="184">
        <v>816.56</v>
      </c>
      <c r="X26" s="184">
        <v>565.99</v>
      </c>
      <c r="Y26" s="186">
        <v>223.23</v>
      </c>
      <c r="Z26" s="184">
        <v>0</v>
      </c>
      <c r="AA26" s="186">
        <v>0</v>
      </c>
      <c r="AB26" s="186">
        <f>SUM(U26:AA26)</f>
        <v>2262.7599999999998</v>
      </c>
      <c r="AC26" s="188">
        <f t="shared" si="26"/>
        <v>6597.464999999998</v>
      </c>
      <c r="AD26" s="189">
        <f t="shared" si="27"/>
        <v>0</v>
      </c>
      <c r="AE26" s="189">
        <f t="shared" si="28"/>
        <v>0</v>
      </c>
      <c r="AF26" s="189"/>
      <c r="AG26" s="190">
        <f t="shared" si="29"/>
        <v>505.5</v>
      </c>
      <c r="AH26" s="190">
        <f t="shared" si="30"/>
        <v>168.5</v>
      </c>
      <c r="AI26" s="190">
        <f t="shared" si="31"/>
        <v>842.5</v>
      </c>
      <c r="AJ26" s="190">
        <v>0</v>
      </c>
      <c r="AK26" s="190">
        <f t="shared" si="32"/>
        <v>825.65</v>
      </c>
      <c r="AL26" s="190">
        <v>0</v>
      </c>
      <c r="AM26" s="190">
        <f t="shared" si="33"/>
        <v>1895.625</v>
      </c>
      <c r="AN26" s="190">
        <v>0</v>
      </c>
      <c r="AO26" s="190"/>
      <c r="AP26" s="190"/>
      <c r="AQ26" s="191"/>
      <c r="AR26" s="191"/>
      <c r="AS26" s="192"/>
      <c r="AT26" s="192"/>
      <c r="AU26" s="192">
        <f t="shared" si="34"/>
        <v>0</v>
      </c>
      <c r="AV26" s="193">
        <v>383</v>
      </c>
      <c r="AW26" s="194">
        <v>0.3</v>
      </c>
      <c r="AX26" s="190">
        <f>AV26*AW26*1.4</f>
        <v>160.85999999999999</v>
      </c>
      <c r="AY26" s="195"/>
      <c r="AZ26" s="196"/>
      <c r="BA26" s="196">
        <f t="shared" si="35"/>
        <v>0</v>
      </c>
      <c r="BB26" s="196">
        <f t="shared" si="36"/>
        <v>4398.634999999999</v>
      </c>
      <c r="BC26" s="197"/>
      <c r="BD26" s="108">
        <f t="shared" si="37"/>
        <v>4398.634999999999</v>
      </c>
      <c r="BE26" s="121">
        <f t="shared" si="38"/>
        <v>2198.829999999999</v>
      </c>
      <c r="BF26" s="139">
        <f t="shared" si="39"/>
        <v>-690.1599999999999</v>
      </c>
    </row>
    <row r="27" spans="1:58" ht="12.75" hidden="1">
      <c r="A27" s="85" t="s">
        <v>45</v>
      </c>
      <c r="B27" s="181">
        <v>842.5</v>
      </c>
      <c r="C27" s="182">
        <f t="shared" si="22"/>
        <v>7287.625</v>
      </c>
      <c r="D27" s="199">
        <f t="shared" si="23"/>
        <v>4165.664999999999</v>
      </c>
      <c r="E27" s="184">
        <v>353.45</v>
      </c>
      <c r="F27" s="184">
        <v>31.02</v>
      </c>
      <c r="G27" s="184">
        <v>478.82</v>
      </c>
      <c r="H27" s="184">
        <v>42.03</v>
      </c>
      <c r="I27" s="184">
        <v>1036.55</v>
      </c>
      <c r="J27" s="184">
        <v>90.98</v>
      </c>
      <c r="K27" s="184">
        <v>718.48</v>
      </c>
      <c r="L27" s="184">
        <v>63.06</v>
      </c>
      <c r="M27" s="174">
        <v>282.76</v>
      </c>
      <c r="N27" s="185">
        <v>24.81</v>
      </c>
      <c r="O27" s="186">
        <v>0</v>
      </c>
      <c r="P27" s="186">
        <v>0</v>
      </c>
      <c r="Q27" s="186"/>
      <c r="R27" s="186"/>
      <c r="S27" s="184">
        <f t="shared" si="24"/>
        <v>2870.0600000000004</v>
      </c>
      <c r="T27" s="187">
        <f t="shared" si="25"/>
        <v>251.90000000000003</v>
      </c>
      <c r="U27" s="184">
        <v>200.22</v>
      </c>
      <c r="V27" s="184">
        <v>270.27</v>
      </c>
      <c r="W27" s="184">
        <v>538.97</v>
      </c>
      <c r="X27" s="184">
        <v>372.44</v>
      </c>
      <c r="Y27" s="186">
        <v>160.17</v>
      </c>
      <c r="Z27" s="184">
        <v>0</v>
      </c>
      <c r="AA27" s="186">
        <v>0</v>
      </c>
      <c r="AB27" s="186">
        <f>SUM(U27:AA27)</f>
        <v>1542.0700000000002</v>
      </c>
      <c r="AC27" s="188">
        <f t="shared" si="26"/>
        <v>5959.634999999998</v>
      </c>
      <c r="AD27" s="189">
        <f t="shared" si="27"/>
        <v>0</v>
      </c>
      <c r="AE27" s="189">
        <f t="shared" si="28"/>
        <v>0</v>
      </c>
      <c r="AF27" s="189"/>
      <c r="AG27" s="190">
        <f t="shared" si="29"/>
        <v>505.5</v>
      </c>
      <c r="AH27" s="190">
        <f t="shared" si="30"/>
        <v>168.5</v>
      </c>
      <c r="AI27" s="190">
        <f t="shared" si="31"/>
        <v>842.5</v>
      </c>
      <c r="AJ27" s="190">
        <v>0</v>
      </c>
      <c r="AK27" s="190">
        <f t="shared" si="32"/>
        <v>825.65</v>
      </c>
      <c r="AL27" s="190">
        <v>0</v>
      </c>
      <c r="AM27" s="190">
        <f t="shared" si="33"/>
        <v>1895.625</v>
      </c>
      <c r="AN27" s="190">
        <v>0</v>
      </c>
      <c r="AO27" s="190"/>
      <c r="AP27" s="190"/>
      <c r="AQ27" s="191"/>
      <c r="AR27" s="191"/>
      <c r="AS27" s="192"/>
      <c r="AT27" s="192"/>
      <c r="AU27" s="192">
        <f t="shared" si="34"/>
        <v>0</v>
      </c>
      <c r="AV27" s="193">
        <v>307</v>
      </c>
      <c r="AW27" s="194">
        <v>0.3</v>
      </c>
      <c r="AX27" s="190">
        <f>AV27*AW27*1.4</f>
        <v>128.94</v>
      </c>
      <c r="AY27" s="195"/>
      <c r="AZ27" s="196"/>
      <c r="BA27" s="196">
        <f t="shared" si="35"/>
        <v>0</v>
      </c>
      <c r="BB27" s="196">
        <f t="shared" si="36"/>
        <v>4366.714999999999</v>
      </c>
      <c r="BC27" s="197"/>
      <c r="BD27" s="113">
        <f t="shared" si="37"/>
        <v>4366.714999999999</v>
      </c>
      <c r="BE27" s="121">
        <f t="shared" si="38"/>
        <v>1592.9199999999992</v>
      </c>
      <c r="BF27" s="122">
        <f t="shared" si="39"/>
        <v>-1327.9900000000002</v>
      </c>
    </row>
    <row r="28" spans="1:58" ht="12.75" hidden="1">
      <c r="A28" s="9" t="s">
        <v>46</v>
      </c>
      <c r="B28" s="181">
        <v>842.5</v>
      </c>
      <c r="C28" s="182">
        <f t="shared" si="22"/>
        <v>7287.625</v>
      </c>
      <c r="D28" s="183">
        <f t="shared" si="23"/>
        <v>4165.675</v>
      </c>
      <c r="E28" s="184">
        <v>353.47</v>
      </c>
      <c r="F28" s="184">
        <v>30.99</v>
      </c>
      <c r="G28" s="184">
        <v>478.82</v>
      </c>
      <c r="H28" s="184">
        <v>42.03</v>
      </c>
      <c r="I28" s="184">
        <v>1036.58</v>
      </c>
      <c r="J28" s="184">
        <v>90.95</v>
      </c>
      <c r="K28" s="184">
        <v>718.47</v>
      </c>
      <c r="L28" s="184">
        <v>63.06</v>
      </c>
      <c r="M28" s="174">
        <v>282.77</v>
      </c>
      <c r="N28" s="185">
        <v>24.81</v>
      </c>
      <c r="O28" s="186">
        <v>0</v>
      </c>
      <c r="P28" s="186">
        <v>0</v>
      </c>
      <c r="Q28" s="186"/>
      <c r="R28" s="186"/>
      <c r="S28" s="184">
        <f t="shared" si="24"/>
        <v>2870.11</v>
      </c>
      <c r="T28" s="187">
        <f t="shared" si="25"/>
        <v>251.84</v>
      </c>
      <c r="U28" s="200">
        <v>176.9</v>
      </c>
      <c r="V28" s="200">
        <v>239.63</v>
      </c>
      <c r="W28" s="200">
        <v>517.75</v>
      </c>
      <c r="X28" s="200">
        <v>358.9</v>
      </c>
      <c r="Y28" s="201">
        <v>141.51</v>
      </c>
      <c r="Z28" s="200">
        <v>0</v>
      </c>
      <c r="AA28" s="201">
        <v>0</v>
      </c>
      <c r="AB28" s="186">
        <f aca="true" t="shared" si="40" ref="AB28:AB35">SUM(U28:AA28)</f>
        <v>1434.6899999999998</v>
      </c>
      <c r="AC28" s="188">
        <f t="shared" si="26"/>
        <v>5852.205</v>
      </c>
      <c r="AD28" s="189">
        <f t="shared" si="27"/>
        <v>0</v>
      </c>
      <c r="AE28" s="189">
        <f t="shared" si="28"/>
        <v>0</v>
      </c>
      <c r="AF28" s="189"/>
      <c r="AG28" s="190">
        <f t="shared" si="29"/>
        <v>505.5</v>
      </c>
      <c r="AH28" s="190">
        <f t="shared" si="30"/>
        <v>168.5</v>
      </c>
      <c r="AI28" s="190">
        <f t="shared" si="31"/>
        <v>842.5</v>
      </c>
      <c r="AJ28" s="190">
        <v>0</v>
      </c>
      <c r="AK28" s="190">
        <f t="shared" si="32"/>
        <v>825.65</v>
      </c>
      <c r="AL28" s="190">
        <v>0</v>
      </c>
      <c r="AM28" s="190">
        <f t="shared" si="33"/>
        <v>1895.625</v>
      </c>
      <c r="AN28" s="190">
        <v>0</v>
      </c>
      <c r="AO28" s="190"/>
      <c r="AP28" s="190"/>
      <c r="AQ28" s="191"/>
      <c r="AR28" s="191"/>
      <c r="AS28" s="192">
        <v>1294</v>
      </c>
      <c r="AT28" s="192"/>
      <c r="AU28" s="192">
        <f t="shared" si="34"/>
        <v>0</v>
      </c>
      <c r="AV28" s="193">
        <v>263</v>
      </c>
      <c r="AW28" s="194">
        <v>0.3</v>
      </c>
      <c r="AX28" s="190">
        <f>AV28*AW28*1.4</f>
        <v>110.45999999999998</v>
      </c>
      <c r="AY28" s="195"/>
      <c r="AZ28" s="196"/>
      <c r="BA28" s="196">
        <f t="shared" si="35"/>
        <v>0</v>
      </c>
      <c r="BB28" s="196">
        <f t="shared" si="36"/>
        <v>5642.235</v>
      </c>
      <c r="BC28" s="197"/>
      <c r="BD28" s="115">
        <f t="shared" si="37"/>
        <v>5642.235</v>
      </c>
      <c r="BE28" s="121">
        <f t="shared" si="38"/>
        <v>209.97000000000025</v>
      </c>
      <c r="BF28" s="121">
        <f t="shared" si="39"/>
        <v>-1435.4200000000003</v>
      </c>
    </row>
    <row r="29" spans="1:58" ht="13.5" hidden="1" thickBot="1">
      <c r="A29" s="86" t="s">
        <v>47</v>
      </c>
      <c r="B29" s="181">
        <v>842.5</v>
      </c>
      <c r="C29" s="182">
        <f t="shared" si="22"/>
        <v>7287.625</v>
      </c>
      <c r="D29" s="199">
        <f t="shared" si="23"/>
        <v>4165.675</v>
      </c>
      <c r="E29" s="184">
        <v>353.47</v>
      </c>
      <c r="F29" s="184">
        <v>30.99</v>
      </c>
      <c r="G29" s="184">
        <v>478.82</v>
      </c>
      <c r="H29" s="184">
        <v>42.03</v>
      </c>
      <c r="I29" s="184">
        <v>1036.58</v>
      </c>
      <c r="J29" s="184">
        <v>90.95</v>
      </c>
      <c r="K29" s="184">
        <v>718.47</v>
      </c>
      <c r="L29" s="184">
        <v>63.06</v>
      </c>
      <c r="M29" s="174">
        <v>282.77</v>
      </c>
      <c r="N29" s="185">
        <v>24.81</v>
      </c>
      <c r="O29" s="186">
        <v>0</v>
      </c>
      <c r="P29" s="186">
        <v>0</v>
      </c>
      <c r="Q29" s="186">
        <v>0</v>
      </c>
      <c r="R29" s="186">
        <v>0</v>
      </c>
      <c r="S29" s="184">
        <f t="shared" si="24"/>
        <v>2870.11</v>
      </c>
      <c r="T29" s="187">
        <f t="shared" si="25"/>
        <v>251.84</v>
      </c>
      <c r="U29" s="184">
        <v>261.15</v>
      </c>
      <c r="V29" s="184">
        <v>353.72</v>
      </c>
      <c r="W29" s="184">
        <v>764.89</v>
      </c>
      <c r="X29" s="184">
        <v>530.11</v>
      </c>
      <c r="Y29" s="186">
        <v>208.94</v>
      </c>
      <c r="Z29" s="184">
        <v>0</v>
      </c>
      <c r="AA29" s="186">
        <v>0</v>
      </c>
      <c r="AB29" s="186">
        <f t="shared" si="40"/>
        <v>2118.81</v>
      </c>
      <c r="AC29" s="188">
        <f t="shared" si="26"/>
        <v>6536.325000000001</v>
      </c>
      <c r="AD29" s="189">
        <f t="shared" si="27"/>
        <v>0</v>
      </c>
      <c r="AE29" s="189">
        <f t="shared" si="28"/>
        <v>0</v>
      </c>
      <c r="AF29" s="189"/>
      <c r="AG29" s="190">
        <f t="shared" si="29"/>
        <v>505.5</v>
      </c>
      <c r="AH29" s="190">
        <f t="shared" si="30"/>
        <v>168.5</v>
      </c>
      <c r="AI29" s="190">
        <f t="shared" si="31"/>
        <v>842.5</v>
      </c>
      <c r="AJ29" s="190">
        <v>0</v>
      </c>
      <c r="AK29" s="190">
        <f t="shared" si="32"/>
        <v>825.65</v>
      </c>
      <c r="AL29" s="190">
        <v>0</v>
      </c>
      <c r="AM29" s="190">
        <f t="shared" si="33"/>
        <v>1895.625</v>
      </c>
      <c r="AN29" s="190">
        <v>0</v>
      </c>
      <c r="AO29" s="190"/>
      <c r="AP29" s="190"/>
      <c r="AQ29" s="191"/>
      <c r="AR29" s="191"/>
      <c r="AS29" s="192"/>
      <c r="AT29" s="192"/>
      <c r="AU29" s="192">
        <f t="shared" si="34"/>
        <v>0</v>
      </c>
      <c r="AV29" s="193">
        <v>233</v>
      </c>
      <c r="AW29" s="194">
        <v>0.3</v>
      </c>
      <c r="AX29" s="190">
        <f aca="true" t="shared" si="41" ref="AX29:AX35">AV29*AW29*1.4</f>
        <v>97.85999999999999</v>
      </c>
      <c r="AY29" s="195"/>
      <c r="AZ29" s="196"/>
      <c r="BA29" s="196">
        <f t="shared" si="35"/>
        <v>0</v>
      </c>
      <c r="BB29" s="196">
        <f t="shared" si="36"/>
        <v>4335.634999999999</v>
      </c>
      <c r="BC29" s="197"/>
      <c r="BD29" s="141">
        <f t="shared" si="37"/>
        <v>4335.634999999999</v>
      </c>
      <c r="BE29" s="121">
        <f t="shared" si="38"/>
        <v>2200.6900000000014</v>
      </c>
      <c r="BF29" s="142">
        <f t="shared" si="39"/>
        <v>-751.3000000000002</v>
      </c>
    </row>
    <row r="30" spans="1:58" ht="12.75" hidden="1">
      <c r="A30" s="85" t="s">
        <v>48</v>
      </c>
      <c r="B30" s="181">
        <v>842.5</v>
      </c>
      <c r="C30" s="182">
        <f t="shared" si="22"/>
        <v>7287.625</v>
      </c>
      <c r="D30" s="199">
        <f t="shared" si="23"/>
        <v>4158.365</v>
      </c>
      <c r="E30" s="198">
        <v>385.36</v>
      </c>
      <c r="F30" s="184">
        <v>0</v>
      </c>
      <c r="G30" s="184">
        <v>522.04</v>
      </c>
      <c r="H30" s="184">
        <v>0</v>
      </c>
      <c r="I30" s="184">
        <v>1130.18</v>
      </c>
      <c r="J30" s="184">
        <v>0</v>
      </c>
      <c r="K30" s="184">
        <v>783.37</v>
      </c>
      <c r="L30" s="184">
        <v>0</v>
      </c>
      <c r="M30" s="174">
        <v>308.31</v>
      </c>
      <c r="N30" s="185">
        <v>0</v>
      </c>
      <c r="O30" s="186">
        <v>0</v>
      </c>
      <c r="P30" s="186">
        <v>0</v>
      </c>
      <c r="Q30" s="186"/>
      <c r="R30" s="186"/>
      <c r="S30" s="184">
        <f t="shared" si="24"/>
        <v>3129.2599999999998</v>
      </c>
      <c r="T30" s="187">
        <f t="shared" si="25"/>
        <v>0</v>
      </c>
      <c r="U30" s="198">
        <v>224.9</v>
      </c>
      <c r="V30" s="184">
        <v>304.71</v>
      </c>
      <c r="W30" s="184">
        <v>657.4</v>
      </c>
      <c r="X30" s="184">
        <v>455.71</v>
      </c>
      <c r="Y30" s="186">
        <v>179.9</v>
      </c>
      <c r="Z30" s="184">
        <v>0</v>
      </c>
      <c r="AA30" s="186">
        <v>0</v>
      </c>
      <c r="AB30" s="186">
        <f t="shared" si="40"/>
        <v>1822.6200000000001</v>
      </c>
      <c r="AC30" s="188">
        <f t="shared" si="26"/>
        <v>5980.985</v>
      </c>
      <c r="AD30" s="189">
        <f t="shared" si="27"/>
        <v>0</v>
      </c>
      <c r="AE30" s="189">
        <f t="shared" si="28"/>
        <v>0</v>
      </c>
      <c r="AF30" s="189"/>
      <c r="AG30" s="190">
        <f t="shared" si="29"/>
        <v>505.5</v>
      </c>
      <c r="AH30" s="190">
        <f t="shared" si="30"/>
        <v>168.5</v>
      </c>
      <c r="AI30" s="190">
        <f t="shared" si="31"/>
        <v>842.5</v>
      </c>
      <c r="AJ30" s="190">
        <v>0</v>
      </c>
      <c r="AK30" s="190">
        <f t="shared" si="32"/>
        <v>825.65</v>
      </c>
      <c r="AL30" s="190">
        <v>0</v>
      </c>
      <c r="AM30" s="190">
        <f t="shared" si="33"/>
        <v>1895.625</v>
      </c>
      <c r="AN30" s="190">
        <v>0</v>
      </c>
      <c r="AO30" s="190"/>
      <c r="AP30" s="190"/>
      <c r="AQ30" s="191"/>
      <c r="AR30" s="191"/>
      <c r="AS30" s="192"/>
      <c r="AT30" s="192"/>
      <c r="AU30" s="192">
        <f t="shared" si="34"/>
        <v>0</v>
      </c>
      <c r="AV30" s="193">
        <v>248</v>
      </c>
      <c r="AW30" s="194">
        <v>0.3</v>
      </c>
      <c r="AX30" s="190">
        <f t="shared" si="41"/>
        <v>104.15999999999998</v>
      </c>
      <c r="AY30" s="195"/>
      <c r="AZ30" s="196"/>
      <c r="BA30" s="196">
        <f t="shared" si="35"/>
        <v>0</v>
      </c>
      <c r="BB30" s="196">
        <f t="shared" si="36"/>
        <v>4341.9349999999995</v>
      </c>
      <c r="BC30" s="197"/>
      <c r="BD30" s="115">
        <f t="shared" si="37"/>
        <v>4341.9349999999995</v>
      </c>
      <c r="BE30" s="121">
        <f t="shared" si="38"/>
        <v>1639.0500000000002</v>
      </c>
      <c r="BF30" s="122">
        <f t="shared" si="39"/>
        <v>-1306.6399999999996</v>
      </c>
    </row>
    <row r="31" spans="1:58" ht="12.75" hidden="1">
      <c r="A31" s="9" t="s">
        <v>49</v>
      </c>
      <c r="B31" s="181">
        <v>842.5</v>
      </c>
      <c r="C31" s="182">
        <f t="shared" si="22"/>
        <v>7287.625</v>
      </c>
      <c r="D31" s="199">
        <f t="shared" si="23"/>
        <v>4158.344999999999</v>
      </c>
      <c r="E31" s="198">
        <v>385.38</v>
      </c>
      <c r="F31" s="184">
        <v>0</v>
      </c>
      <c r="G31" s="184">
        <v>522.04</v>
      </c>
      <c r="H31" s="184">
        <v>0</v>
      </c>
      <c r="I31" s="184">
        <v>1130.18</v>
      </c>
      <c r="J31" s="184">
        <v>0</v>
      </c>
      <c r="K31" s="184">
        <v>783.37</v>
      </c>
      <c r="L31" s="184">
        <v>0</v>
      </c>
      <c r="M31" s="174">
        <v>308.31</v>
      </c>
      <c r="N31" s="185">
        <v>0</v>
      </c>
      <c r="O31" s="186">
        <v>0</v>
      </c>
      <c r="P31" s="186">
        <v>0</v>
      </c>
      <c r="Q31" s="186"/>
      <c r="R31" s="186"/>
      <c r="S31" s="184">
        <f t="shared" si="24"/>
        <v>3129.2799999999997</v>
      </c>
      <c r="T31" s="187">
        <f t="shared" si="25"/>
        <v>0</v>
      </c>
      <c r="U31" s="200">
        <v>214.1</v>
      </c>
      <c r="V31" s="200">
        <v>290.06</v>
      </c>
      <c r="W31" s="200">
        <v>3027.87</v>
      </c>
      <c r="X31" s="200">
        <v>435.2</v>
      </c>
      <c r="Y31" s="201">
        <v>171.27</v>
      </c>
      <c r="Z31" s="200">
        <v>0</v>
      </c>
      <c r="AA31" s="201">
        <v>0</v>
      </c>
      <c r="AB31" s="186">
        <f t="shared" si="40"/>
        <v>4138.5</v>
      </c>
      <c r="AC31" s="188">
        <f t="shared" si="26"/>
        <v>8296.845</v>
      </c>
      <c r="AD31" s="189">
        <f t="shared" si="27"/>
        <v>0</v>
      </c>
      <c r="AE31" s="189">
        <f t="shared" si="28"/>
        <v>0</v>
      </c>
      <c r="AF31" s="189"/>
      <c r="AG31" s="190">
        <f t="shared" si="29"/>
        <v>505.5</v>
      </c>
      <c r="AH31" s="190">
        <f t="shared" si="30"/>
        <v>168.5</v>
      </c>
      <c r="AI31" s="190">
        <f t="shared" si="31"/>
        <v>842.5</v>
      </c>
      <c r="AJ31" s="190">
        <v>0</v>
      </c>
      <c r="AK31" s="190">
        <f t="shared" si="32"/>
        <v>825.65</v>
      </c>
      <c r="AL31" s="190">
        <v>0</v>
      </c>
      <c r="AM31" s="190">
        <f t="shared" si="33"/>
        <v>1895.625</v>
      </c>
      <c r="AN31" s="190">
        <v>0</v>
      </c>
      <c r="AO31" s="190"/>
      <c r="AP31" s="190"/>
      <c r="AQ31" s="191"/>
      <c r="AR31" s="191"/>
      <c r="AS31" s="192"/>
      <c r="AT31" s="192">
        <f>47.8</f>
        <v>47.8</v>
      </c>
      <c r="AU31" s="192">
        <v>0</v>
      </c>
      <c r="AV31" s="193">
        <v>293</v>
      </c>
      <c r="AW31" s="194">
        <v>0.3</v>
      </c>
      <c r="AX31" s="190">
        <f t="shared" si="41"/>
        <v>123.05999999999997</v>
      </c>
      <c r="AY31" s="195"/>
      <c r="AZ31" s="196"/>
      <c r="BA31" s="196">
        <f t="shared" si="35"/>
        <v>0</v>
      </c>
      <c r="BB31" s="196">
        <f t="shared" si="36"/>
        <v>4408.635</v>
      </c>
      <c r="BC31" s="197"/>
      <c r="BD31" s="115">
        <f t="shared" si="37"/>
        <v>4408.635</v>
      </c>
      <c r="BE31" s="121">
        <f t="shared" si="38"/>
        <v>3888.209999999999</v>
      </c>
      <c r="BF31" s="122">
        <f t="shared" si="39"/>
        <v>1009.2200000000003</v>
      </c>
    </row>
    <row r="32" spans="1:58" ht="13.5" hidden="1" thickBot="1">
      <c r="A32" s="86" t="s">
        <v>50</v>
      </c>
      <c r="B32" s="181">
        <v>842.5</v>
      </c>
      <c r="C32" s="182">
        <f t="shared" si="22"/>
        <v>7287.625</v>
      </c>
      <c r="D32" s="199">
        <f t="shared" si="23"/>
        <v>4158.365</v>
      </c>
      <c r="E32" s="184">
        <v>385.37</v>
      </c>
      <c r="F32" s="184">
        <v>0</v>
      </c>
      <c r="G32" s="184">
        <v>522.04</v>
      </c>
      <c r="H32" s="184">
        <v>0</v>
      </c>
      <c r="I32" s="184">
        <v>1130.18</v>
      </c>
      <c r="J32" s="184">
        <v>0</v>
      </c>
      <c r="K32" s="184">
        <v>783.37</v>
      </c>
      <c r="L32" s="184">
        <v>0</v>
      </c>
      <c r="M32" s="174">
        <v>308.3</v>
      </c>
      <c r="N32" s="185">
        <v>0</v>
      </c>
      <c r="O32" s="186">
        <v>0</v>
      </c>
      <c r="P32" s="186">
        <v>0</v>
      </c>
      <c r="Q32" s="186"/>
      <c r="R32" s="186"/>
      <c r="S32" s="184">
        <f t="shared" si="24"/>
        <v>3129.26</v>
      </c>
      <c r="T32" s="187">
        <f t="shared" si="25"/>
        <v>0</v>
      </c>
      <c r="U32" s="184">
        <v>334.53</v>
      </c>
      <c r="V32" s="184">
        <v>453.08</v>
      </c>
      <c r="W32" s="184">
        <v>979.34</v>
      </c>
      <c r="X32" s="184">
        <v>678.73</v>
      </c>
      <c r="Y32" s="186">
        <v>267.62</v>
      </c>
      <c r="Z32" s="184">
        <v>0</v>
      </c>
      <c r="AA32" s="186">
        <v>0</v>
      </c>
      <c r="AB32" s="186">
        <f t="shared" si="40"/>
        <v>2713.2999999999997</v>
      </c>
      <c r="AC32" s="188">
        <f t="shared" si="26"/>
        <v>6871.664999999999</v>
      </c>
      <c r="AD32" s="189">
        <f t="shared" si="27"/>
        <v>0</v>
      </c>
      <c r="AE32" s="189">
        <f t="shared" si="28"/>
        <v>0</v>
      </c>
      <c r="AF32" s="189"/>
      <c r="AG32" s="190">
        <f t="shared" si="29"/>
        <v>505.5</v>
      </c>
      <c r="AH32" s="190">
        <f t="shared" si="30"/>
        <v>168.5</v>
      </c>
      <c r="AI32" s="190">
        <f t="shared" si="31"/>
        <v>842.5</v>
      </c>
      <c r="AJ32" s="190">
        <v>0</v>
      </c>
      <c r="AK32" s="190">
        <f t="shared" si="32"/>
        <v>825.65</v>
      </c>
      <c r="AL32" s="190">
        <v>0</v>
      </c>
      <c r="AM32" s="190">
        <f t="shared" si="33"/>
        <v>1895.625</v>
      </c>
      <c r="AN32" s="190">
        <v>0</v>
      </c>
      <c r="AO32" s="190"/>
      <c r="AP32" s="190"/>
      <c r="AQ32" s="191"/>
      <c r="AR32" s="191"/>
      <c r="AS32" s="192"/>
      <c r="AT32" s="192"/>
      <c r="AU32" s="202">
        <f t="shared" si="34"/>
        <v>0</v>
      </c>
      <c r="AV32" s="193">
        <v>349</v>
      </c>
      <c r="AW32" s="194">
        <v>0.3</v>
      </c>
      <c r="AX32" s="190">
        <f t="shared" si="41"/>
        <v>146.57999999999998</v>
      </c>
      <c r="AY32" s="195"/>
      <c r="AZ32" s="196"/>
      <c r="BA32" s="196">
        <f t="shared" si="35"/>
        <v>0</v>
      </c>
      <c r="BB32" s="196">
        <f t="shared" si="36"/>
        <v>4384.355</v>
      </c>
      <c r="BC32" s="197"/>
      <c r="BD32" s="141">
        <f t="shared" si="37"/>
        <v>4384.355</v>
      </c>
      <c r="BE32" s="121">
        <f t="shared" si="38"/>
        <v>2487.3099999999995</v>
      </c>
      <c r="BF32" s="142">
        <f t="shared" si="39"/>
        <v>-415.9600000000005</v>
      </c>
    </row>
    <row r="33" spans="1:58" ht="12.75" hidden="1">
      <c r="A33" s="144" t="s">
        <v>38</v>
      </c>
      <c r="B33" s="181">
        <v>842.5</v>
      </c>
      <c r="C33" s="182">
        <f t="shared" si="22"/>
        <v>7287.625</v>
      </c>
      <c r="D33" s="199">
        <f t="shared" si="23"/>
        <v>4158.344999999999</v>
      </c>
      <c r="E33" s="203">
        <v>385.38</v>
      </c>
      <c r="F33" s="203">
        <v>0</v>
      </c>
      <c r="G33" s="203">
        <v>522.04</v>
      </c>
      <c r="H33" s="203">
        <v>0</v>
      </c>
      <c r="I33" s="203">
        <v>1130.18</v>
      </c>
      <c r="J33" s="203">
        <v>0</v>
      </c>
      <c r="K33" s="203">
        <v>783.37</v>
      </c>
      <c r="L33" s="203">
        <v>0</v>
      </c>
      <c r="M33" s="204">
        <v>308.31</v>
      </c>
      <c r="N33" s="205">
        <v>0</v>
      </c>
      <c r="O33" s="206">
        <v>0</v>
      </c>
      <c r="P33" s="206">
        <v>0</v>
      </c>
      <c r="Q33" s="206"/>
      <c r="R33" s="206"/>
      <c r="S33" s="184">
        <f t="shared" si="24"/>
        <v>3129.2799999999997</v>
      </c>
      <c r="T33" s="187">
        <f t="shared" si="25"/>
        <v>0</v>
      </c>
      <c r="U33" s="184">
        <v>264.87</v>
      </c>
      <c r="V33" s="184">
        <v>358.75</v>
      </c>
      <c r="W33" s="184">
        <v>775.88</v>
      </c>
      <c r="X33" s="184">
        <v>537.82</v>
      </c>
      <c r="Y33" s="186">
        <v>211.89</v>
      </c>
      <c r="Z33" s="184">
        <v>0</v>
      </c>
      <c r="AA33" s="186">
        <v>0</v>
      </c>
      <c r="AB33" s="186">
        <f t="shared" si="40"/>
        <v>2149.21</v>
      </c>
      <c r="AC33" s="188">
        <f t="shared" si="26"/>
        <v>6307.554999999999</v>
      </c>
      <c r="AD33" s="189">
        <f t="shared" si="27"/>
        <v>0</v>
      </c>
      <c r="AE33" s="189">
        <f t="shared" si="28"/>
        <v>0</v>
      </c>
      <c r="AF33" s="189"/>
      <c r="AG33" s="190">
        <f t="shared" si="29"/>
        <v>505.5</v>
      </c>
      <c r="AH33" s="190">
        <f t="shared" si="30"/>
        <v>168.5</v>
      </c>
      <c r="AI33" s="190">
        <f t="shared" si="31"/>
        <v>842.5</v>
      </c>
      <c r="AJ33" s="190">
        <v>0</v>
      </c>
      <c r="AK33" s="190">
        <f t="shared" si="32"/>
        <v>825.65</v>
      </c>
      <c r="AL33" s="190">
        <v>0</v>
      </c>
      <c r="AM33" s="190">
        <f t="shared" si="33"/>
        <v>1895.625</v>
      </c>
      <c r="AN33" s="190">
        <v>0</v>
      </c>
      <c r="AO33" s="190"/>
      <c r="AP33" s="190"/>
      <c r="AQ33" s="191"/>
      <c r="AR33" s="191"/>
      <c r="AS33" s="192"/>
      <c r="AT33" s="192"/>
      <c r="AU33" s="192">
        <f t="shared" si="34"/>
        <v>0</v>
      </c>
      <c r="AV33" s="193">
        <v>425</v>
      </c>
      <c r="AW33" s="194">
        <v>0.3</v>
      </c>
      <c r="AX33" s="190">
        <f t="shared" si="41"/>
        <v>178.5</v>
      </c>
      <c r="AY33" s="195"/>
      <c r="AZ33" s="196"/>
      <c r="BA33" s="196">
        <f t="shared" si="35"/>
        <v>0</v>
      </c>
      <c r="BB33" s="196">
        <f t="shared" si="36"/>
        <v>4416.275</v>
      </c>
      <c r="BC33" s="197"/>
      <c r="BD33" s="145">
        <f t="shared" si="37"/>
        <v>4416.275</v>
      </c>
      <c r="BE33" s="121">
        <f t="shared" si="38"/>
        <v>1891.2799999999997</v>
      </c>
      <c r="BF33" s="156">
        <f t="shared" si="39"/>
        <v>-980.0699999999997</v>
      </c>
    </row>
    <row r="34" spans="1:58" ht="12.75" hidden="1">
      <c r="A34" s="9" t="s">
        <v>39</v>
      </c>
      <c r="B34" s="181">
        <v>842.5</v>
      </c>
      <c r="C34" s="182">
        <f t="shared" si="22"/>
        <v>7287.625</v>
      </c>
      <c r="D34" s="199">
        <f t="shared" si="23"/>
        <v>4166.345</v>
      </c>
      <c r="E34" s="184">
        <v>384.38</v>
      </c>
      <c r="F34" s="184">
        <v>0</v>
      </c>
      <c r="G34" s="184">
        <v>520.74</v>
      </c>
      <c r="H34" s="184">
        <v>0</v>
      </c>
      <c r="I34" s="184">
        <v>1127.28</v>
      </c>
      <c r="J34" s="184">
        <v>0</v>
      </c>
      <c r="K34" s="184">
        <v>781.37</v>
      </c>
      <c r="L34" s="184">
        <v>0</v>
      </c>
      <c r="M34" s="174">
        <v>307.51</v>
      </c>
      <c r="N34" s="185">
        <v>0</v>
      </c>
      <c r="O34" s="186">
        <v>0</v>
      </c>
      <c r="P34" s="186">
        <v>0</v>
      </c>
      <c r="Q34" s="186"/>
      <c r="R34" s="186"/>
      <c r="S34" s="184">
        <f t="shared" si="24"/>
        <v>3121.2799999999997</v>
      </c>
      <c r="T34" s="187">
        <f t="shared" si="25"/>
        <v>0</v>
      </c>
      <c r="U34" s="198">
        <v>346.84</v>
      </c>
      <c r="V34" s="184">
        <v>469.73</v>
      </c>
      <c r="W34" s="184">
        <v>1015.39</v>
      </c>
      <c r="X34" s="184">
        <v>703.75</v>
      </c>
      <c r="Y34" s="186">
        <v>277.48</v>
      </c>
      <c r="Z34" s="184">
        <v>0</v>
      </c>
      <c r="AA34" s="186">
        <v>0</v>
      </c>
      <c r="AB34" s="186">
        <f t="shared" si="40"/>
        <v>2813.19</v>
      </c>
      <c r="AC34" s="188">
        <f t="shared" si="26"/>
        <v>6979.535</v>
      </c>
      <c r="AD34" s="189">
        <f t="shared" si="27"/>
        <v>0</v>
      </c>
      <c r="AE34" s="189">
        <f t="shared" si="28"/>
        <v>0</v>
      </c>
      <c r="AF34" s="189"/>
      <c r="AG34" s="190">
        <f t="shared" si="29"/>
        <v>505.5</v>
      </c>
      <c r="AH34" s="190">
        <f t="shared" si="30"/>
        <v>168.5</v>
      </c>
      <c r="AI34" s="190">
        <f t="shared" si="31"/>
        <v>842.5</v>
      </c>
      <c r="AJ34" s="190">
        <v>0</v>
      </c>
      <c r="AK34" s="190">
        <f t="shared" si="32"/>
        <v>825.65</v>
      </c>
      <c r="AL34" s="190">
        <v>0</v>
      </c>
      <c r="AM34" s="190">
        <f t="shared" si="33"/>
        <v>1895.625</v>
      </c>
      <c r="AN34" s="190">
        <v>0</v>
      </c>
      <c r="AO34" s="190"/>
      <c r="AP34" s="190"/>
      <c r="AQ34" s="191"/>
      <c r="AR34" s="191"/>
      <c r="AS34" s="192"/>
      <c r="AT34" s="192"/>
      <c r="AU34" s="192">
        <f t="shared" si="34"/>
        <v>0</v>
      </c>
      <c r="AV34" s="193">
        <v>470</v>
      </c>
      <c r="AW34" s="194">
        <v>0.3</v>
      </c>
      <c r="AX34" s="190">
        <f t="shared" si="41"/>
        <v>197.39999999999998</v>
      </c>
      <c r="AY34" s="195"/>
      <c r="AZ34" s="196"/>
      <c r="BA34" s="196">
        <f t="shared" si="35"/>
        <v>0</v>
      </c>
      <c r="BB34" s="196">
        <f t="shared" si="36"/>
        <v>4435.174999999999</v>
      </c>
      <c r="BC34" s="197"/>
      <c r="BD34" s="146">
        <f t="shared" si="37"/>
        <v>4435.174999999999</v>
      </c>
      <c r="BE34" s="121">
        <f t="shared" si="38"/>
        <v>2544.3600000000006</v>
      </c>
      <c r="BF34" s="121">
        <f t="shared" si="39"/>
        <v>-308.0899999999997</v>
      </c>
    </row>
    <row r="35" spans="1:58" ht="12.75" hidden="1">
      <c r="A35" s="71" t="s">
        <v>40</v>
      </c>
      <c r="B35" s="181">
        <v>842.5</v>
      </c>
      <c r="C35" s="182">
        <f t="shared" si="22"/>
        <v>7287.625</v>
      </c>
      <c r="D35" s="199">
        <f t="shared" si="23"/>
        <v>4166.3550000000005</v>
      </c>
      <c r="E35" s="184">
        <v>384.37</v>
      </c>
      <c r="F35" s="184">
        <v>0</v>
      </c>
      <c r="G35" s="184">
        <v>520.74</v>
      </c>
      <c r="H35" s="184">
        <v>0</v>
      </c>
      <c r="I35" s="184">
        <v>1127.28</v>
      </c>
      <c r="J35" s="184">
        <v>0</v>
      </c>
      <c r="K35" s="184">
        <v>781.38</v>
      </c>
      <c r="L35" s="184">
        <v>0</v>
      </c>
      <c r="M35" s="174">
        <v>307.5</v>
      </c>
      <c r="N35" s="185">
        <v>0</v>
      </c>
      <c r="O35" s="186">
        <v>0</v>
      </c>
      <c r="P35" s="186">
        <v>0</v>
      </c>
      <c r="Q35" s="186"/>
      <c r="R35" s="186"/>
      <c r="S35" s="184">
        <f t="shared" si="24"/>
        <v>3121.27</v>
      </c>
      <c r="T35" s="187">
        <f t="shared" si="25"/>
        <v>0</v>
      </c>
      <c r="U35" s="184">
        <v>234.63</v>
      </c>
      <c r="V35" s="184">
        <v>317.93</v>
      </c>
      <c r="W35" s="184">
        <v>688.11</v>
      </c>
      <c r="X35" s="184">
        <v>476.99</v>
      </c>
      <c r="Y35" s="186">
        <v>187.68</v>
      </c>
      <c r="Z35" s="184">
        <v>0</v>
      </c>
      <c r="AA35" s="186">
        <v>0</v>
      </c>
      <c r="AB35" s="186">
        <f t="shared" si="40"/>
        <v>1905.3400000000001</v>
      </c>
      <c r="AC35" s="188">
        <f t="shared" si="26"/>
        <v>6071.695000000001</v>
      </c>
      <c r="AD35" s="189">
        <f t="shared" si="27"/>
        <v>0</v>
      </c>
      <c r="AE35" s="189">
        <f t="shared" si="28"/>
        <v>0</v>
      </c>
      <c r="AF35" s="189"/>
      <c r="AG35" s="190">
        <f t="shared" si="29"/>
        <v>505.5</v>
      </c>
      <c r="AH35" s="190">
        <f t="shared" si="30"/>
        <v>168.5</v>
      </c>
      <c r="AI35" s="190">
        <f t="shared" si="31"/>
        <v>842.5</v>
      </c>
      <c r="AJ35" s="190">
        <v>0</v>
      </c>
      <c r="AK35" s="190">
        <f t="shared" si="32"/>
        <v>825.65</v>
      </c>
      <c r="AL35" s="190">
        <v>0</v>
      </c>
      <c r="AM35" s="190">
        <f t="shared" si="33"/>
        <v>1895.625</v>
      </c>
      <c r="AN35" s="190">
        <v>0</v>
      </c>
      <c r="AO35" s="190"/>
      <c r="AP35" s="190"/>
      <c r="AQ35" s="191"/>
      <c r="AR35" s="191"/>
      <c r="AS35" s="192"/>
      <c r="AT35" s="192"/>
      <c r="AU35" s="192">
        <f t="shared" si="34"/>
        <v>0</v>
      </c>
      <c r="AV35" s="193">
        <v>514</v>
      </c>
      <c r="AW35" s="194">
        <v>0.3</v>
      </c>
      <c r="AX35" s="190">
        <f t="shared" si="41"/>
        <v>215.87999999999997</v>
      </c>
      <c r="AY35" s="195"/>
      <c r="AZ35" s="196"/>
      <c r="BA35" s="196">
        <f t="shared" si="35"/>
        <v>0</v>
      </c>
      <c r="BB35" s="196">
        <f t="shared" si="36"/>
        <v>4453.655</v>
      </c>
      <c r="BC35" s="197"/>
      <c r="BD35" s="113">
        <f t="shared" si="37"/>
        <v>4453.655</v>
      </c>
      <c r="BE35" s="121">
        <f t="shared" si="38"/>
        <v>1618.0400000000009</v>
      </c>
      <c r="BF35" s="121">
        <f t="shared" si="39"/>
        <v>-1215.9299999999998</v>
      </c>
    </row>
    <row r="36" spans="1:58" ht="12.75" hidden="1">
      <c r="A36" s="71"/>
      <c r="B36" s="162"/>
      <c r="C36" s="62"/>
      <c r="D36" s="94"/>
      <c r="E36" s="110"/>
      <c r="F36" s="110"/>
      <c r="G36" s="110"/>
      <c r="H36" s="110"/>
      <c r="I36" s="110"/>
      <c r="J36" s="110"/>
      <c r="K36" s="110"/>
      <c r="L36" s="110"/>
      <c r="M36" s="111"/>
      <c r="N36" s="112"/>
      <c r="O36" s="113"/>
      <c r="P36" s="113"/>
      <c r="Q36" s="113"/>
      <c r="R36" s="113"/>
      <c r="S36" s="110"/>
      <c r="T36" s="178"/>
      <c r="U36" s="110"/>
      <c r="V36" s="110"/>
      <c r="W36" s="110"/>
      <c r="X36" s="110"/>
      <c r="Y36" s="113"/>
      <c r="Z36" s="110"/>
      <c r="AA36" s="113"/>
      <c r="AB36" s="113"/>
      <c r="AC36" s="116"/>
      <c r="AD36" s="117"/>
      <c r="AE36" s="117"/>
      <c r="AF36" s="117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24"/>
      <c r="AR36" s="124"/>
      <c r="AS36" s="118"/>
      <c r="AT36" s="160"/>
      <c r="AU36" s="118"/>
      <c r="AV36" s="119"/>
      <c r="AW36" s="120"/>
      <c r="AX36" s="110"/>
      <c r="AY36" s="69"/>
      <c r="AZ36" s="113"/>
      <c r="BA36" s="113"/>
      <c r="BB36" s="113"/>
      <c r="BC36" s="140"/>
      <c r="BD36" s="113"/>
      <c r="BE36" s="121"/>
      <c r="BF36" s="121"/>
    </row>
    <row r="37" spans="1:58" ht="12.75" hidden="1">
      <c r="A37" s="13" t="s">
        <v>3</v>
      </c>
      <c r="B37" s="14"/>
      <c r="C37" s="14">
        <f aca="true" t="shared" si="42" ref="C37:AH37">SUM(C24:C35)</f>
        <v>87451.5</v>
      </c>
      <c r="D37" s="14">
        <f t="shared" si="42"/>
        <v>49877.21</v>
      </c>
      <c r="E37" s="14">
        <f t="shared" si="42"/>
        <v>4441.710000000001</v>
      </c>
      <c r="F37" s="14">
        <f t="shared" si="42"/>
        <v>186.06</v>
      </c>
      <c r="G37" s="14">
        <f t="shared" si="42"/>
        <v>6017.009999999999</v>
      </c>
      <c r="H37" s="14">
        <f t="shared" si="42"/>
        <v>252.18</v>
      </c>
      <c r="I37" s="14">
        <f t="shared" si="42"/>
        <v>13023.680000000002</v>
      </c>
      <c r="J37" s="14">
        <f t="shared" si="42"/>
        <v>545.82</v>
      </c>
      <c r="K37" s="14">
        <f t="shared" si="42"/>
        <v>9027.179999999998</v>
      </c>
      <c r="L37" s="14">
        <f t="shared" si="42"/>
        <v>378.36</v>
      </c>
      <c r="M37" s="14">
        <f t="shared" si="42"/>
        <v>3553.4300000000003</v>
      </c>
      <c r="N37" s="14">
        <f t="shared" si="42"/>
        <v>148.85999999999999</v>
      </c>
      <c r="O37" s="14">
        <f t="shared" si="42"/>
        <v>0</v>
      </c>
      <c r="P37" s="14">
        <f t="shared" si="42"/>
        <v>0</v>
      </c>
      <c r="Q37" s="14">
        <f t="shared" si="42"/>
        <v>0</v>
      </c>
      <c r="R37" s="14">
        <f t="shared" si="42"/>
        <v>0</v>
      </c>
      <c r="S37" s="14">
        <f t="shared" si="42"/>
        <v>36063.009999999995</v>
      </c>
      <c r="T37" s="14">
        <f t="shared" si="42"/>
        <v>1511.28</v>
      </c>
      <c r="U37" s="14">
        <f t="shared" si="42"/>
        <v>3002.6500000000005</v>
      </c>
      <c r="V37" s="14">
        <f t="shared" si="42"/>
        <v>4066.2799999999997</v>
      </c>
      <c r="W37" s="14">
        <f t="shared" si="42"/>
        <v>11144.55</v>
      </c>
      <c r="X37" s="14">
        <f t="shared" si="42"/>
        <v>6059.91</v>
      </c>
      <c r="Y37" s="14">
        <f t="shared" si="42"/>
        <v>2402.08</v>
      </c>
      <c r="Z37" s="14">
        <f t="shared" si="42"/>
        <v>0</v>
      </c>
      <c r="AA37" s="14">
        <f t="shared" si="42"/>
        <v>0</v>
      </c>
      <c r="AB37" s="14">
        <f t="shared" si="42"/>
        <v>26675.469999999998</v>
      </c>
      <c r="AC37" s="14">
        <f t="shared" si="42"/>
        <v>78063.96</v>
      </c>
      <c r="AD37" s="14">
        <f t="shared" si="42"/>
        <v>0</v>
      </c>
      <c r="AE37" s="14">
        <f t="shared" si="42"/>
        <v>0</v>
      </c>
      <c r="AF37" s="14">
        <f t="shared" si="42"/>
        <v>0</v>
      </c>
      <c r="AG37" s="14">
        <f t="shared" si="42"/>
        <v>6066</v>
      </c>
      <c r="AH37" s="14">
        <f t="shared" si="42"/>
        <v>2022</v>
      </c>
      <c r="AI37" s="14">
        <f aca="true" t="shared" si="43" ref="AI37:BF37">SUM(AI24:AI35)</f>
        <v>10110</v>
      </c>
      <c r="AJ37" s="14">
        <f t="shared" si="43"/>
        <v>0</v>
      </c>
      <c r="AK37" s="14">
        <f t="shared" si="43"/>
        <v>9907.799999999997</v>
      </c>
      <c r="AL37" s="14">
        <f t="shared" si="43"/>
        <v>0</v>
      </c>
      <c r="AM37" s="14">
        <f t="shared" si="43"/>
        <v>22747.5</v>
      </c>
      <c r="AN37" s="14">
        <f t="shared" si="43"/>
        <v>0</v>
      </c>
      <c r="AO37" s="14">
        <f t="shared" si="43"/>
        <v>0</v>
      </c>
      <c r="AP37" s="14">
        <f t="shared" si="43"/>
        <v>0</v>
      </c>
      <c r="AQ37" s="98">
        <f t="shared" si="43"/>
        <v>0</v>
      </c>
      <c r="AR37" s="98">
        <f t="shared" si="43"/>
        <v>0</v>
      </c>
      <c r="AS37" s="15">
        <f t="shared" si="43"/>
        <v>1294</v>
      </c>
      <c r="AT37" s="15">
        <f t="shared" si="43"/>
        <v>47.8</v>
      </c>
      <c r="AU37" s="15">
        <f t="shared" si="43"/>
        <v>0</v>
      </c>
      <c r="AV37" s="14">
        <f t="shared" si="43"/>
        <v>4400</v>
      </c>
      <c r="AW37" s="14">
        <f t="shared" si="43"/>
        <v>3.599999999999999</v>
      </c>
      <c r="AX37" s="14">
        <f t="shared" si="43"/>
        <v>1847.9999999999998</v>
      </c>
      <c r="AY37" s="14">
        <f t="shared" si="43"/>
        <v>0</v>
      </c>
      <c r="AZ37" s="14">
        <f t="shared" si="43"/>
        <v>0</v>
      </c>
      <c r="BA37" s="14">
        <f t="shared" si="43"/>
        <v>0</v>
      </c>
      <c r="BB37" s="14">
        <f t="shared" si="43"/>
        <v>54043.09999999999</v>
      </c>
      <c r="BC37" s="14">
        <f t="shared" si="43"/>
        <v>0</v>
      </c>
      <c r="BD37" s="14">
        <f t="shared" si="43"/>
        <v>54043.09999999999</v>
      </c>
      <c r="BE37" s="14">
        <f t="shared" si="43"/>
        <v>24020.86</v>
      </c>
      <c r="BF37" s="14">
        <f t="shared" si="43"/>
        <v>-9387.539999999999</v>
      </c>
    </row>
    <row r="38" spans="1:58" ht="12.75" hidden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ht="12.75">
      <c r="A39" s="518" t="s">
        <v>126</v>
      </c>
      <c r="B39" s="17"/>
      <c r="C39" s="519">
        <f>C37+C22</f>
        <v>174903</v>
      </c>
      <c r="D39" s="519">
        <f aca="true" t="shared" si="44" ref="D39:BF39">D37+D22</f>
        <v>87017.8425</v>
      </c>
      <c r="E39" s="519">
        <f t="shared" si="44"/>
        <v>8622.61</v>
      </c>
      <c r="F39" s="519">
        <f t="shared" si="44"/>
        <v>439.24</v>
      </c>
      <c r="G39" s="519">
        <f t="shared" si="44"/>
        <v>11650.59</v>
      </c>
      <c r="H39" s="519">
        <f t="shared" si="44"/>
        <v>594.8</v>
      </c>
      <c r="I39" s="519">
        <f t="shared" si="44"/>
        <v>25072.630000000005</v>
      </c>
      <c r="J39" s="519">
        <f t="shared" si="44"/>
        <v>1272.39</v>
      </c>
      <c r="K39" s="519">
        <f t="shared" si="44"/>
        <v>17372.519999999997</v>
      </c>
      <c r="L39" s="519">
        <f t="shared" si="44"/>
        <v>881.5900000000001</v>
      </c>
      <c r="M39" s="519">
        <f t="shared" si="44"/>
        <v>6898.120000000001</v>
      </c>
      <c r="N39" s="519">
        <f t="shared" si="44"/>
        <v>351.38</v>
      </c>
      <c r="O39" s="519">
        <f t="shared" si="44"/>
        <v>0</v>
      </c>
      <c r="P39" s="519">
        <f t="shared" si="44"/>
        <v>0</v>
      </c>
      <c r="Q39" s="519">
        <f t="shared" si="44"/>
        <v>0</v>
      </c>
      <c r="R39" s="519">
        <f t="shared" si="44"/>
        <v>0</v>
      </c>
      <c r="S39" s="519">
        <f t="shared" si="44"/>
        <v>69616.47</v>
      </c>
      <c r="T39" s="519">
        <f t="shared" si="44"/>
        <v>3539.3999999999996</v>
      </c>
      <c r="U39" s="519">
        <f t="shared" si="44"/>
        <v>5960.130000000001</v>
      </c>
      <c r="V39" s="519">
        <f t="shared" si="44"/>
        <v>8066.12</v>
      </c>
      <c r="W39" s="519">
        <f t="shared" si="44"/>
        <v>19497.949999999997</v>
      </c>
      <c r="X39" s="519">
        <f t="shared" si="44"/>
        <v>11842.54</v>
      </c>
      <c r="Y39" s="519">
        <f t="shared" si="44"/>
        <v>4768.08</v>
      </c>
      <c r="Z39" s="519">
        <f t="shared" si="44"/>
        <v>0</v>
      </c>
      <c r="AA39" s="519">
        <f t="shared" si="44"/>
        <v>0</v>
      </c>
      <c r="AB39" s="519">
        <f t="shared" si="44"/>
        <v>50134.82</v>
      </c>
      <c r="AC39" s="519">
        <f t="shared" si="44"/>
        <v>140692.0625</v>
      </c>
      <c r="AD39" s="519">
        <f t="shared" si="44"/>
        <v>0</v>
      </c>
      <c r="AE39" s="519">
        <f t="shared" si="44"/>
        <v>0</v>
      </c>
      <c r="AF39" s="519">
        <f t="shared" si="44"/>
        <v>0</v>
      </c>
      <c r="AG39" s="519">
        <f t="shared" si="44"/>
        <v>11929.8</v>
      </c>
      <c r="AH39" s="519">
        <f t="shared" si="44"/>
        <v>3985.20361</v>
      </c>
      <c r="AI39" s="519">
        <f t="shared" si="44"/>
        <v>18307.76406875</v>
      </c>
      <c r="AJ39" s="519">
        <f t="shared" si="44"/>
        <v>1475.597532375</v>
      </c>
      <c r="AK39" s="519">
        <f t="shared" si="44"/>
        <v>17876.045617749995</v>
      </c>
      <c r="AL39" s="519">
        <f t="shared" si="44"/>
        <v>1434.2842111950001</v>
      </c>
      <c r="AM39" s="519">
        <f t="shared" si="44"/>
        <v>41081.65782440678</v>
      </c>
      <c r="AN39" s="519">
        <f t="shared" si="44"/>
        <v>3300.14840839322</v>
      </c>
      <c r="AO39" s="519">
        <f t="shared" si="44"/>
        <v>0</v>
      </c>
      <c r="AP39" s="519">
        <f t="shared" si="44"/>
        <v>0</v>
      </c>
      <c r="AQ39" s="519">
        <f t="shared" si="44"/>
        <v>7311.36</v>
      </c>
      <c r="AR39" s="519">
        <f t="shared" si="44"/>
        <v>1316.0448</v>
      </c>
      <c r="AS39" s="519">
        <f t="shared" si="44"/>
        <v>67428.34</v>
      </c>
      <c r="AT39" s="519">
        <f t="shared" si="44"/>
        <v>47.8</v>
      </c>
      <c r="AU39" s="519">
        <f t="shared" si="44"/>
        <v>11904.181199999999</v>
      </c>
      <c r="AV39" s="519">
        <f t="shared" si="44"/>
        <v>8800</v>
      </c>
      <c r="AW39" s="519">
        <f t="shared" si="44"/>
        <v>7.199999999999998</v>
      </c>
      <c r="AX39" s="519">
        <f t="shared" si="44"/>
        <v>3338.7648</v>
      </c>
      <c r="AY39" s="519">
        <f t="shared" si="44"/>
        <v>0</v>
      </c>
      <c r="AZ39" s="519">
        <f t="shared" si="44"/>
        <v>0</v>
      </c>
      <c r="BA39" s="519">
        <f t="shared" si="44"/>
        <v>0</v>
      </c>
      <c r="BB39" s="519">
        <f t="shared" si="44"/>
        <v>190736.99207286997</v>
      </c>
      <c r="BC39" s="519">
        <f t="shared" si="44"/>
        <v>0</v>
      </c>
      <c r="BD39" s="519">
        <f t="shared" si="44"/>
        <v>190736.99207286997</v>
      </c>
      <c r="BE39" s="519">
        <f>BE37+BE22</f>
        <v>-50044.929572869994</v>
      </c>
      <c r="BF39" s="519">
        <f t="shared" si="44"/>
        <v>-19481.649999999998</v>
      </c>
    </row>
  </sheetData>
  <sheetProtection/>
  <mergeCells count="67">
    <mergeCell ref="AG3:BB4"/>
    <mergeCell ref="AQ5:AQ6"/>
    <mergeCell ref="Q5:Q6"/>
    <mergeCell ref="R5:R6"/>
    <mergeCell ref="BF3:BF6"/>
    <mergeCell ref="BD4:BD6"/>
    <mergeCell ref="BC3:BD3"/>
    <mergeCell ref="AV5:AX5"/>
    <mergeCell ref="AY5:AY6"/>
    <mergeCell ref="AZ5:AZ6"/>
    <mergeCell ref="BA5:BA6"/>
    <mergeCell ref="BB5:BB6"/>
    <mergeCell ref="S3:T4"/>
    <mergeCell ref="E3:F4"/>
    <mergeCell ref="G3:H4"/>
    <mergeCell ref="I3:J4"/>
    <mergeCell ref="K3:L4"/>
    <mergeCell ref="M3:N4"/>
    <mergeCell ref="O3:P4"/>
    <mergeCell ref="Q3:R4"/>
    <mergeCell ref="AC3:AC6"/>
    <mergeCell ref="AA5:AA6"/>
    <mergeCell ref="AB5:AB6"/>
    <mergeCell ref="AE3:AE6"/>
    <mergeCell ref="A1:N1"/>
    <mergeCell ref="A3:A6"/>
    <mergeCell ref="B3:B6"/>
    <mergeCell ref="C3:C6"/>
    <mergeCell ref="D3:D6"/>
    <mergeCell ref="M5:M6"/>
    <mergeCell ref="Z5:Z6"/>
    <mergeCell ref="X5:X6"/>
    <mergeCell ref="Y5:Y6"/>
    <mergeCell ref="T5:T6"/>
    <mergeCell ref="BE3:BE6"/>
    <mergeCell ref="BC4:BC6"/>
    <mergeCell ref="AF3:AF6"/>
    <mergeCell ref="U3:AB4"/>
    <mergeCell ref="AI5:AI6"/>
    <mergeCell ref="AJ5:AJ6"/>
    <mergeCell ref="AK5:AK6"/>
    <mergeCell ref="AL5:AL6"/>
    <mergeCell ref="AG5:AG6"/>
    <mergeCell ref="AH5:AH6"/>
    <mergeCell ref="AD3:AD6"/>
    <mergeCell ref="I5:I6"/>
    <mergeCell ref="J5:J6"/>
    <mergeCell ref="K5:K6"/>
    <mergeCell ref="L5:L6"/>
    <mergeCell ref="S5:S6"/>
    <mergeCell ref="U5:U6"/>
    <mergeCell ref="V5:V6"/>
    <mergeCell ref="W5:W6"/>
    <mergeCell ref="E5:E6"/>
    <mergeCell ref="F5:F6"/>
    <mergeCell ref="G5:G6"/>
    <mergeCell ref="H5:H6"/>
    <mergeCell ref="N5:N6"/>
    <mergeCell ref="O5:O6"/>
    <mergeCell ref="P5:P6"/>
    <mergeCell ref="AS5:AS6"/>
    <mergeCell ref="AT5:AT6"/>
    <mergeCell ref="AM5:AM6"/>
    <mergeCell ref="AN5:AN6"/>
    <mergeCell ref="AO5:AO6"/>
    <mergeCell ref="AP5:AP6"/>
    <mergeCell ref="AR5:A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5">
      <selection activeCell="G48" sqref="G48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9.753906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625" style="2" customWidth="1"/>
    <col min="11" max="11" width="10.375" style="2" customWidth="1"/>
    <col min="12" max="12" width="10.125" style="2" customWidth="1"/>
    <col min="13" max="13" width="8.875" style="2" customWidth="1"/>
    <col min="14" max="14" width="11.375" style="2" customWidth="1"/>
    <col min="15" max="15" width="10.75390625" style="2" customWidth="1"/>
    <col min="16" max="16" width="13.375" style="2" customWidth="1"/>
    <col min="17" max="16384" width="9.125" style="2" customWidth="1"/>
  </cols>
  <sheetData>
    <row r="1" ht="18.75">
      <c r="E1" s="18" t="s">
        <v>51</v>
      </c>
    </row>
    <row r="2" ht="18.75">
      <c r="E2" s="18" t="s">
        <v>52</v>
      </c>
    </row>
    <row r="6" spans="1:15" ht="12.75">
      <c r="A6" s="322" t="s">
        <v>86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</row>
    <row r="7" spans="1:15" ht="12.75">
      <c r="A7" s="344" t="s">
        <v>94</v>
      </c>
      <c r="B7" s="344"/>
      <c r="C7" s="344"/>
      <c r="D7" s="344"/>
      <c r="E7" s="344"/>
      <c r="F7" s="344"/>
      <c r="G7" s="344"/>
      <c r="H7" s="51"/>
      <c r="I7" s="51"/>
      <c r="J7" s="51"/>
      <c r="K7" s="51"/>
      <c r="L7" s="51"/>
      <c r="M7" s="51"/>
      <c r="N7" s="51"/>
      <c r="O7" s="51"/>
    </row>
    <row r="8" spans="1:15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5" ht="13.5" thickBot="1">
      <c r="A9" s="20" t="s">
        <v>53</v>
      </c>
      <c r="D9" s="4"/>
      <c r="E9" s="20">
        <v>8.65</v>
      </c>
    </row>
    <row r="10" spans="1:16" ht="12.75" customHeight="1">
      <c r="A10" s="323" t="s">
        <v>54</v>
      </c>
      <c r="B10" s="326" t="s">
        <v>0</v>
      </c>
      <c r="C10" s="329" t="s">
        <v>55</v>
      </c>
      <c r="D10" s="332" t="s">
        <v>2</v>
      </c>
      <c r="E10" s="275" t="s">
        <v>56</v>
      </c>
      <c r="F10" s="275"/>
      <c r="G10" s="317" t="s">
        <v>70</v>
      </c>
      <c r="H10" s="318"/>
      <c r="I10" s="335" t="s">
        <v>8</v>
      </c>
      <c r="J10" s="336"/>
      <c r="K10" s="336"/>
      <c r="L10" s="336"/>
      <c r="M10" s="336"/>
      <c r="N10" s="337"/>
      <c r="O10" s="341" t="s">
        <v>57</v>
      </c>
      <c r="P10" s="306" t="s">
        <v>85</v>
      </c>
    </row>
    <row r="11" spans="1:16" ht="12.75">
      <c r="A11" s="324"/>
      <c r="B11" s="327"/>
      <c r="C11" s="330"/>
      <c r="D11" s="333"/>
      <c r="E11" s="321"/>
      <c r="F11" s="321"/>
      <c r="G11" s="319"/>
      <c r="H11" s="320"/>
      <c r="I11" s="338"/>
      <c r="J11" s="339"/>
      <c r="K11" s="339"/>
      <c r="L11" s="339"/>
      <c r="M11" s="339"/>
      <c r="N11" s="340"/>
      <c r="O11" s="342"/>
      <c r="P11" s="307"/>
    </row>
    <row r="12" spans="1:16" ht="26.25" customHeight="1">
      <c r="A12" s="324"/>
      <c r="B12" s="327"/>
      <c r="C12" s="330"/>
      <c r="D12" s="333"/>
      <c r="E12" s="283" t="s">
        <v>58</v>
      </c>
      <c r="F12" s="283"/>
      <c r="G12" s="61" t="s">
        <v>59</v>
      </c>
      <c r="H12" s="309" t="s">
        <v>5</v>
      </c>
      <c r="I12" s="311" t="s">
        <v>60</v>
      </c>
      <c r="J12" s="313" t="s">
        <v>30</v>
      </c>
      <c r="K12" s="313" t="s">
        <v>61</v>
      </c>
      <c r="L12" s="313" t="s">
        <v>35</v>
      </c>
      <c r="M12" s="313" t="s">
        <v>62</v>
      </c>
      <c r="N12" s="315" t="s">
        <v>37</v>
      </c>
      <c r="O12" s="342"/>
      <c r="P12" s="307"/>
    </row>
    <row r="13" spans="1:16" ht="66.75" customHeight="1" thickBot="1">
      <c r="A13" s="325"/>
      <c r="B13" s="328"/>
      <c r="C13" s="331"/>
      <c r="D13" s="334"/>
      <c r="E13" s="102" t="s">
        <v>63</v>
      </c>
      <c r="F13" s="59" t="s">
        <v>19</v>
      </c>
      <c r="G13" s="50" t="s">
        <v>71</v>
      </c>
      <c r="H13" s="310"/>
      <c r="I13" s="312"/>
      <c r="J13" s="314"/>
      <c r="K13" s="314"/>
      <c r="L13" s="314"/>
      <c r="M13" s="314"/>
      <c r="N13" s="316"/>
      <c r="O13" s="343"/>
      <c r="P13" s="308"/>
    </row>
    <row r="14" spans="1:16" ht="13.5" thickBot="1">
      <c r="A14" s="21">
        <v>1</v>
      </c>
      <c r="B14" s="22">
        <v>2</v>
      </c>
      <c r="C14" s="24">
        <v>3</v>
      </c>
      <c r="D14" s="26">
        <v>4</v>
      </c>
      <c r="E14" s="25">
        <v>5</v>
      </c>
      <c r="F14" s="23">
        <v>6</v>
      </c>
      <c r="G14" s="21">
        <v>7</v>
      </c>
      <c r="H14" s="24">
        <v>8</v>
      </c>
      <c r="I14" s="25">
        <v>9</v>
      </c>
      <c r="J14" s="22">
        <v>10</v>
      </c>
      <c r="K14" s="22">
        <v>11</v>
      </c>
      <c r="L14" s="22">
        <v>12</v>
      </c>
      <c r="M14" s="22">
        <v>13</v>
      </c>
      <c r="N14" s="23">
        <v>14</v>
      </c>
      <c r="O14" s="26">
        <v>15</v>
      </c>
      <c r="P14" s="55">
        <v>16</v>
      </c>
    </row>
    <row r="15" spans="1:18" ht="12.75" hidden="1">
      <c r="A15" s="5" t="s">
        <v>41</v>
      </c>
      <c r="B15" s="44"/>
      <c r="C15" s="65"/>
      <c r="D15" s="104"/>
      <c r="E15" s="41"/>
      <c r="F15" s="60"/>
      <c r="G15" s="42"/>
      <c r="H15" s="222"/>
      <c r="I15" s="41"/>
      <c r="J15" s="39"/>
      <c r="K15" s="39"/>
      <c r="L15" s="45"/>
      <c r="M15" s="45"/>
      <c r="N15" s="223"/>
      <c r="O15" s="46"/>
      <c r="P15" s="57"/>
      <c r="Q15" s="1"/>
      <c r="R15" s="1"/>
    </row>
    <row r="16" spans="1:18" ht="12.75" hidden="1">
      <c r="A16" s="9" t="s">
        <v>42</v>
      </c>
      <c r="B16" s="10">
        <f>Лист1!B9</f>
        <v>842.5</v>
      </c>
      <c r="C16" s="64">
        <f>Лист1!C9</f>
        <v>7287.625</v>
      </c>
      <c r="D16" s="103">
        <f>Лист1!D9</f>
        <v>910.953125</v>
      </c>
      <c r="E16" s="27">
        <f>Лист1!S9</f>
        <v>2552.2599999999998</v>
      </c>
      <c r="F16" s="47">
        <f>Лист1!T9</f>
        <v>140.29</v>
      </c>
      <c r="G16" s="28">
        <f>Лист1!AB9</f>
        <v>888.7</v>
      </c>
      <c r="H16" s="224">
        <f>Лист1!AC9</f>
        <v>1939.943125</v>
      </c>
      <c r="I16" s="27">
        <f>Лист1!AG9</f>
        <v>454.95</v>
      </c>
      <c r="J16" s="11">
        <f>Лист1!AI9+Лист1!AJ9</f>
        <v>732.6152425</v>
      </c>
      <c r="K16" s="11">
        <f>Лист1!AH9+Лист1!AK9+Лист1!AL9+Лист1!AM9+Лист1!AN9+Лист1!AO9+Лист1!AP9+Лист1!AQ9+Лист1!AR9</f>
        <v>2516.0921961500003</v>
      </c>
      <c r="L16" s="12">
        <f>Лист1!AS9+Лист1!AT9+Лист1!AU9</f>
        <v>0</v>
      </c>
      <c r="M16" s="12">
        <f>Лист1!AX9</f>
        <v>201.41184</v>
      </c>
      <c r="N16" s="225">
        <f>SUM(I16:M16)</f>
        <v>3905.069278650001</v>
      </c>
      <c r="O16" s="29">
        <f>Лист1!BE9</f>
        <v>-1965.1261536499994</v>
      </c>
      <c r="P16" s="56">
        <f>Лист1!BF9</f>
        <v>-1663.5599999999997</v>
      </c>
      <c r="Q16" s="1"/>
      <c r="R16" s="1"/>
    </row>
    <row r="17" spans="1:18" ht="12.75" hidden="1">
      <c r="A17" s="9" t="s">
        <v>43</v>
      </c>
      <c r="B17" s="10">
        <f>Лист1!B10</f>
        <v>842.5</v>
      </c>
      <c r="C17" s="64">
        <f>Лист1!C10</f>
        <v>7287.625</v>
      </c>
      <c r="D17" s="103">
        <f>Лист1!D10</f>
        <v>910.953125</v>
      </c>
      <c r="E17" s="27">
        <f>Лист1!S10</f>
        <v>2537.75</v>
      </c>
      <c r="F17" s="47">
        <f>Лист1!T10</f>
        <v>140.29</v>
      </c>
      <c r="G17" s="28">
        <f>Лист1!AB10</f>
        <v>2088.98</v>
      </c>
      <c r="H17" s="224">
        <f>Лист1!AC10</f>
        <v>3140.223125</v>
      </c>
      <c r="I17" s="27">
        <f>Лист1!AG10</f>
        <v>454.95</v>
      </c>
      <c r="J17" s="11">
        <f>Лист1!AI10+Лист1!AJ10</f>
        <v>732.6388425</v>
      </c>
      <c r="K17" s="11">
        <f>Лист1!AH10+Лист1!AK10+Лист1!AL10+Лист1!AM10+Лист1!AN10+Лист1!AO10+Лист1!AP10+Лист1!AQ10+Лист1!AR10</f>
        <v>2519.7244664</v>
      </c>
      <c r="L17" s="12">
        <f>Лист1!AS10+Лист1!AT10+Лист1!AU10</f>
        <v>5487</v>
      </c>
      <c r="M17" s="12">
        <f>Лист1!AX10</f>
        <v>161.36736</v>
      </c>
      <c r="N17" s="225">
        <f aca="true" t="shared" si="0" ref="N17:N22">SUM(I17:M17)</f>
        <v>9355.6806689</v>
      </c>
      <c r="O17" s="29">
        <f>Лист1!BE10</f>
        <v>-6215.4575439</v>
      </c>
      <c r="P17" s="56">
        <f>Лист1!BF10</f>
        <v>-448.77</v>
      </c>
      <c r="Q17" s="1"/>
      <c r="R17" s="1"/>
    </row>
    <row r="18" spans="1:18" ht="12.75" hidden="1">
      <c r="A18" s="9" t="s">
        <v>44</v>
      </c>
      <c r="B18" s="10">
        <f>Лист1!B11</f>
        <v>842.5</v>
      </c>
      <c r="C18" s="64">
        <f>Лист1!C11</f>
        <v>7287.625</v>
      </c>
      <c r="D18" s="103">
        <f>Лист1!D11</f>
        <v>910.953125</v>
      </c>
      <c r="E18" s="27">
        <f>Лист1!S11</f>
        <v>2563.12</v>
      </c>
      <c r="F18" s="47">
        <f>Лист1!T11</f>
        <v>140.29</v>
      </c>
      <c r="G18" s="28">
        <f>Лист1!AB11</f>
        <v>1495.61</v>
      </c>
      <c r="H18" s="224">
        <f>Лист1!AC11</f>
        <v>2546.8531249999996</v>
      </c>
      <c r="I18" s="27">
        <f>Лист1!AG11</f>
        <v>454.95</v>
      </c>
      <c r="J18" s="11">
        <f>Лист1!AI11+Лист1!AJ11</f>
        <v>733.06135625</v>
      </c>
      <c r="K18" s="11">
        <f>Лист1!AH11+Лист1!AK11+Лист1!AL11+Лист1!AM11+Лист1!AN11+Лист1!AO11+Лист1!AP11+Лист1!AQ11+Лист1!AR11</f>
        <v>2435.90928065</v>
      </c>
      <c r="L18" s="12">
        <f>Лист1!AS11+Лист1!AT11+Лист1!AU11</f>
        <v>4705.84</v>
      </c>
      <c r="M18" s="12">
        <f>Лист1!AX11</f>
        <v>151.85184</v>
      </c>
      <c r="N18" s="225">
        <f t="shared" si="0"/>
        <v>8481.6124769</v>
      </c>
      <c r="O18" s="29">
        <f>Лист1!BE11</f>
        <v>-5934.759351899998</v>
      </c>
      <c r="P18" s="56">
        <f>Лист1!BF11</f>
        <v>-1067.51</v>
      </c>
      <c r="Q18" s="1"/>
      <c r="R18" s="1"/>
    </row>
    <row r="19" spans="1:18" ht="12.75" hidden="1">
      <c r="A19" s="9" t="s">
        <v>45</v>
      </c>
      <c r="B19" s="10">
        <f>Лист1!B12</f>
        <v>842.5</v>
      </c>
      <c r="C19" s="64">
        <f>Лист1!C12</f>
        <v>7287.625</v>
      </c>
      <c r="D19" s="103">
        <f>Лист1!D12</f>
        <v>910.953125</v>
      </c>
      <c r="E19" s="27">
        <f>Лист1!S12</f>
        <v>2563.1099999999997</v>
      </c>
      <c r="F19" s="47">
        <f>Лист1!T12</f>
        <v>140.29</v>
      </c>
      <c r="G19" s="28">
        <f>Лист1!AB12</f>
        <v>1542.0700000000002</v>
      </c>
      <c r="H19" s="224">
        <f>Лист1!AC12</f>
        <v>2593.313125</v>
      </c>
      <c r="I19" s="27">
        <f>Лист1!AG12</f>
        <v>454.95</v>
      </c>
      <c r="J19" s="11">
        <f>Лист1!AI12+Лист1!AJ12</f>
        <v>754.9475685</v>
      </c>
      <c r="K19" s="11">
        <f>Лист1!AH12+Лист1!AK12+Лист1!AL12+Лист1!AM12+Лист1!AN12+Лист1!AO12+Лист1!AP12+Лист1!AQ12+Лист1!AR12</f>
        <v>2470.4234558</v>
      </c>
      <c r="L19" s="12">
        <f>Лист1!AS12+Лист1!AT12+Лист1!AU12</f>
        <v>18024.960199999998</v>
      </c>
      <c r="M19" s="12">
        <f>Лист1!AX12</f>
        <v>121.71936</v>
      </c>
      <c r="N19" s="225">
        <f t="shared" si="0"/>
        <v>21827.000584299996</v>
      </c>
      <c r="O19" s="29">
        <f>Лист1!BE12</f>
        <v>-19233.687459299996</v>
      </c>
      <c r="P19" s="56">
        <f>Лист1!BF12</f>
        <v>-1021.0399999999995</v>
      </c>
      <c r="Q19" s="1"/>
      <c r="R19" s="1"/>
    </row>
    <row r="20" spans="1:18" ht="12.75" hidden="1">
      <c r="A20" s="9" t="s">
        <v>46</v>
      </c>
      <c r="B20" s="10">
        <f>Лист1!B13</f>
        <v>842.5</v>
      </c>
      <c r="C20" s="64">
        <f>Лист1!C13</f>
        <v>7287.625</v>
      </c>
      <c r="D20" s="103">
        <f>Лист1!D13</f>
        <v>4239.135</v>
      </c>
      <c r="E20" s="27">
        <f>Лист1!S13</f>
        <v>2906.24</v>
      </c>
      <c r="F20" s="47">
        <f>Лист1!T13</f>
        <v>142.25</v>
      </c>
      <c r="G20" s="28">
        <f>Лист1!AB13</f>
        <v>1042.21</v>
      </c>
      <c r="H20" s="224">
        <f>Лист1!AC13</f>
        <v>5423.595</v>
      </c>
      <c r="I20" s="27">
        <f>Лист1!AG13</f>
        <v>505.5</v>
      </c>
      <c r="J20" s="11">
        <f>Лист1!AI13+Лист1!AJ13</f>
        <v>845.0275</v>
      </c>
      <c r="K20" s="11">
        <f>Лист1!AH13+Лист1!AK13+Лист1!AL13+Лист1!AM13+Лист1!AN13+Лист1!AO13+Лист1!AP13+Лист1!AQ13+Лист1!AR13</f>
        <v>2894.156</v>
      </c>
      <c r="L20" s="12">
        <f>Лист1!AS13+Лист1!AT13+Лист1!AU13</f>
        <v>0</v>
      </c>
      <c r="M20" s="12">
        <f>Лист1!AX13</f>
        <v>104.27423999999999</v>
      </c>
      <c r="N20" s="225">
        <f t="shared" si="0"/>
        <v>4348.95774</v>
      </c>
      <c r="O20" s="29">
        <f>Лист1!BE13</f>
        <v>1074.6372600000013</v>
      </c>
      <c r="P20" s="56">
        <f>Лист1!BF13</f>
        <v>-1864.0299999999997</v>
      </c>
      <c r="Q20" s="1"/>
      <c r="R20" s="1"/>
    </row>
    <row r="21" spans="1:18" ht="12.75" hidden="1">
      <c r="A21" s="9" t="s">
        <v>47</v>
      </c>
      <c r="B21" s="10">
        <f>Лист1!B14</f>
        <v>842.5</v>
      </c>
      <c r="C21" s="64">
        <f>Лист1!C14</f>
        <v>7287.625</v>
      </c>
      <c r="D21" s="103">
        <f>Лист1!D14</f>
        <v>4158.435</v>
      </c>
      <c r="E21" s="27">
        <f>Лист1!S14</f>
        <v>2986.94</v>
      </c>
      <c r="F21" s="47">
        <f>Лист1!T14</f>
        <v>142.25</v>
      </c>
      <c r="G21" s="28">
        <f>Лист1!AB14</f>
        <v>3751.84</v>
      </c>
      <c r="H21" s="224">
        <f>Лист1!AC14</f>
        <v>8052.525000000001</v>
      </c>
      <c r="I21" s="27">
        <f>Лист1!AG14</f>
        <v>505.5</v>
      </c>
      <c r="J21" s="11">
        <f>Лист1!AI14+Лист1!AJ14</f>
        <v>845.0275</v>
      </c>
      <c r="K21" s="11">
        <f>Лист1!AH14+Лист1!AK14+Лист1!AL14+Лист1!AM14+Лист1!AN14+Лист1!AO14+Лист1!AP14+Лист1!AQ14+Лист1!AR14</f>
        <v>2894.231825</v>
      </c>
      <c r="L21" s="12">
        <f>Лист1!AS14+Лист1!AT14+Лист1!AU14</f>
        <v>45481.9082</v>
      </c>
      <c r="M21" s="12">
        <f>Лист1!AX14</f>
        <v>92.37983999999999</v>
      </c>
      <c r="N21" s="225">
        <f t="shared" si="0"/>
        <v>49819.047365</v>
      </c>
      <c r="O21" s="29">
        <f>Лист1!BE14</f>
        <v>-41766.522365</v>
      </c>
      <c r="P21" s="56">
        <f>Лист1!BF14</f>
        <v>764.9000000000001</v>
      </c>
      <c r="Q21" s="1"/>
      <c r="R21" s="1"/>
    </row>
    <row r="22" spans="1:18" ht="12.75" hidden="1">
      <c r="A22" s="9" t="s">
        <v>48</v>
      </c>
      <c r="B22" s="10">
        <f>Лист1!B15</f>
        <v>842.5</v>
      </c>
      <c r="C22" s="64">
        <f>Лист1!C15</f>
        <v>7287.625</v>
      </c>
      <c r="D22" s="103">
        <f>Лист1!D15</f>
        <v>4158.435</v>
      </c>
      <c r="E22" s="27">
        <f>Лист1!S15</f>
        <v>2986.94</v>
      </c>
      <c r="F22" s="47">
        <f>Лист1!T15</f>
        <v>142.25</v>
      </c>
      <c r="G22" s="28">
        <f>Лист1!AB15</f>
        <v>2789.83</v>
      </c>
      <c r="H22" s="224">
        <f>Лист1!AC15</f>
        <v>7090.515</v>
      </c>
      <c r="I22" s="27">
        <f>Лист1!AG15</f>
        <v>505.5</v>
      </c>
      <c r="J22" s="11">
        <f>Лист1!AI15+Лист1!AJ15</f>
        <v>832.9436067500001</v>
      </c>
      <c r="K22" s="11">
        <f>Лист1!AH15+Лист1!AK15+Лист1!AL15+Лист1!AM15+Лист1!AN15+Лист1!AO15+Лист1!AP15+Лист1!AQ15+Лист1!AR15</f>
        <v>2865.6260855</v>
      </c>
      <c r="L22" s="12">
        <f>Лист1!AS15+Лист1!AT15+Лист1!AU15</f>
        <v>519.2</v>
      </c>
      <c r="M22" s="12">
        <f>Лист1!AX15</f>
        <v>98.32704</v>
      </c>
      <c r="N22" s="225">
        <f t="shared" si="0"/>
        <v>4821.59673225</v>
      </c>
      <c r="O22" s="29">
        <f>Лист1!BE15</f>
        <v>2268.9182677500003</v>
      </c>
      <c r="P22" s="56">
        <f>Лист1!BF15</f>
        <v>-197.11000000000013</v>
      </c>
      <c r="Q22" s="1"/>
      <c r="R22" s="1"/>
    </row>
    <row r="23" spans="1:18" ht="12.75" hidden="1">
      <c r="A23" s="9" t="s">
        <v>49</v>
      </c>
      <c r="B23" s="10">
        <f>Лист1!B16</f>
        <v>842.5</v>
      </c>
      <c r="C23" s="64">
        <f>Лист1!C16</f>
        <v>7287.625</v>
      </c>
      <c r="D23" s="103">
        <f>Лист1!D16</f>
        <v>4158.445</v>
      </c>
      <c r="E23" s="27">
        <f>Лист1!S16</f>
        <v>2986.9300000000003</v>
      </c>
      <c r="F23" s="47">
        <f>Лист1!T16</f>
        <v>142.25</v>
      </c>
      <c r="G23" s="28">
        <f>Лист1!AB16</f>
        <v>1940.89</v>
      </c>
      <c r="H23" s="224">
        <f>Лист1!AC16</f>
        <v>6241.585</v>
      </c>
      <c r="I23" s="27">
        <f>Лист1!AG16</f>
        <v>505.5</v>
      </c>
      <c r="J23" s="11">
        <f>Лист1!AI16+Лист1!AJ16</f>
        <v>832.57179465</v>
      </c>
      <c r="K23" s="11">
        <f>Лист1!AH16+Лист1!AK16+Лист1!AL16+Лист1!AM16+Лист1!AN16+Лист1!AO16+Лист1!AP16+Лист1!AQ16+Лист1!AR16</f>
        <v>11492.425465</v>
      </c>
      <c r="L23" s="12">
        <f>Лист1!AS16+Лист1!AT16+Лист1!AU16</f>
        <v>3819.6128</v>
      </c>
      <c r="M23" s="12">
        <f>Лист1!AX16</f>
        <v>0.39648</v>
      </c>
      <c r="N23" s="225">
        <f>SUM(I23:M23)</f>
        <v>16650.50653965</v>
      </c>
      <c r="O23" s="29">
        <f>Лист1!BE16</f>
        <v>-10408.921539649997</v>
      </c>
      <c r="P23" s="56">
        <f>Лист1!BF16</f>
        <v>-1046.0400000000002</v>
      </c>
      <c r="Q23" s="1"/>
      <c r="R23" s="1"/>
    </row>
    <row r="24" spans="1:18" ht="12.75" hidden="1">
      <c r="A24" s="9" t="s">
        <v>50</v>
      </c>
      <c r="B24" s="10">
        <f>Лист1!B17</f>
        <v>842.5</v>
      </c>
      <c r="C24" s="64">
        <f>Лист1!C17</f>
        <v>7287.625</v>
      </c>
      <c r="D24" s="103">
        <f>Лист1!D17</f>
        <v>4158.435</v>
      </c>
      <c r="E24" s="27">
        <f>Лист1!S17</f>
        <v>2986.94</v>
      </c>
      <c r="F24" s="47">
        <f>Лист1!T17</f>
        <v>142.25</v>
      </c>
      <c r="G24" s="28">
        <f>Лист1!AB17</f>
        <v>1324.07</v>
      </c>
      <c r="H24" s="224">
        <f>Лист1!AC17</f>
        <v>5624.755</v>
      </c>
      <c r="I24" s="27">
        <f>Лист1!AG17</f>
        <v>505.5</v>
      </c>
      <c r="J24" s="11">
        <f>Лист1!AI17+Лист1!AJ17</f>
        <v>832.428139975</v>
      </c>
      <c r="K24" s="11">
        <f>Лист1!AH17+Лист1!AK17+Лист1!AL17+Лист1!AM17+Лист1!AN17+Лист1!AO17+Лист1!AP17+Лист1!AQ17+Лист1!AR17</f>
        <v>2864.644197245</v>
      </c>
      <c r="L24" s="12">
        <f>Лист1!AS17+Лист1!AT17+Лист1!AU17</f>
        <v>0</v>
      </c>
      <c r="M24" s="12">
        <f>Лист1!AX17</f>
        <v>0.39648</v>
      </c>
      <c r="N24" s="225">
        <f>SUM(I24:M24)</f>
        <v>4202.96881722</v>
      </c>
      <c r="O24" s="29">
        <f>Лист1!BE17</f>
        <v>1421.7861827799998</v>
      </c>
      <c r="P24" s="56">
        <f>Лист1!BF17</f>
        <v>-1662.8700000000001</v>
      </c>
      <c r="Q24" s="1"/>
      <c r="R24" s="1"/>
    </row>
    <row r="25" spans="1:18" ht="12.75" hidden="1">
      <c r="A25" s="9" t="s">
        <v>38</v>
      </c>
      <c r="B25" s="10">
        <f>Лист1!B18</f>
        <v>842.5</v>
      </c>
      <c r="C25" s="64">
        <f>Лист1!C18</f>
        <v>7287.625</v>
      </c>
      <c r="D25" s="103">
        <f>Лист1!D18</f>
        <v>4158.455</v>
      </c>
      <c r="E25" s="27">
        <f>Лист1!S18</f>
        <v>2986.9100000000003</v>
      </c>
      <c r="F25" s="47">
        <f>Лист1!T18</f>
        <v>142.26</v>
      </c>
      <c r="G25" s="28">
        <f>Лист1!AB18</f>
        <v>3091.81</v>
      </c>
      <c r="H25" s="224">
        <f>Лист1!AC18</f>
        <v>7392.525</v>
      </c>
      <c r="I25" s="27">
        <f>Лист1!AG18</f>
        <v>505.5</v>
      </c>
      <c r="J25" s="11">
        <f>Лист1!AI18+Лист1!AJ18</f>
        <v>842.04505</v>
      </c>
      <c r="K25" s="11">
        <f>Лист1!AH18+Лист1!AK18+Лист1!AL18+Лист1!AM18+Лист1!AN18+Лист1!AO18+Лист1!AP18+Лист1!AQ18+Лист1!AR18</f>
        <v>2889.2695000000003</v>
      </c>
      <c r="L25" s="12">
        <f>Лист1!AS18+Лист1!AT18+Лист1!AU18</f>
        <v>0</v>
      </c>
      <c r="M25" s="12">
        <f>Лист1!AX18</f>
        <v>168.504</v>
      </c>
      <c r="N25" s="225">
        <f>SUM(I25:M25)</f>
        <v>4405.31855</v>
      </c>
      <c r="O25" s="29">
        <f>Лист1!BE18</f>
        <v>2987.2064499999997</v>
      </c>
      <c r="P25" s="56">
        <f>Лист1!BF18</f>
        <v>104.89999999999964</v>
      </c>
      <c r="Q25" s="1"/>
      <c r="R25" s="1"/>
    </row>
    <row r="26" spans="1:18" ht="12.75" hidden="1">
      <c r="A26" s="9" t="s">
        <v>39</v>
      </c>
      <c r="B26" s="10">
        <f>Лист1!B19</f>
        <v>842.5</v>
      </c>
      <c r="C26" s="64">
        <f>Лист1!C19</f>
        <v>7287.625</v>
      </c>
      <c r="D26" s="103">
        <f>Лист1!D19</f>
        <v>4165.635</v>
      </c>
      <c r="E26" s="27">
        <f>Лист1!S19</f>
        <v>2760.4400000000005</v>
      </c>
      <c r="F26" s="47">
        <f>Лист1!T19</f>
        <v>361.55</v>
      </c>
      <c r="G26" s="28">
        <f>Лист1!AB19</f>
        <v>1464.19</v>
      </c>
      <c r="H26" s="224">
        <f>Лист1!AC19</f>
        <v>5991.375</v>
      </c>
      <c r="I26" s="27">
        <f>Лист1!AG19</f>
        <v>505.5</v>
      </c>
      <c r="J26" s="11">
        <f>Лист1!AI19+Лист1!AJ19</f>
        <v>845.0275</v>
      </c>
      <c r="K26" s="11">
        <f>Лист1!AH19+Лист1!AK19+Лист1!AL19+Лист1!AM19+Лист1!AN19+Лист1!AO19+Лист1!AP19+Лист1!AQ19+Лист1!AR19</f>
        <v>2892.471</v>
      </c>
      <c r="L26" s="12">
        <f>Лист1!AS19+Лист1!AT19+Лист1!AU19</f>
        <v>0</v>
      </c>
      <c r="M26" s="12">
        <f>Лист1!AX19</f>
        <v>186.34560000000002</v>
      </c>
      <c r="N26" s="225">
        <f>SUM(I26:M26)</f>
        <v>4429.344099999999</v>
      </c>
      <c r="O26" s="29">
        <f>Лист1!BE19</f>
        <v>1562.0309000000007</v>
      </c>
      <c r="P26" s="56">
        <f>Лист1!BF19</f>
        <v>-1296.2500000000005</v>
      </c>
      <c r="Q26" s="1"/>
      <c r="R26" s="1"/>
    </row>
    <row r="27" spans="1:18" ht="13.5" hidden="1" thickBot="1">
      <c r="A27" s="30" t="s">
        <v>40</v>
      </c>
      <c r="B27" s="10">
        <f>Лист1!B20</f>
        <v>842.5</v>
      </c>
      <c r="C27" s="64">
        <f>Лист1!C20</f>
        <v>7287.625</v>
      </c>
      <c r="D27" s="103">
        <f>Лист1!D20</f>
        <v>4299.844999999999</v>
      </c>
      <c r="E27" s="27">
        <f>Лист1!S20</f>
        <v>2735.88</v>
      </c>
      <c r="F27" s="47">
        <f>Лист1!T20</f>
        <v>251.90000000000003</v>
      </c>
      <c r="G27" s="28">
        <f>Лист1!AB20</f>
        <v>2039.15</v>
      </c>
      <c r="H27" s="224">
        <f>Лист1!AC20</f>
        <v>6590.894999999999</v>
      </c>
      <c r="I27" s="27">
        <f>Лист1!AG20</f>
        <v>505.5</v>
      </c>
      <c r="J27" s="11">
        <f>Лист1!AI20+Лист1!AJ20</f>
        <v>845.0275</v>
      </c>
      <c r="K27" s="11">
        <f>Лист1!AH20+Лист1!AK20+Лист1!AL20+Лист1!AM20+Лист1!AN20+Лист1!AO20+Лист1!AP20+Лист1!AQ20+Лист1!AR20</f>
        <v>2892.471</v>
      </c>
      <c r="L27" s="12">
        <f>Лист1!AS20+Лист1!AT20+Лист1!AU20</f>
        <v>0</v>
      </c>
      <c r="M27" s="12">
        <f>Лист1!AX20</f>
        <v>203.79072</v>
      </c>
      <c r="N27" s="225">
        <f>SUM(I27:M27)</f>
        <v>4446.78922</v>
      </c>
      <c r="O27" s="29">
        <f>Лист1!BE20</f>
        <v>2144.105779999999</v>
      </c>
      <c r="P27" s="56">
        <f>Лист1!BF20</f>
        <v>-696.73</v>
      </c>
      <c r="Q27" s="1"/>
      <c r="R27" s="1"/>
    </row>
    <row r="28" spans="1:18" s="16" customFormat="1" ht="13.5" thickBot="1">
      <c r="A28" s="300" t="s">
        <v>91</v>
      </c>
      <c r="B28" s="301"/>
      <c r="C28" s="301"/>
      <c r="D28" s="302"/>
      <c r="E28" s="207"/>
      <c r="F28" s="209"/>
      <c r="G28" s="210"/>
      <c r="H28" s="211"/>
      <c r="I28" s="207"/>
      <c r="J28" s="209"/>
      <c r="K28" s="209"/>
      <c r="L28" s="209"/>
      <c r="M28" s="209"/>
      <c r="N28" s="209"/>
      <c r="O28" s="208"/>
      <c r="P28" s="211"/>
      <c r="Q28" s="38"/>
      <c r="R28" s="38"/>
    </row>
    <row r="29" spans="1:18" s="16" customFormat="1" ht="13.5" thickBot="1">
      <c r="A29" s="219" t="s">
        <v>93</v>
      </c>
      <c r="B29" s="32"/>
      <c r="C29" s="35">
        <f aca="true" t="shared" si="1" ref="C29:P29">SUM(C16:C27)</f>
        <v>87451.5</v>
      </c>
      <c r="D29" s="37">
        <f t="shared" si="1"/>
        <v>37140.63250000001</v>
      </c>
      <c r="E29" s="36">
        <f t="shared" si="1"/>
        <v>33553.46</v>
      </c>
      <c r="F29" s="33">
        <f t="shared" si="1"/>
        <v>2028.12</v>
      </c>
      <c r="G29" s="34">
        <f t="shared" si="1"/>
        <v>23459.350000000002</v>
      </c>
      <c r="H29" s="35">
        <f t="shared" si="1"/>
        <v>62628.1025</v>
      </c>
      <c r="I29" s="36">
        <f t="shared" si="1"/>
        <v>5863.8</v>
      </c>
      <c r="J29" s="33">
        <f t="shared" si="1"/>
        <v>9673.361601125</v>
      </c>
      <c r="K29" s="33">
        <f t="shared" si="1"/>
        <v>41627.444471744995</v>
      </c>
      <c r="L29" s="33">
        <f t="shared" si="1"/>
        <v>78038.5212</v>
      </c>
      <c r="M29" s="33">
        <f t="shared" si="1"/>
        <v>1490.7648</v>
      </c>
      <c r="N29" s="33">
        <f t="shared" si="1"/>
        <v>136693.89207287</v>
      </c>
      <c r="O29" s="37">
        <f t="shared" si="1"/>
        <v>-74065.78957287</v>
      </c>
      <c r="P29" s="58">
        <f t="shared" si="1"/>
        <v>-10094.109999999999</v>
      </c>
      <c r="Q29" s="38"/>
      <c r="R29" s="38"/>
    </row>
    <row r="30" spans="1:18" ht="12.75">
      <c r="A30" s="212" t="s">
        <v>90</v>
      </c>
      <c r="B30" s="10"/>
      <c r="C30" s="213"/>
      <c r="D30" s="213"/>
      <c r="E30" s="11"/>
      <c r="F30" s="11"/>
      <c r="G30" s="11"/>
      <c r="H30" s="226"/>
      <c r="I30" s="11"/>
      <c r="J30" s="11"/>
      <c r="K30" s="11"/>
      <c r="L30" s="12"/>
      <c r="M30" s="12"/>
      <c r="N30" s="226"/>
      <c r="O30" s="11"/>
      <c r="P30" s="11"/>
      <c r="Q30" s="1"/>
      <c r="R30" s="1"/>
    </row>
    <row r="31" spans="1:18" ht="12.75">
      <c r="A31" s="17" t="s">
        <v>42</v>
      </c>
      <c r="B31" s="10">
        <f>Лист1!B24</f>
        <v>842.5</v>
      </c>
      <c r="C31" s="213">
        <f>Лист1!C24</f>
        <v>7287.625</v>
      </c>
      <c r="D31" s="213">
        <f>Лист1!D24</f>
        <v>4165.634999999999</v>
      </c>
      <c r="E31" s="11">
        <f>Лист1!S24</f>
        <v>2870.0899999999997</v>
      </c>
      <c r="F31" s="11">
        <f>Лист1!T24</f>
        <v>251.90000000000003</v>
      </c>
      <c r="G31" s="11">
        <f>Лист1!AB24</f>
        <v>1093.23</v>
      </c>
      <c r="H31" s="226">
        <f>Лист1!AC24</f>
        <v>5510.764999999999</v>
      </c>
      <c r="I31" s="11">
        <f>Лист1!AG24</f>
        <v>505.5</v>
      </c>
      <c r="J31" s="11">
        <f>Лист1!AI24+Лист1!AJ24</f>
        <v>842.5</v>
      </c>
      <c r="K31" s="11">
        <f>Лист1!AH24+Лист1!AK24+Лист1!AL24+Лист1!AM24+Лист1!AN24+Лист1!AO24+Лист1!AP24+Лист1!AQ24+Лист1!AR24</f>
        <v>2889.775</v>
      </c>
      <c r="L31" s="12">
        <f>Лист1!AS24+Лист1!AT24+Лист1!AU24</f>
        <v>0</v>
      </c>
      <c r="M31" s="12">
        <f>Лист1!AX24</f>
        <v>213.35999999999999</v>
      </c>
      <c r="N31" s="226">
        <f>SUM(I31:M31)</f>
        <v>4451.134999999999</v>
      </c>
      <c r="O31" s="11">
        <f>Лист1!BE24</f>
        <v>1059.63</v>
      </c>
      <c r="P31" s="11">
        <f>Лист1!BF24</f>
        <v>-1776.8599999999997</v>
      </c>
      <c r="Q31" s="1"/>
      <c r="R31" s="1"/>
    </row>
    <row r="32" spans="1:18" ht="12.75">
      <c r="A32" s="17" t="s">
        <v>43</v>
      </c>
      <c r="B32" s="10">
        <f>Лист1!B25</f>
        <v>842.5</v>
      </c>
      <c r="C32" s="213">
        <f>Лист1!C25</f>
        <v>7287.625</v>
      </c>
      <c r="D32" s="213">
        <f>Лист1!D25</f>
        <v>4165.634999999999</v>
      </c>
      <c r="E32" s="11">
        <f>Лист1!S25</f>
        <v>2870.0899999999997</v>
      </c>
      <c r="F32" s="11">
        <f>Лист1!T25</f>
        <v>251.90000000000003</v>
      </c>
      <c r="G32" s="11">
        <f>Лист1!AB25</f>
        <v>2681.75</v>
      </c>
      <c r="H32" s="226">
        <f>Лист1!AC25</f>
        <v>7099.284999999999</v>
      </c>
      <c r="I32" s="11">
        <f>Лист1!AG25</f>
        <v>505.5</v>
      </c>
      <c r="J32" s="11">
        <f>Лист1!AI25+Лист1!AJ25</f>
        <v>842.5</v>
      </c>
      <c r="K32" s="11">
        <f>Лист1!AH25+Лист1!AK25+Лист1!AL25+Лист1!AM25+Лист1!AN25+Лист1!AO25+Лист1!AP25+Лист1!AQ25+Лист1!AR25</f>
        <v>2889.775</v>
      </c>
      <c r="L32" s="12">
        <f>Лист1!AS25+Лист1!AT25+Лист1!AU25</f>
        <v>0</v>
      </c>
      <c r="M32" s="12">
        <f>Лист1!AX25</f>
        <v>170.93999999999997</v>
      </c>
      <c r="N32" s="226">
        <f aca="true" t="shared" si="2" ref="N32:N37">SUM(I32:M32)</f>
        <v>4408.714999999999</v>
      </c>
      <c r="O32" s="11">
        <f>Лист1!BE25</f>
        <v>2690.5699999999997</v>
      </c>
      <c r="P32" s="11">
        <f>Лист1!BF25</f>
        <v>-188.3399999999997</v>
      </c>
      <c r="Q32" s="1"/>
      <c r="R32" s="1"/>
    </row>
    <row r="33" spans="1:18" ht="12.75">
      <c r="A33" s="17" t="s">
        <v>44</v>
      </c>
      <c r="B33" s="10">
        <f>Лист1!B26</f>
        <v>842.5</v>
      </c>
      <c r="C33" s="213">
        <f>Лист1!C26</f>
        <v>7287.625</v>
      </c>
      <c r="D33" s="213">
        <f>Лист1!D26</f>
        <v>4082.804999999999</v>
      </c>
      <c r="E33" s="11">
        <f>Лист1!S26</f>
        <v>2952.9199999999996</v>
      </c>
      <c r="F33" s="11">
        <f>Лист1!T26</f>
        <v>251.90000000000003</v>
      </c>
      <c r="G33" s="11">
        <f>Лист1!AB26</f>
        <v>2262.7599999999998</v>
      </c>
      <c r="H33" s="226">
        <f>Лист1!AC26</f>
        <v>6597.464999999998</v>
      </c>
      <c r="I33" s="11">
        <f>Лист1!AG26</f>
        <v>505.5</v>
      </c>
      <c r="J33" s="11">
        <f>Лист1!AI26+Лист1!AJ26</f>
        <v>842.5</v>
      </c>
      <c r="K33" s="11">
        <f>Лист1!AH26+Лист1!AK26+Лист1!AL26+Лист1!AM26+Лист1!AN26+Лист1!AO26+Лист1!AP26+Лист1!AQ26+Лист1!AR26</f>
        <v>2889.775</v>
      </c>
      <c r="L33" s="12">
        <f>Лист1!AS26+Лист1!AT26+Лист1!AU26</f>
        <v>0</v>
      </c>
      <c r="M33" s="12">
        <f>Лист1!AX26</f>
        <v>160.85999999999999</v>
      </c>
      <c r="N33" s="226">
        <f t="shared" si="2"/>
        <v>4398.634999999999</v>
      </c>
      <c r="O33" s="11">
        <f>Лист1!BE26</f>
        <v>2198.829999999999</v>
      </c>
      <c r="P33" s="11">
        <f>Лист1!BF26</f>
        <v>-690.1599999999999</v>
      </c>
      <c r="Q33" s="1"/>
      <c r="R33" s="1"/>
    </row>
    <row r="34" spans="1:18" ht="12.75">
      <c r="A34" s="17" t="s">
        <v>45</v>
      </c>
      <c r="B34" s="10">
        <f>Лист1!B27</f>
        <v>842.5</v>
      </c>
      <c r="C34" s="213">
        <f>Лист1!C27</f>
        <v>7287.625</v>
      </c>
      <c r="D34" s="213">
        <f>Лист1!D27</f>
        <v>4165.664999999999</v>
      </c>
      <c r="E34" s="11">
        <f>Лист1!S27</f>
        <v>2870.0600000000004</v>
      </c>
      <c r="F34" s="11">
        <f>Лист1!T27</f>
        <v>251.90000000000003</v>
      </c>
      <c r="G34" s="11">
        <f>Лист1!AB27</f>
        <v>1542.0700000000002</v>
      </c>
      <c r="H34" s="226">
        <f>Лист1!AC27</f>
        <v>5959.634999999998</v>
      </c>
      <c r="I34" s="11">
        <f>Лист1!AG27</f>
        <v>505.5</v>
      </c>
      <c r="J34" s="11">
        <f>Лист1!AI27+Лист1!AJ27</f>
        <v>842.5</v>
      </c>
      <c r="K34" s="11">
        <f>Лист1!AH27+Лист1!AK27+Лист1!AL27+Лист1!AM27+Лист1!AN27+Лист1!AO27+Лист1!AP27+Лист1!AQ27+Лист1!AR27</f>
        <v>2889.775</v>
      </c>
      <c r="L34" s="12">
        <f>Лист1!AS27+Лист1!AT27+Лист1!AU27</f>
        <v>0</v>
      </c>
      <c r="M34" s="12">
        <f>Лист1!AX27</f>
        <v>128.94</v>
      </c>
      <c r="N34" s="226">
        <f t="shared" si="2"/>
        <v>4366.714999999999</v>
      </c>
      <c r="O34" s="11">
        <f>Лист1!BE27</f>
        <v>1592.9199999999992</v>
      </c>
      <c r="P34" s="11">
        <f>Лист1!BF27</f>
        <v>-1327.9900000000002</v>
      </c>
      <c r="Q34" s="1"/>
      <c r="R34" s="1"/>
    </row>
    <row r="35" spans="1:18" ht="12.75">
      <c r="A35" s="17" t="s">
        <v>46</v>
      </c>
      <c r="B35" s="10">
        <f>Лист1!B28</f>
        <v>842.5</v>
      </c>
      <c r="C35" s="213">
        <f>Лист1!C28</f>
        <v>7287.625</v>
      </c>
      <c r="D35" s="213">
        <f>Лист1!D28</f>
        <v>4165.675</v>
      </c>
      <c r="E35" s="11">
        <f>Лист1!S28</f>
        <v>2870.11</v>
      </c>
      <c r="F35" s="11">
        <f>Лист1!T28</f>
        <v>251.84</v>
      </c>
      <c r="G35" s="11">
        <f>Лист1!AB28</f>
        <v>1434.6899999999998</v>
      </c>
      <c r="H35" s="226">
        <f>Лист1!AC28</f>
        <v>5852.205</v>
      </c>
      <c r="I35" s="11">
        <f>Лист1!AG28</f>
        <v>505.5</v>
      </c>
      <c r="J35" s="11">
        <f>Лист1!AI28+Лист1!AJ28</f>
        <v>842.5</v>
      </c>
      <c r="K35" s="11">
        <f>Лист1!AH28+Лист1!AK28+Лист1!AL28+Лист1!AM28+Лист1!AN28+Лист1!AO28+Лист1!AP28+Лист1!AQ28+Лист1!AR28</f>
        <v>2889.775</v>
      </c>
      <c r="L35" s="12">
        <f>Лист1!AS28+Лист1!AT28+Лист1!AU28</f>
        <v>1294</v>
      </c>
      <c r="M35" s="12">
        <f>Лист1!AX28</f>
        <v>110.45999999999998</v>
      </c>
      <c r="N35" s="226">
        <f t="shared" si="2"/>
        <v>5642.235</v>
      </c>
      <c r="O35" s="11">
        <f>Лист1!BE28</f>
        <v>209.97000000000025</v>
      </c>
      <c r="P35" s="11">
        <f>Лист1!BF28</f>
        <v>-1435.4200000000003</v>
      </c>
      <c r="Q35" s="1"/>
      <c r="R35" s="1"/>
    </row>
    <row r="36" spans="1:18" ht="12.75">
      <c r="A36" s="17" t="s">
        <v>47</v>
      </c>
      <c r="B36" s="10">
        <f>Лист1!B29</f>
        <v>842.5</v>
      </c>
      <c r="C36" s="213">
        <f>Лист1!C29</f>
        <v>7287.625</v>
      </c>
      <c r="D36" s="213">
        <f>Лист1!D29</f>
        <v>4165.675</v>
      </c>
      <c r="E36" s="11">
        <f>Лист1!S29</f>
        <v>2870.11</v>
      </c>
      <c r="F36" s="11">
        <f>Лист1!T29</f>
        <v>251.84</v>
      </c>
      <c r="G36" s="11">
        <f>Лист1!AB29</f>
        <v>2118.81</v>
      </c>
      <c r="H36" s="226">
        <f>Лист1!AC29</f>
        <v>6536.325000000001</v>
      </c>
      <c r="I36" s="11">
        <f>Лист1!AG29</f>
        <v>505.5</v>
      </c>
      <c r="J36" s="11">
        <f>Лист1!AI29+Лист1!AJ29</f>
        <v>842.5</v>
      </c>
      <c r="K36" s="11">
        <f>Лист1!AH29+Лист1!AK29+Лист1!AL29+Лист1!AM29+Лист1!AN29+Лист1!AO29+Лист1!AP29+Лист1!AQ29+Лист1!AR29</f>
        <v>2889.775</v>
      </c>
      <c r="L36" s="12">
        <f>Лист1!AS29+Лист1!AT29+Лист1!AU29</f>
        <v>0</v>
      </c>
      <c r="M36" s="12">
        <f>Лист1!AX29</f>
        <v>97.85999999999999</v>
      </c>
      <c r="N36" s="226">
        <f t="shared" si="2"/>
        <v>4335.634999999999</v>
      </c>
      <c r="O36" s="11">
        <f>Лист1!BE29</f>
        <v>2200.6900000000014</v>
      </c>
      <c r="P36" s="11">
        <f>Лист1!BF29</f>
        <v>-751.3000000000002</v>
      </c>
      <c r="Q36" s="1"/>
      <c r="R36" s="1"/>
    </row>
    <row r="37" spans="1:18" ht="12.75">
      <c r="A37" s="17" t="s">
        <v>48</v>
      </c>
      <c r="B37" s="10">
        <f>Лист1!B30</f>
        <v>842.5</v>
      </c>
      <c r="C37" s="213">
        <f>Лист1!C30</f>
        <v>7287.625</v>
      </c>
      <c r="D37" s="213">
        <f>Лист1!D30</f>
        <v>4158.365</v>
      </c>
      <c r="E37" s="11">
        <f>Лист1!S30</f>
        <v>3129.2599999999998</v>
      </c>
      <c r="F37" s="11">
        <f>Лист1!T30</f>
        <v>0</v>
      </c>
      <c r="G37" s="11">
        <f>Лист1!AB30</f>
        <v>1822.6200000000001</v>
      </c>
      <c r="H37" s="226">
        <f>Лист1!AC30</f>
        <v>5980.985</v>
      </c>
      <c r="I37" s="11">
        <f>Лист1!AG30</f>
        <v>505.5</v>
      </c>
      <c r="J37" s="11">
        <f>Лист1!AI30+Лист1!AJ30</f>
        <v>842.5</v>
      </c>
      <c r="K37" s="11">
        <f>Лист1!AH30+Лист1!AK30+Лист1!AL30+Лист1!AM30+Лист1!AN30+Лист1!AO30+Лист1!AP30+Лист1!AQ30+Лист1!AR30</f>
        <v>2889.775</v>
      </c>
      <c r="L37" s="12">
        <f>Лист1!AS30+Лист1!AT30+Лист1!AU30</f>
        <v>0</v>
      </c>
      <c r="M37" s="12">
        <f>Лист1!AX30</f>
        <v>104.15999999999998</v>
      </c>
      <c r="N37" s="226">
        <f t="shared" si="2"/>
        <v>4341.9349999999995</v>
      </c>
      <c r="O37" s="11">
        <f>Лист1!BE30</f>
        <v>1639.0500000000002</v>
      </c>
      <c r="P37" s="11">
        <f>Лист1!BF30</f>
        <v>-1306.6399999999996</v>
      </c>
      <c r="Q37" s="1"/>
      <c r="R37" s="1"/>
    </row>
    <row r="38" spans="1:16" ht="12.75">
      <c r="A38" s="17" t="s">
        <v>49</v>
      </c>
      <c r="B38" s="10">
        <f>Лист1!B31</f>
        <v>842.5</v>
      </c>
      <c r="C38" s="213">
        <f>Лист1!C31</f>
        <v>7287.625</v>
      </c>
      <c r="D38" s="213">
        <f>Лист1!D31</f>
        <v>4158.344999999999</v>
      </c>
      <c r="E38" s="11">
        <f>Лист1!S31</f>
        <v>3129.2799999999997</v>
      </c>
      <c r="F38" s="11">
        <f>Лист1!T31</f>
        <v>0</v>
      </c>
      <c r="G38" s="11">
        <f>Лист1!AB31</f>
        <v>4138.5</v>
      </c>
      <c r="H38" s="226">
        <f>Лист1!AC31</f>
        <v>8296.845</v>
      </c>
      <c r="I38" s="11">
        <f>Лист1!AG31</f>
        <v>505.5</v>
      </c>
      <c r="J38" s="11">
        <f>Лист1!AI31+Лист1!AJ31</f>
        <v>842.5</v>
      </c>
      <c r="K38" s="11">
        <f>Лист1!AH31+Лист1!AK31+Лист1!AL31+Лист1!AM31+Лист1!AN31+Лист1!AO31+Лист1!AP31+Лист1!AQ31+Лист1!AR31</f>
        <v>2889.775</v>
      </c>
      <c r="L38" s="12">
        <f>Лист1!AS31+Лист1!AT31+Лист1!AU31</f>
        <v>47.8</v>
      </c>
      <c r="M38" s="12">
        <f>Лист1!AX31</f>
        <v>123.05999999999997</v>
      </c>
      <c r="N38" s="226">
        <f>SUM(I38:M38)</f>
        <v>4408.635</v>
      </c>
      <c r="O38" s="11">
        <f>Лист1!BE31</f>
        <v>3888.209999999999</v>
      </c>
      <c r="P38" s="11">
        <f>Лист1!BF31</f>
        <v>1009.2200000000003</v>
      </c>
    </row>
    <row r="39" spans="1:16" ht="12.75">
      <c r="A39" s="17" t="s">
        <v>50</v>
      </c>
      <c r="B39" s="10">
        <f>Лист1!B32</f>
        <v>842.5</v>
      </c>
      <c r="C39" s="213">
        <f>Лист1!C32</f>
        <v>7287.625</v>
      </c>
      <c r="D39" s="213">
        <f>Лист1!D32</f>
        <v>4158.365</v>
      </c>
      <c r="E39" s="11">
        <f>Лист1!S32</f>
        <v>3129.26</v>
      </c>
      <c r="F39" s="11">
        <f>Лист1!T32</f>
        <v>0</v>
      </c>
      <c r="G39" s="11">
        <f>Лист1!AB32</f>
        <v>2713.2999999999997</v>
      </c>
      <c r="H39" s="226">
        <f>Лист1!AC32</f>
        <v>6871.664999999999</v>
      </c>
      <c r="I39" s="11">
        <f>Лист1!AG32</f>
        <v>505.5</v>
      </c>
      <c r="J39" s="11">
        <f>Лист1!AI32+Лист1!AJ32</f>
        <v>842.5</v>
      </c>
      <c r="K39" s="11">
        <f>Лист1!AH32+Лист1!AK32+Лист1!AL32+Лист1!AM32+Лист1!AN32+Лист1!AO32+Лист1!AP32+Лист1!AQ32+Лист1!AR32</f>
        <v>2889.775</v>
      </c>
      <c r="L39" s="12">
        <f>Лист1!AS32+Лист1!AT32+Лист1!AU32</f>
        <v>0</v>
      </c>
      <c r="M39" s="12">
        <f>Лист1!AX32</f>
        <v>146.57999999999998</v>
      </c>
      <c r="N39" s="226">
        <f>SUM(I39:M39)</f>
        <v>4384.355</v>
      </c>
      <c r="O39" s="11">
        <f>Лист1!BE32</f>
        <v>2487.3099999999995</v>
      </c>
      <c r="P39" s="11">
        <f>Лист1!BF32</f>
        <v>-415.9600000000005</v>
      </c>
    </row>
    <row r="40" spans="1:16" ht="12.75">
      <c r="A40" s="17" t="s">
        <v>38</v>
      </c>
      <c r="B40" s="10">
        <f>Лист1!B33</f>
        <v>842.5</v>
      </c>
      <c r="C40" s="213">
        <f>Лист1!C33</f>
        <v>7287.625</v>
      </c>
      <c r="D40" s="213">
        <f>Лист1!D33</f>
        <v>4158.344999999999</v>
      </c>
      <c r="E40" s="11">
        <f>Лист1!S33</f>
        <v>3129.2799999999997</v>
      </c>
      <c r="F40" s="11">
        <f>Лист1!T33</f>
        <v>0</v>
      </c>
      <c r="G40" s="11">
        <f>Лист1!AB33</f>
        <v>2149.21</v>
      </c>
      <c r="H40" s="226">
        <f>Лист1!AC33</f>
        <v>6307.554999999999</v>
      </c>
      <c r="I40" s="11">
        <f>Лист1!AG33</f>
        <v>505.5</v>
      </c>
      <c r="J40" s="11">
        <f>Лист1!AI33+Лист1!AJ33</f>
        <v>842.5</v>
      </c>
      <c r="K40" s="11">
        <f>Лист1!AH33+Лист1!AK33+Лист1!AL33+Лист1!AM33+Лист1!AN33+Лист1!AO33+Лист1!AP33+Лист1!AQ33+Лист1!AR33</f>
        <v>2889.775</v>
      </c>
      <c r="L40" s="12">
        <f>Лист1!AS33+Лист1!AT33+Лист1!AU33</f>
        <v>0</v>
      </c>
      <c r="M40" s="12">
        <f>Лист1!AX33</f>
        <v>178.5</v>
      </c>
      <c r="N40" s="226">
        <f>SUM(I40:M40)</f>
        <v>4416.275</v>
      </c>
      <c r="O40" s="11">
        <f>Лист1!BE33</f>
        <v>1891.2799999999997</v>
      </c>
      <c r="P40" s="11">
        <f>Лист1!BF33</f>
        <v>-980.0699999999997</v>
      </c>
    </row>
    <row r="41" spans="1:16" ht="12.75">
      <c r="A41" s="17" t="s">
        <v>39</v>
      </c>
      <c r="B41" s="10">
        <f>Лист1!B34</f>
        <v>842.5</v>
      </c>
      <c r="C41" s="213">
        <f>Лист1!C34</f>
        <v>7287.625</v>
      </c>
      <c r="D41" s="213">
        <f>Лист1!D34</f>
        <v>4166.345</v>
      </c>
      <c r="E41" s="11">
        <f>Лист1!S34</f>
        <v>3121.2799999999997</v>
      </c>
      <c r="F41" s="11">
        <f>Лист1!T34</f>
        <v>0</v>
      </c>
      <c r="G41" s="11">
        <f>Лист1!AB34</f>
        <v>2813.19</v>
      </c>
      <c r="H41" s="226">
        <f>Лист1!AC34</f>
        <v>6979.535</v>
      </c>
      <c r="I41" s="11">
        <f>Лист1!AG34</f>
        <v>505.5</v>
      </c>
      <c r="J41" s="11">
        <f>Лист1!AI34+Лист1!AJ34</f>
        <v>842.5</v>
      </c>
      <c r="K41" s="11">
        <f>Лист1!AH34+Лист1!AK34+Лист1!AL34+Лист1!AM34+Лист1!AN34+Лист1!AO34+Лист1!AP34+Лист1!AQ34+Лист1!AR34</f>
        <v>2889.775</v>
      </c>
      <c r="L41" s="12">
        <f>Лист1!AS34+Лист1!AT34+Лист1!AU34</f>
        <v>0</v>
      </c>
      <c r="M41" s="12">
        <f>Лист1!AX34</f>
        <v>197.39999999999998</v>
      </c>
      <c r="N41" s="226">
        <f>SUM(I41:M41)</f>
        <v>4435.174999999999</v>
      </c>
      <c r="O41" s="11">
        <f>Лист1!BE34</f>
        <v>2544.3600000000006</v>
      </c>
      <c r="P41" s="11">
        <f>Лист1!BF34</f>
        <v>-308.0899999999997</v>
      </c>
    </row>
    <row r="42" spans="1:16" ht="12.75">
      <c r="A42" s="17" t="s">
        <v>40</v>
      </c>
      <c r="B42" s="10">
        <f>Лист1!B35</f>
        <v>842.5</v>
      </c>
      <c r="C42" s="213">
        <f>Лист1!C35</f>
        <v>7287.625</v>
      </c>
      <c r="D42" s="213">
        <f>Лист1!D35</f>
        <v>4166.3550000000005</v>
      </c>
      <c r="E42" s="11">
        <f>Лист1!S35</f>
        <v>3121.27</v>
      </c>
      <c r="F42" s="11">
        <f>Лист1!T35</f>
        <v>0</v>
      </c>
      <c r="G42" s="11">
        <f>Лист1!AB35</f>
        <v>1905.3400000000001</v>
      </c>
      <c r="H42" s="226">
        <f>Лист1!AC35</f>
        <v>6071.695000000001</v>
      </c>
      <c r="I42" s="11">
        <f>Лист1!AG35</f>
        <v>505.5</v>
      </c>
      <c r="J42" s="11">
        <f>Лист1!AI35+Лист1!AJ35</f>
        <v>842.5</v>
      </c>
      <c r="K42" s="11">
        <f>Лист1!AH35+Лист1!AK35+Лист1!AL35+Лист1!AM35+Лист1!AN35+Лист1!AO35+Лист1!AP35+Лист1!AQ35+Лист1!AR35</f>
        <v>2889.775</v>
      </c>
      <c r="L42" s="12">
        <f>Лист1!AS35+Лист1!AT35+Лист1!AU35</f>
        <v>0</v>
      </c>
      <c r="M42" s="12">
        <f>Лист1!AX35</f>
        <v>215.87999999999997</v>
      </c>
      <c r="N42" s="226">
        <f>SUM(I42:M42)</f>
        <v>4453.655</v>
      </c>
      <c r="O42" s="11">
        <f>Лист1!BE35</f>
        <v>1618.0400000000009</v>
      </c>
      <c r="P42" s="11">
        <f>Лист1!BF35</f>
        <v>-1215.9299999999998</v>
      </c>
    </row>
    <row r="43" spans="1:16" ht="13.5" thickBot="1">
      <c r="A43" s="179"/>
      <c r="B43" s="180"/>
      <c r="C43" s="179"/>
      <c r="D43" s="180"/>
      <c r="E43" s="179"/>
      <c r="F43" s="180"/>
      <c r="G43" s="179"/>
      <c r="H43" s="180"/>
      <c r="I43" s="179"/>
      <c r="J43" s="180"/>
      <c r="K43" s="179"/>
      <c r="L43" s="180"/>
      <c r="M43" s="179"/>
      <c r="N43" s="180"/>
      <c r="O43" s="179"/>
      <c r="P43" s="180"/>
    </row>
    <row r="44" spans="1:16" ht="13.5" thickBot="1">
      <c r="A44" s="31" t="s">
        <v>3</v>
      </c>
      <c r="B44" s="32"/>
      <c r="C44" s="35">
        <f aca="true" t="shared" si="3" ref="C44:P44">SUM(C31:C42)</f>
        <v>87451.5</v>
      </c>
      <c r="D44" s="37">
        <f t="shared" si="3"/>
        <v>49877.21</v>
      </c>
      <c r="E44" s="36">
        <f t="shared" si="3"/>
        <v>36063.009999999995</v>
      </c>
      <c r="F44" s="33">
        <f t="shared" si="3"/>
        <v>1511.28</v>
      </c>
      <c r="G44" s="34">
        <f t="shared" si="3"/>
        <v>26675.469999999998</v>
      </c>
      <c r="H44" s="35">
        <f t="shared" si="3"/>
        <v>78063.96</v>
      </c>
      <c r="I44" s="36">
        <f t="shared" si="3"/>
        <v>6066</v>
      </c>
      <c r="J44" s="33">
        <f t="shared" si="3"/>
        <v>10110</v>
      </c>
      <c r="K44" s="33">
        <f t="shared" si="3"/>
        <v>34677.30000000001</v>
      </c>
      <c r="L44" s="33">
        <f t="shared" si="3"/>
        <v>1341.8</v>
      </c>
      <c r="M44" s="33">
        <f t="shared" si="3"/>
        <v>1847.9999999999998</v>
      </c>
      <c r="N44" s="33">
        <f t="shared" si="3"/>
        <v>54043.09999999999</v>
      </c>
      <c r="O44" s="37">
        <f t="shared" si="3"/>
        <v>24020.86</v>
      </c>
      <c r="P44" s="58">
        <f t="shared" si="3"/>
        <v>-9387.539999999999</v>
      </c>
    </row>
    <row r="45" spans="1:18" ht="13.5" thickBot="1">
      <c r="A45" s="298" t="s">
        <v>92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14"/>
      <c r="Q45" s="1"/>
      <c r="R45" s="1"/>
    </row>
    <row r="46" spans="1:18" s="16" customFormat="1" ht="13.5" thickBot="1">
      <c r="A46" s="215" t="s">
        <v>93</v>
      </c>
      <c r="B46" s="216"/>
      <c r="C46" s="217">
        <f aca="true" t="shared" si="4" ref="C46:P46">C29+C44</f>
        <v>174903</v>
      </c>
      <c r="D46" s="217">
        <f t="shared" si="4"/>
        <v>87017.8425</v>
      </c>
      <c r="E46" s="217">
        <f t="shared" si="4"/>
        <v>69616.47</v>
      </c>
      <c r="F46" s="217">
        <f t="shared" si="4"/>
        <v>3539.3999999999996</v>
      </c>
      <c r="G46" s="217">
        <f t="shared" si="4"/>
        <v>50134.82</v>
      </c>
      <c r="H46" s="217">
        <f t="shared" si="4"/>
        <v>140692.0625</v>
      </c>
      <c r="I46" s="217">
        <f t="shared" si="4"/>
        <v>11929.8</v>
      </c>
      <c r="J46" s="217">
        <f t="shared" si="4"/>
        <v>19783.361601124998</v>
      </c>
      <c r="K46" s="217">
        <f t="shared" si="4"/>
        <v>76304.74447174501</v>
      </c>
      <c r="L46" s="217">
        <f t="shared" si="4"/>
        <v>79380.3212</v>
      </c>
      <c r="M46" s="217">
        <f t="shared" si="4"/>
        <v>3338.7648</v>
      </c>
      <c r="N46" s="217">
        <f t="shared" si="4"/>
        <v>190736.99207286997</v>
      </c>
      <c r="O46" s="217">
        <f t="shared" si="4"/>
        <v>-50044.929572869994</v>
      </c>
      <c r="P46" s="217">
        <f t="shared" si="4"/>
        <v>-19481.649999999998</v>
      </c>
      <c r="Q46" s="218"/>
      <c r="R46" s="38"/>
    </row>
    <row r="48" spans="1:20" ht="12.75">
      <c r="A48" s="16" t="s">
        <v>88</v>
      </c>
      <c r="D48" s="220" t="s">
        <v>95</v>
      </c>
      <c r="S48" s="1"/>
      <c r="T48" s="1"/>
    </row>
    <row r="49" spans="1:20" ht="12.75">
      <c r="A49" s="17" t="s">
        <v>64</v>
      </c>
      <c r="B49" s="17" t="s">
        <v>65</v>
      </c>
      <c r="C49" s="303" t="s">
        <v>66</v>
      </c>
      <c r="D49" s="303"/>
      <c r="S49" s="1"/>
      <c r="T49" s="1"/>
    </row>
    <row r="50" spans="1:20" ht="12.75">
      <c r="A50" s="221">
        <v>51129.35</v>
      </c>
      <c r="B50" s="221">
        <v>0</v>
      </c>
      <c r="C50" s="304">
        <f>A50-B50</f>
        <v>51129.35</v>
      </c>
      <c r="D50" s="305"/>
      <c r="S50" s="1"/>
      <c r="T50" s="1"/>
    </row>
    <row r="51" spans="1:20" ht="12.75">
      <c r="A51" s="43"/>
      <c r="S51" s="1"/>
      <c r="T51" s="1"/>
    </row>
    <row r="52" spans="1:20" ht="12.75">
      <c r="A52" s="2" t="s">
        <v>67</v>
      </c>
      <c r="G52" s="2" t="s">
        <v>68</v>
      </c>
      <c r="S52" s="1"/>
      <c r="T52" s="1"/>
    </row>
    <row r="53" ht="12.75">
      <c r="A53" s="1"/>
    </row>
    <row r="54" ht="12.75">
      <c r="A54" s="1"/>
    </row>
    <row r="55" ht="12.75">
      <c r="A55" s="2" t="s">
        <v>89</v>
      </c>
    </row>
    <row r="56" ht="12.75">
      <c r="A56" s="2" t="s">
        <v>69</v>
      </c>
    </row>
  </sheetData>
  <sheetProtection/>
  <mergeCells count="23">
    <mergeCell ref="I10:N11"/>
    <mergeCell ref="O10:O13"/>
    <mergeCell ref="A7:G7"/>
    <mergeCell ref="N12:N13"/>
    <mergeCell ref="G10:H11"/>
    <mergeCell ref="E10:F11"/>
    <mergeCell ref="M12:M13"/>
    <mergeCell ref="A6:O6"/>
    <mergeCell ref="A10:A13"/>
    <mergeCell ref="B10:B13"/>
    <mergeCell ref="C10:C13"/>
    <mergeCell ref="D10:D13"/>
    <mergeCell ref="L12:L13"/>
    <mergeCell ref="A45:O45"/>
    <mergeCell ref="A28:D28"/>
    <mergeCell ref="C49:D49"/>
    <mergeCell ref="C50:D50"/>
    <mergeCell ref="P10:P13"/>
    <mergeCell ref="E12:F12"/>
    <mergeCell ref="H12:H13"/>
    <mergeCell ref="I12:I13"/>
    <mergeCell ref="J12:J13"/>
    <mergeCell ref="K12:K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4"/>
  <sheetViews>
    <sheetView zoomScalePageLayoutView="0" workbookViewId="0" topLeftCell="A1">
      <pane xSplit="2" ySplit="7" topLeftCell="AV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10" sqref="BG10:BG21"/>
    </sheetView>
  </sheetViews>
  <sheetFormatPr defaultColWidth="9.00390625" defaultRowHeight="12.75"/>
  <cols>
    <col min="1" max="1" width="8.75390625" style="346" bestFit="1" customWidth="1"/>
    <col min="2" max="2" width="9.125" style="346" customWidth="1"/>
    <col min="3" max="3" width="10.125" style="346" customWidth="1"/>
    <col min="4" max="4" width="10.375" style="346" customWidth="1"/>
    <col min="5" max="6" width="9.125" style="346" customWidth="1"/>
    <col min="7" max="7" width="10.25390625" style="346" customWidth="1"/>
    <col min="8" max="8" width="9.125" style="346" customWidth="1"/>
    <col min="9" max="9" width="9.875" style="346" customWidth="1"/>
    <col min="10" max="10" width="9.125" style="346" customWidth="1"/>
    <col min="11" max="11" width="10.375" style="346" customWidth="1"/>
    <col min="12" max="14" width="9.125" style="346" customWidth="1"/>
    <col min="15" max="15" width="10.125" style="346" bestFit="1" customWidth="1"/>
    <col min="16" max="18" width="9.125" style="346" customWidth="1"/>
    <col min="19" max="19" width="10.125" style="346" bestFit="1" customWidth="1"/>
    <col min="20" max="20" width="10.125" style="346" customWidth="1"/>
    <col min="21" max="21" width="10.125" style="346" bestFit="1" customWidth="1"/>
    <col min="22" max="22" width="9.125" style="346" customWidth="1"/>
    <col min="23" max="23" width="10.625" style="346" customWidth="1"/>
    <col min="24" max="24" width="10.125" style="346" customWidth="1"/>
    <col min="25" max="27" width="9.125" style="346" customWidth="1"/>
    <col min="28" max="28" width="10.125" style="346" bestFit="1" customWidth="1"/>
    <col min="29" max="30" width="11.375" style="346" customWidth="1"/>
    <col min="31" max="31" width="9.25390625" style="346" bestFit="1" customWidth="1"/>
    <col min="32" max="32" width="10.125" style="346" bestFit="1" customWidth="1"/>
    <col min="33" max="33" width="10.25390625" style="346" customWidth="1"/>
    <col min="34" max="35" width="9.25390625" style="346" bestFit="1" customWidth="1"/>
    <col min="36" max="36" width="10.125" style="346" bestFit="1" customWidth="1"/>
    <col min="37" max="38" width="9.25390625" style="346" bestFit="1" customWidth="1"/>
    <col min="39" max="39" width="10.125" style="346" bestFit="1" customWidth="1"/>
    <col min="40" max="42" width="9.25390625" style="346" bestFit="1" customWidth="1"/>
    <col min="43" max="45" width="9.25390625" style="346" customWidth="1"/>
    <col min="46" max="46" width="10.125" style="346" bestFit="1" customWidth="1"/>
    <col min="47" max="47" width="11.625" style="346" customWidth="1"/>
    <col min="48" max="48" width="10.875" style="346" customWidth="1"/>
    <col min="49" max="49" width="10.625" style="346" customWidth="1"/>
    <col min="50" max="50" width="9.25390625" style="346" customWidth="1"/>
    <col min="51" max="51" width="10.625" style="346" customWidth="1"/>
    <col min="52" max="52" width="9.25390625" style="346" bestFit="1" customWidth="1"/>
    <col min="53" max="54" width="10.125" style="346" bestFit="1" customWidth="1"/>
    <col min="55" max="56" width="10.375" style="346" customWidth="1"/>
    <col min="57" max="57" width="10.75390625" style="346" customWidth="1"/>
    <col min="58" max="58" width="14.00390625" style="346" customWidth="1"/>
    <col min="59" max="59" width="10.375" style="346" customWidth="1"/>
    <col min="60" max="16384" width="9.125" style="346" customWidth="1"/>
  </cols>
  <sheetData>
    <row r="1" spans="1:18" ht="21" customHeight="1">
      <c r="A1" s="266" t="s">
        <v>96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345"/>
      <c r="P1" s="345"/>
      <c r="Q1" s="345"/>
      <c r="R1" s="345"/>
    </row>
    <row r="2" spans="1:18" ht="13.5" thickBot="1">
      <c r="A2" s="345"/>
      <c r="B2" s="347"/>
      <c r="C2" s="348"/>
      <c r="D2" s="348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60" ht="29.25" customHeight="1" thickBot="1">
      <c r="A3" s="267" t="s">
        <v>97</v>
      </c>
      <c r="B3" s="269" t="s">
        <v>0</v>
      </c>
      <c r="C3" s="271" t="s">
        <v>1</v>
      </c>
      <c r="D3" s="273" t="s">
        <v>2</v>
      </c>
      <c r="E3" s="267" t="s">
        <v>98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81"/>
      <c r="S3" s="267"/>
      <c r="T3" s="275"/>
      <c r="U3" s="267" t="s">
        <v>3</v>
      </c>
      <c r="V3" s="275"/>
      <c r="W3" s="257" t="s">
        <v>4</v>
      </c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349"/>
      <c r="AJ3" s="350" t="s">
        <v>74</v>
      </c>
      <c r="AK3" s="291" t="s">
        <v>8</v>
      </c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3"/>
      <c r="BF3" s="248" t="s">
        <v>9</v>
      </c>
      <c r="BG3" s="351" t="s">
        <v>10</v>
      </c>
      <c r="BH3" s="352"/>
    </row>
    <row r="4" spans="1:59" ht="51.75" customHeight="1" hidden="1" thickBot="1">
      <c r="A4" s="268"/>
      <c r="B4" s="270"/>
      <c r="C4" s="272"/>
      <c r="D4" s="274"/>
      <c r="E4" s="268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4"/>
      <c r="S4" s="276"/>
      <c r="T4" s="277"/>
      <c r="U4" s="276"/>
      <c r="V4" s="277"/>
      <c r="W4" s="259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353"/>
      <c r="AJ4" s="354"/>
      <c r="AK4" s="265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5"/>
      <c r="BF4" s="249"/>
      <c r="BG4" s="355"/>
    </row>
    <row r="5" spans="1:61" ht="19.5" customHeight="1">
      <c r="A5" s="268"/>
      <c r="B5" s="270"/>
      <c r="C5" s="272"/>
      <c r="D5" s="274"/>
      <c r="E5" s="356" t="s">
        <v>11</v>
      </c>
      <c r="F5" s="357"/>
      <c r="G5" s="356" t="s">
        <v>99</v>
      </c>
      <c r="H5" s="357"/>
      <c r="I5" s="356" t="s">
        <v>12</v>
      </c>
      <c r="J5" s="357"/>
      <c r="K5" s="356" t="s">
        <v>14</v>
      </c>
      <c r="L5" s="357"/>
      <c r="M5" s="356" t="s">
        <v>13</v>
      </c>
      <c r="N5" s="357"/>
      <c r="O5" s="358" t="s">
        <v>15</v>
      </c>
      <c r="P5" s="358"/>
      <c r="Q5" s="356" t="s">
        <v>100</v>
      </c>
      <c r="R5" s="357"/>
      <c r="S5" s="358" t="s">
        <v>101</v>
      </c>
      <c r="T5" s="357"/>
      <c r="U5" s="237" t="s">
        <v>18</v>
      </c>
      <c r="V5" s="246" t="s">
        <v>19</v>
      </c>
      <c r="W5" s="359" t="s">
        <v>20</v>
      </c>
      <c r="X5" s="359" t="s">
        <v>102</v>
      </c>
      <c r="Y5" s="359" t="s">
        <v>21</v>
      </c>
      <c r="Z5" s="359" t="s">
        <v>23</v>
      </c>
      <c r="AA5" s="359" t="s">
        <v>22</v>
      </c>
      <c r="AB5" s="359" t="s">
        <v>24</v>
      </c>
      <c r="AC5" s="359" t="s">
        <v>25</v>
      </c>
      <c r="AD5" s="360" t="s">
        <v>26</v>
      </c>
      <c r="AE5" s="360" t="s">
        <v>103</v>
      </c>
      <c r="AF5" s="361" t="s">
        <v>27</v>
      </c>
      <c r="AG5" s="362" t="s">
        <v>73</v>
      </c>
      <c r="AH5" s="363" t="s">
        <v>6</v>
      </c>
      <c r="AI5" s="364" t="s">
        <v>7</v>
      </c>
      <c r="AJ5" s="354"/>
      <c r="AK5" s="365" t="s">
        <v>104</v>
      </c>
      <c r="AL5" s="366" t="s">
        <v>105</v>
      </c>
      <c r="AM5" s="366" t="s">
        <v>106</v>
      </c>
      <c r="AN5" s="285" t="s">
        <v>107</v>
      </c>
      <c r="AO5" s="366" t="s">
        <v>108</v>
      </c>
      <c r="AP5" s="285" t="s">
        <v>109</v>
      </c>
      <c r="AQ5" s="285" t="s">
        <v>110</v>
      </c>
      <c r="AR5" s="285" t="s">
        <v>111</v>
      </c>
      <c r="AS5" s="285" t="s">
        <v>112</v>
      </c>
      <c r="AT5" s="285" t="s">
        <v>34</v>
      </c>
      <c r="AU5" s="367" t="s">
        <v>113</v>
      </c>
      <c r="AV5" s="231" t="s">
        <v>114</v>
      </c>
      <c r="AW5" s="367" t="s">
        <v>115</v>
      </c>
      <c r="AX5" s="368" t="s">
        <v>116</v>
      </c>
      <c r="AY5" s="369"/>
      <c r="AZ5" s="289" t="s">
        <v>17</v>
      </c>
      <c r="BA5" s="285" t="s">
        <v>36</v>
      </c>
      <c r="BB5" s="285" t="s">
        <v>31</v>
      </c>
      <c r="BC5" s="370" t="s">
        <v>37</v>
      </c>
      <c r="BD5" s="251" t="s">
        <v>76</v>
      </c>
      <c r="BE5" s="285" t="s">
        <v>77</v>
      </c>
      <c r="BF5" s="249"/>
      <c r="BG5" s="355"/>
      <c r="BH5" s="176"/>
      <c r="BI5" s="175"/>
    </row>
    <row r="6" spans="1:61" ht="56.25" customHeight="1" thickBot="1">
      <c r="A6" s="268"/>
      <c r="B6" s="270"/>
      <c r="C6" s="272"/>
      <c r="D6" s="274"/>
      <c r="E6" s="371"/>
      <c r="F6" s="372"/>
      <c r="G6" s="371"/>
      <c r="H6" s="372"/>
      <c r="I6" s="371"/>
      <c r="J6" s="372"/>
      <c r="K6" s="371"/>
      <c r="L6" s="372"/>
      <c r="M6" s="371"/>
      <c r="N6" s="372"/>
      <c r="O6" s="373"/>
      <c r="P6" s="373"/>
      <c r="Q6" s="371"/>
      <c r="R6" s="372"/>
      <c r="S6" s="374"/>
      <c r="T6" s="372"/>
      <c r="U6" s="375"/>
      <c r="V6" s="376"/>
      <c r="W6" s="377"/>
      <c r="X6" s="377"/>
      <c r="Y6" s="377"/>
      <c r="Z6" s="377"/>
      <c r="AA6" s="377"/>
      <c r="AB6" s="377"/>
      <c r="AC6" s="377"/>
      <c r="AD6" s="378"/>
      <c r="AE6" s="378"/>
      <c r="AF6" s="379"/>
      <c r="AG6" s="380"/>
      <c r="AH6" s="381"/>
      <c r="AI6" s="382"/>
      <c r="AJ6" s="383"/>
      <c r="AK6" s="242"/>
      <c r="AL6" s="240"/>
      <c r="AM6" s="240"/>
      <c r="AN6" s="230"/>
      <c r="AO6" s="240"/>
      <c r="AP6" s="230"/>
      <c r="AQ6" s="230"/>
      <c r="AR6" s="230"/>
      <c r="AS6" s="230"/>
      <c r="AT6" s="230"/>
      <c r="AU6" s="228"/>
      <c r="AV6" s="232"/>
      <c r="AW6" s="228"/>
      <c r="AX6" s="384"/>
      <c r="AY6" s="67" t="s">
        <v>117</v>
      </c>
      <c r="AZ6" s="290"/>
      <c r="BA6" s="230"/>
      <c r="BB6" s="230"/>
      <c r="BC6" s="385"/>
      <c r="BD6" s="253"/>
      <c r="BE6" s="230"/>
      <c r="BF6" s="250"/>
      <c r="BG6" s="386"/>
      <c r="BH6" s="176"/>
      <c r="BI6" s="175"/>
    </row>
    <row r="7" spans="1:61" ht="19.5" customHeight="1" thickBot="1">
      <c r="A7" s="387">
        <v>1</v>
      </c>
      <c r="B7" s="26">
        <v>2</v>
      </c>
      <c r="C7" s="26">
        <v>3</v>
      </c>
      <c r="D7" s="387">
        <v>4</v>
      </c>
      <c r="E7" s="26">
        <v>5</v>
      </c>
      <c r="F7" s="26">
        <v>6</v>
      </c>
      <c r="G7" s="387">
        <v>7</v>
      </c>
      <c r="H7" s="26">
        <v>8</v>
      </c>
      <c r="I7" s="26">
        <v>9</v>
      </c>
      <c r="J7" s="387">
        <v>10</v>
      </c>
      <c r="K7" s="26">
        <v>11</v>
      </c>
      <c r="L7" s="26">
        <v>12</v>
      </c>
      <c r="M7" s="387">
        <v>13</v>
      </c>
      <c r="N7" s="26">
        <v>14</v>
      </c>
      <c r="O7" s="26">
        <v>15</v>
      </c>
      <c r="P7" s="387">
        <v>16</v>
      </c>
      <c r="Q7" s="26">
        <v>17</v>
      </c>
      <c r="R7" s="26">
        <v>18</v>
      </c>
      <c r="S7" s="387">
        <v>19</v>
      </c>
      <c r="T7" s="26">
        <v>20</v>
      </c>
      <c r="U7" s="26">
        <v>21</v>
      </c>
      <c r="V7" s="387">
        <v>22</v>
      </c>
      <c r="W7" s="26">
        <v>23</v>
      </c>
      <c r="X7" s="387">
        <v>24</v>
      </c>
      <c r="Y7" s="26">
        <v>25</v>
      </c>
      <c r="Z7" s="387">
        <v>26</v>
      </c>
      <c r="AA7" s="26">
        <v>27</v>
      </c>
      <c r="AB7" s="387">
        <v>28</v>
      </c>
      <c r="AC7" s="26">
        <v>29</v>
      </c>
      <c r="AD7" s="387">
        <v>30</v>
      </c>
      <c r="AE7" s="387">
        <v>31</v>
      </c>
      <c r="AF7" s="26">
        <v>32</v>
      </c>
      <c r="AG7" s="26">
        <v>33</v>
      </c>
      <c r="AH7" s="26">
        <v>34</v>
      </c>
      <c r="AI7" s="387">
        <v>35</v>
      </c>
      <c r="AJ7" s="26">
        <v>36</v>
      </c>
      <c r="AK7" s="387">
        <v>37</v>
      </c>
      <c r="AL7" s="26">
        <v>38</v>
      </c>
      <c r="AM7" s="387">
        <v>39</v>
      </c>
      <c r="AN7" s="387">
        <v>40</v>
      </c>
      <c r="AO7" s="26">
        <v>41</v>
      </c>
      <c r="AP7" s="387">
        <v>42</v>
      </c>
      <c r="AQ7" s="26">
        <v>43</v>
      </c>
      <c r="AR7" s="387"/>
      <c r="AS7" s="387">
        <v>44</v>
      </c>
      <c r="AT7" s="26">
        <v>45</v>
      </c>
      <c r="AU7" s="387">
        <v>46</v>
      </c>
      <c r="AV7" s="26">
        <v>47</v>
      </c>
      <c r="AW7" s="387">
        <v>48</v>
      </c>
      <c r="AX7" s="387">
        <v>49</v>
      </c>
      <c r="AY7" s="26"/>
      <c r="AZ7" s="26">
        <v>50</v>
      </c>
      <c r="BA7" s="26">
        <v>51</v>
      </c>
      <c r="BB7" s="26">
        <v>52</v>
      </c>
      <c r="BC7" s="26">
        <v>53</v>
      </c>
      <c r="BD7" s="26">
        <v>54</v>
      </c>
      <c r="BE7" s="26"/>
      <c r="BF7" s="26">
        <v>55</v>
      </c>
      <c r="BG7" s="26">
        <v>56</v>
      </c>
      <c r="BH7" s="175"/>
      <c r="BI7" s="175"/>
    </row>
    <row r="8" spans="1:59" s="16" customFormat="1" ht="13.5" thickBot="1">
      <c r="A8" s="388" t="s">
        <v>93</v>
      </c>
      <c r="B8" s="389"/>
      <c r="C8" s="389">
        <f>Лист1!C39</f>
        <v>174903</v>
      </c>
      <c r="D8" s="389">
        <f>Лист1!D39</f>
        <v>87017.8425</v>
      </c>
      <c r="E8" s="389">
        <f>Лист1!E39</f>
        <v>8622.61</v>
      </c>
      <c r="F8" s="389">
        <f>Лист1!F39</f>
        <v>439.24</v>
      </c>
      <c r="G8" s="389">
        <f>0</f>
        <v>0</v>
      </c>
      <c r="H8" s="389">
        <f>0</f>
        <v>0</v>
      </c>
      <c r="I8" s="389">
        <f>Лист1!G39</f>
        <v>11650.59</v>
      </c>
      <c r="J8" s="389">
        <f>Лист1!H39</f>
        <v>594.8</v>
      </c>
      <c r="K8" s="389">
        <f>Лист1!K39</f>
        <v>17372.519999999997</v>
      </c>
      <c r="L8" s="389">
        <f>Лист1!L39</f>
        <v>881.5900000000001</v>
      </c>
      <c r="M8" s="389">
        <f>Лист1!I39</f>
        <v>25072.630000000005</v>
      </c>
      <c r="N8" s="389">
        <f>Лист1!J39</f>
        <v>1272.39</v>
      </c>
      <c r="O8" s="389">
        <f>Лист1!M39</f>
        <v>6898.120000000001</v>
      </c>
      <c r="P8" s="389">
        <f>Лист1!N39</f>
        <v>351.38</v>
      </c>
      <c r="Q8" s="389">
        <f>'[2]Лист1'!O44</f>
        <v>0</v>
      </c>
      <c r="R8" s="389">
        <f>'[2]Лист1'!P44</f>
        <v>0</v>
      </c>
      <c r="S8" s="389">
        <f>'[2]Лист1'!Q44</f>
        <v>0</v>
      </c>
      <c r="T8" s="389">
        <f>'[2]Лист1'!R44</f>
        <v>0</v>
      </c>
      <c r="U8" s="389">
        <f>Лист1!S39</f>
        <v>69616.47</v>
      </c>
      <c r="V8" s="389">
        <f>Лист1!T39</f>
        <v>3539.3999999999996</v>
      </c>
      <c r="W8" s="389">
        <f>Лист1!U39</f>
        <v>5960.130000000001</v>
      </c>
      <c r="X8" s="389">
        <v>0</v>
      </c>
      <c r="Y8" s="389">
        <f>Лист1!V39</f>
        <v>8066.12</v>
      </c>
      <c r="Z8" s="389">
        <f>Лист1!X39</f>
        <v>11842.54</v>
      </c>
      <c r="AA8" s="389">
        <f>Лист1!W39</f>
        <v>19497.949999999997</v>
      </c>
      <c r="AB8" s="389">
        <f>Лист1!Y39</f>
        <v>4768.08</v>
      </c>
      <c r="AC8" s="389">
        <f>Лист1!O39</f>
        <v>0</v>
      </c>
      <c r="AD8" s="389">
        <f>'[3]Лист1'!AA46</f>
        <v>0</v>
      </c>
      <c r="AF8" s="389">
        <f>Лист1!AB39</f>
        <v>50134.82</v>
      </c>
      <c r="AG8" s="389">
        <f>Лист1!AC39</f>
        <v>140692.0625</v>
      </c>
      <c r="AH8" s="389">
        <f>'[3]Лист1'!AD46</f>
        <v>0</v>
      </c>
      <c r="AI8" s="389">
        <f>'[3]Лист1'!AE46</f>
        <v>0</v>
      </c>
      <c r="AJ8" s="389">
        <f>Лист1!AF39</f>
        <v>0</v>
      </c>
      <c r="AK8" s="389">
        <f>Лист1!AG39</f>
        <v>11929.8</v>
      </c>
      <c r="AL8" s="389">
        <f>Лист1!AH39</f>
        <v>3985.20361</v>
      </c>
      <c r="AM8" s="389">
        <f>Лист1!AI39+Лист1!AJ39</f>
        <v>19783.361601124998</v>
      </c>
      <c r="AN8" s="389">
        <v>0</v>
      </c>
      <c r="AO8" s="389">
        <f>Лист1!AK39+Лист1!AL39</f>
        <v>19310.329828944996</v>
      </c>
      <c r="AP8" s="389">
        <f>Лист1!AM39+Лист1!AN39</f>
        <v>44381.8062328</v>
      </c>
      <c r="AQ8" s="389">
        <v>0</v>
      </c>
      <c r="AR8" s="389">
        <v>0</v>
      </c>
      <c r="AS8" s="389">
        <f>0</f>
        <v>0</v>
      </c>
      <c r="AT8" s="389">
        <f>Лист1!AO39+Лист1!AP39</f>
        <v>0</v>
      </c>
      <c r="AU8" s="389">
        <f>Лист1!AS39+Лист1!AU39</f>
        <v>79332.52119999999</v>
      </c>
      <c r="AV8" s="389">
        <f>0</f>
        <v>0</v>
      </c>
      <c r="AW8" s="389">
        <f>Лист1!AT39</f>
        <v>47.8</v>
      </c>
      <c r="AX8" s="389">
        <f>Лист1!AQ39+Лист1!AR39</f>
        <v>8627.4048</v>
      </c>
      <c r="AY8" s="390">
        <f>Лист1!AX39</f>
        <v>3338.7648</v>
      </c>
      <c r="AZ8" s="390">
        <f>'[3]Лист1'!AY46</f>
        <v>0</v>
      </c>
      <c r="BA8" s="390">
        <f>'[3]Лист1'!AZ46</f>
        <v>0</v>
      </c>
      <c r="BB8" s="390">
        <f>'[3]Лист1'!BA46</f>
        <v>0</v>
      </c>
      <c r="BC8" s="390">
        <f>Лист1!BB39</f>
        <v>190736.99207286997</v>
      </c>
      <c r="BD8" s="390">
        <f>'[3]Лист1'!BC46</f>
        <v>0</v>
      </c>
      <c r="BE8" s="391">
        <f>BC8</f>
        <v>190736.99207286997</v>
      </c>
      <c r="BF8" s="392">
        <f>Лист1!BE39</f>
        <v>-50044.929572869994</v>
      </c>
      <c r="BG8" s="392">
        <f>Лист1!BF39</f>
        <v>-19481.649999999998</v>
      </c>
    </row>
    <row r="9" spans="1:60" ht="12.75">
      <c r="A9" s="177" t="s">
        <v>118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4"/>
      <c r="BF9" s="392"/>
      <c r="BG9" s="395"/>
      <c r="BH9" s="345"/>
    </row>
    <row r="10" spans="1:67" ht="12.75">
      <c r="A10" s="396" t="s">
        <v>42</v>
      </c>
      <c r="B10" s="397">
        <v>842.5</v>
      </c>
      <c r="C10" s="182">
        <f>(B10*0.87)*0.5+((B10*5.17*0.9)*0.5+(B10*2.51*0.9)*0.5)</f>
        <v>3278.1675000000005</v>
      </c>
      <c r="D10" s="199">
        <v>785.2196000000001</v>
      </c>
      <c r="E10" s="399">
        <v>0</v>
      </c>
      <c r="F10" s="399">
        <v>0</v>
      </c>
      <c r="G10" s="398">
        <v>3808.01</v>
      </c>
      <c r="H10" s="398">
        <v>0</v>
      </c>
      <c r="I10" s="398">
        <v>0</v>
      </c>
      <c r="J10" s="398">
        <v>0</v>
      </c>
      <c r="K10" s="398">
        <v>0</v>
      </c>
      <c r="L10" s="398">
        <v>0</v>
      </c>
      <c r="M10" s="398">
        <v>965.13</v>
      </c>
      <c r="N10" s="398">
        <v>0</v>
      </c>
      <c r="O10" s="418">
        <v>371.71</v>
      </c>
      <c r="P10" s="516">
        <v>0</v>
      </c>
      <c r="Q10" s="400">
        <v>0</v>
      </c>
      <c r="R10" s="401">
        <v>0</v>
      </c>
      <c r="S10" s="402">
        <v>0</v>
      </c>
      <c r="T10" s="403">
        <v>0</v>
      </c>
      <c r="U10" s="404">
        <f aca="true" t="shared" si="0" ref="U10:V19">E10+G10+I10+K10+M10+O10+Q10+S10</f>
        <v>5144.85</v>
      </c>
      <c r="V10" s="405">
        <f t="shared" si="0"/>
        <v>0</v>
      </c>
      <c r="W10" s="398">
        <v>129.12</v>
      </c>
      <c r="X10" s="398"/>
      <c r="Y10" s="398">
        <v>174.99</v>
      </c>
      <c r="Z10" s="398">
        <v>262.52</v>
      </c>
      <c r="AA10" s="398">
        <v>378.7</v>
      </c>
      <c r="AB10" s="399">
        <v>103.29</v>
      </c>
      <c r="AC10" s="398">
        <v>0</v>
      </c>
      <c r="AD10" s="399">
        <v>0</v>
      </c>
      <c r="AE10" s="406">
        <v>0</v>
      </c>
      <c r="AF10" s="406">
        <f>SUM(W10:AE10)</f>
        <v>1048.62</v>
      </c>
      <c r="AG10" s="407">
        <f>AF10+V10+D10</f>
        <v>1833.8396</v>
      </c>
      <c r="AH10" s="408">
        <f aca="true" t="shared" si="1" ref="AH10:AI19">AC10</f>
        <v>0</v>
      </c>
      <c r="AI10" s="408">
        <f t="shared" si="1"/>
        <v>0</v>
      </c>
      <c r="AJ10" s="409"/>
      <c r="AK10" s="410">
        <f aca="true" t="shared" si="2" ref="AK10:AK19">0.67*B10</f>
        <v>564.475</v>
      </c>
      <c r="AL10" s="410">
        <f aca="true" t="shared" si="3" ref="AL10:AL19">B10*0.2</f>
        <v>168.5</v>
      </c>
      <c r="AM10" s="410">
        <f>B10*1</f>
        <v>842.5</v>
      </c>
      <c r="AN10" s="410">
        <f>B10*0.21</f>
        <v>176.92499999999998</v>
      </c>
      <c r="AO10" s="411">
        <v>0</v>
      </c>
      <c r="AP10" s="410">
        <f>B10*1.03</f>
        <v>867.775</v>
      </c>
      <c r="AQ10" s="410">
        <f>B10*0.75</f>
        <v>631.875</v>
      </c>
      <c r="AR10" s="410">
        <f>B10*0.75</f>
        <v>631.875</v>
      </c>
      <c r="AS10" s="411">
        <v>0</v>
      </c>
      <c r="AT10" s="410"/>
      <c r="AU10" s="412"/>
      <c r="AV10" s="413"/>
      <c r="AW10" s="412"/>
      <c r="AX10" s="412">
        <v>1200</v>
      </c>
      <c r="AY10" s="195"/>
      <c r="AZ10" s="414"/>
      <c r="BA10" s="415"/>
      <c r="BB10" s="415">
        <f>BA10*0.18</f>
        <v>0</v>
      </c>
      <c r="BC10" s="415">
        <f>SUM(AK10:BB10)</f>
        <v>5083.924999999999</v>
      </c>
      <c r="BD10" s="416"/>
      <c r="BE10" s="416">
        <f>BC10</f>
        <v>5083.924999999999</v>
      </c>
      <c r="BF10" s="416">
        <f>AG10-BE10</f>
        <v>-3250.085399999999</v>
      </c>
      <c r="BG10" s="416">
        <f>AF10-U10</f>
        <v>-4096.2300000000005</v>
      </c>
      <c r="BH10" s="415">
        <f>AF10-U10</f>
        <v>-4096.2300000000005</v>
      </c>
      <c r="BI10" s="415"/>
      <c r="BJ10" s="392"/>
      <c r="BK10" s="395"/>
      <c r="BL10" s="218"/>
      <c r="BM10" s="417"/>
      <c r="BN10" s="218"/>
      <c r="BO10" s="417"/>
    </row>
    <row r="11" spans="1:65" ht="12.75">
      <c r="A11" s="396" t="s">
        <v>43</v>
      </c>
      <c r="B11" s="397">
        <v>842.5</v>
      </c>
      <c r="C11" s="182">
        <f>(B11*0.87)*0.5+((B11*5.17*0.9)*0.5+(B11*2.51*0.9)*0.5)</f>
        <v>3278.1675000000005</v>
      </c>
      <c r="D11" s="199">
        <v>785.2196000000001</v>
      </c>
      <c r="E11" s="399">
        <v>0</v>
      </c>
      <c r="F11" s="399">
        <v>0</v>
      </c>
      <c r="G11" s="398">
        <v>164.11</v>
      </c>
      <c r="H11" s="398">
        <v>0</v>
      </c>
      <c r="I11" s="398">
        <v>0</v>
      </c>
      <c r="J11" s="398">
        <v>0</v>
      </c>
      <c r="K11" s="398">
        <v>0</v>
      </c>
      <c r="L11" s="398">
        <v>0</v>
      </c>
      <c r="M11" s="398">
        <v>965.13</v>
      </c>
      <c r="N11" s="398">
        <v>0</v>
      </c>
      <c r="O11" s="418">
        <v>371.71</v>
      </c>
      <c r="P11" s="520">
        <v>0</v>
      </c>
      <c r="Q11" s="399">
        <v>0</v>
      </c>
      <c r="R11" s="399">
        <v>0</v>
      </c>
      <c r="S11" s="399">
        <v>0</v>
      </c>
      <c r="T11" s="398">
        <v>0</v>
      </c>
      <c r="U11" s="419">
        <f t="shared" si="0"/>
        <v>1500.95</v>
      </c>
      <c r="V11" s="405">
        <f t="shared" si="0"/>
        <v>0</v>
      </c>
      <c r="W11" s="398">
        <v>37.25</v>
      </c>
      <c r="X11" s="399">
        <v>1555.15</v>
      </c>
      <c r="Y11" s="398">
        <v>50.4</v>
      </c>
      <c r="Z11" s="398">
        <v>75.7</v>
      </c>
      <c r="AA11" s="398">
        <v>530.97</v>
      </c>
      <c r="AB11" s="399">
        <v>4192.62</v>
      </c>
      <c r="AC11" s="398">
        <v>0</v>
      </c>
      <c r="AD11" s="399">
        <v>0</v>
      </c>
      <c r="AE11" s="399">
        <v>0</v>
      </c>
      <c r="AF11" s="406">
        <f>SUM(W11:AE11)</f>
        <v>6442.09</v>
      </c>
      <c r="AG11" s="407">
        <f>AF11+V11+D11</f>
        <v>7227.3096000000005</v>
      </c>
      <c r="AH11" s="408">
        <f t="shared" si="1"/>
        <v>0</v>
      </c>
      <c r="AI11" s="408">
        <f t="shared" si="1"/>
        <v>0</v>
      </c>
      <c r="AJ11" s="409"/>
      <c r="AK11" s="410">
        <f t="shared" si="2"/>
        <v>564.475</v>
      </c>
      <c r="AL11" s="410">
        <f t="shared" si="3"/>
        <v>168.5</v>
      </c>
      <c r="AM11" s="410">
        <f>B11*1</f>
        <v>842.5</v>
      </c>
      <c r="AN11" s="410">
        <f>B11*0.21</f>
        <v>176.92499999999998</v>
      </c>
      <c r="AO11" s="410">
        <f>2.02*B11</f>
        <v>1701.85</v>
      </c>
      <c r="AP11" s="410">
        <f>B11*1.03</f>
        <v>867.775</v>
      </c>
      <c r="AQ11" s="410">
        <f>B11*0.75</f>
        <v>631.875</v>
      </c>
      <c r="AR11" s="410">
        <f>B11*0.75</f>
        <v>631.875</v>
      </c>
      <c r="AS11" s="411">
        <v>0</v>
      </c>
      <c r="AT11" s="410"/>
      <c r="AU11" s="412"/>
      <c r="AV11" s="413"/>
      <c r="AW11" s="412"/>
      <c r="AX11" s="412">
        <v>33.84</v>
      </c>
      <c r="AY11" s="195"/>
      <c r="AZ11" s="414"/>
      <c r="BA11" s="415"/>
      <c r="BB11" s="415">
        <f>BA11*0.18</f>
        <v>0</v>
      </c>
      <c r="BC11" s="415">
        <f>SUM(AK11:BB11)</f>
        <v>5619.615</v>
      </c>
      <c r="BD11" s="416"/>
      <c r="BE11" s="416">
        <f aca="true" t="shared" si="4" ref="BE11:BF21">BC11</f>
        <v>5619.615</v>
      </c>
      <c r="BF11" s="416">
        <f aca="true" t="shared" si="5" ref="BF11:BF21">AG11-BE11</f>
        <v>1607.6946000000007</v>
      </c>
      <c r="BG11" s="416">
        <f aca="true" t="shared" si="6" ref="BG11:BG21">AF11-U11</f>
        <v>4941.14</v>
      </c>
      <c r="BH11" s="415">
        <f aca="true" t="shared" si="7" ref="BH11:BH17">AF11-U11</f>
        <v>4941.14</v>
      </c>
      <c r="BI11" s="415"/>
      <c r="BJ11" s="392"/>
      <c r="BK11" s="395"/>
      <c r="BL11" s="417"/>
      <c r="BM11" s="420"/>
    </row>
    <row r="12" spans="1:65" ht="12.75">
      <c r="A12" s="396" t="s">
        <v>44</v>
      </c>
      <c r="B12" s="397">
        <v>842.5</v>
      </c>
      <c r="C12" s="182">
        <f>(B12*0.87)*0.5+((B12*5.17*0.9)*0.5+(B12*2.51*0.9)*0.5)</f>
        <v>3278.1675000000005</v>
      </c>
      <c r="D12" s="199">
        <v>785.2196000000001</v>
      </c>
      <c r="E12" s="399">
        <v>0</v>
      </c>
      <c r="F12" s="399">
        <v>0</v>
      </c>
      <c r="G12" s="398">
        <v>1986.06</v>
      </c>
      <c r="H12" s="398">
        <v>0</v>
      </c>
      <c r="I12" s="398">
        <v>0</v>
      </c>
      <c r="J12" s="398">
        <v>0</v>
      </c>
      <c r="K12" s="398">
        <v>0</v>
      </c>
      <c r="L12" s="398">
        <v>0</v>
      </c>
      <c r="M12" s="398">
        <v>965.13</v>
      </c>
      <c r="N12" s="398">
        <v>0</v>
      </c>
      <c r="O12" s="418">
        <v>371.71</v>
      </c>
      <c r="P12" s="516">
        <v>0</v>
      </c>
      <c r="Q12" s="421">
        <v>0</v>
      </c>
      <c r="R12" s="421">
        <v>0</v>
      </c>
      <c r="S12" s="421">
        <v>0</v>
      </c>
      <c r="T12" s="398">
        <v>0</v>
      </c>
      <c r="U12" s="398">
        <f t="shared" si="0"/>
        <v>3322.9</v>
      </c>
      <c r="V12" s="422">
        <f t="shared" si="0"/>
        <v>0</v>
      </c>
      <c r="W12" s="423">
        <v>92.06</v>
      </c>
      <c r="X12" s="399">
        <v>100.86</v>
      </c>
      <c r="Y12" s="398">
        <v>124.74</v>
      </c>
      <c r="Z12" s="398">
        <v>185.94</v>
      </c>
      <c r="AA12" s="398">
        <v>628.98</v>
      </c>
      <c r="AB12" s="399">
        <v>212.61</v>
      </c>
      <c r="AC12" s="398">
        <v>0</v>
      </c>
      <c r="AD12" s="399">
        <v>0</v>
      </c>
      <c r="AE12" s="398">
        <v>0</v>
      </c>
      <c r="AF12" s="424">
        <f>SUM(W12:AE12)</f>
        <v>1345.19</v>
      </c>
      <c r="AG12" s="407">
        <f>AF12+V12+D12</f>
        <v>2130.4096</v>
      </c>
      <c r="AH12" s="408">
        <f t="shared" si="1"/>
        <v>0</v>
      </c>
      <c r="AI12" s="408">
        <f t="shared" si="1"/>
        <v>0</v>
      </c>
      <c r="AJ12" s="409"/>
      <c r="AK12" s="410">
        <f t="shared" si="2"/>
        <v>564.475</v>
      </c>
      <c r="AL12" s="410">
        <f t="shared" si="3"/>
        <v>168.5</v>
      </c>
      <c r="AM12" s="410">
        <f>B12*1</f>
        <v>842.5</v>
      </c>
      <c r="AN12" s="410">
        <f>B12*0.21</f>
        <v>176.92499999999998</v>
      </c>
      <c r="AO12" s="410">
        <f>2.02*B12</f>
        <v>1701.85</v>
      </c>
      <c r="AP12" s="410">
        <f>B12*1.03</f>
        <v>867.775</v>
      </c>
      <c r="AQ12" s="410">
        <f>B12*0.75</f>
        <v>631.875</v>
      </c>
      <c r="AR12" s="410">
        <f>B12*0.75</f>
        <v>631.875</v>
      </c>
      <c r="AS12" s="411">
        <v>0</v>
      </c>
      <c r="AT12" s="410"/>
      <c r="AU12" s="412"/>
      <c r="AV12" s="425"/>
      <c r="AW12" s="412"/>
      <c r="AX12" s="412"/>
      <c r="AY12" s="195"/>
      <c r="AZ12" s="414"/>
      <c r="BA12" s="415"/>
      <c r="BB12" s="415">
        <f>BA12*0.18</f>
        <v>0</v>
      </c>
      <c r="BC12" s="415">
        <f>SUM(AK12:BB12)</f>
        <v>5585.775</v>
      </c>
      <c r="BD12" s="416"/>
      <c r="BE12" s="416">
        <f t="shared" si="4"/>
        <v>5585.775</v>
      </c>
      <c r="BF12" s="416">
        <f t="shared" si="5"/>
        <v>-3455.3653999999997</v>
      </c>
      <c r="BG12" s="416">
        <f t="shared" si="6"/>
        <v>-1977.71</v>
      </c>
      <c r="BH12" s="415">
        <f t="shared" si="7"/>
        <v>-1977.71</v>
      </c>
      <c r="BI12" s="415"/>
      <c r="BJ12" s="392"/>
      <c r="BK12" s="395"/>
      <c r="BL12" s="417"/>
      <c r="BM12" s="420"/>
    </row>
    <row r="13" spans="1:66" ht="12.75">
      <c r="A13" s="396" t="s">
        <v>45</v>
      </c>
      <c r="B13" s="397">
        <v>842.5</v>
      </c>
      <c r="C13" s="182">
        <f>(B13*0.87)*0.5+((B13*5.17*0.9)*0.5+(B13*2.51*0.9)*0.5)</f>
        <v>3278.1675000000005</v>
      </c>
      <c r="D13" s="426">
        <v>785.2196000000001</v>
      </c>
      <c r="E13" s="402">
        <v>0</v>
      </c>
      <c r="F13" s="399">
        <v>0</v>
      </c>
      <c r="G13" s="398">
        <v>1986.07</v>
      </c>
      <c r="H13" s="398">
        <v>0</v>
      </c>
      <c r="I13" s="398">
        <v>0</v>
      </c>
      <c r="J13" s="398">
        <v>0</v>
      </c>
      <c r="K13" s="398">
        <v>0</v>
      </c>
      <c r="L13" s="398">
        <v>0</v>
      </c>
      <c r="M13" s="398">
        <v>965.13</v>
      </c>
      <c r="N13" s="398">
        <v>0</v>
      </c>
      <c r="O13" s="418">
        <v>371.72</v>
      </c>
      <c r="P13" s="516">
        <v>0</v>
      </c>
      <c r="Q13" s="516">
        <v>0</v>
      </c>
      <c r="R13" s="516">
        <v>0</v>
      </c>
      <c r="S13" s="427">
        <v>0</v>
      </c>
      <c r="T13" s="403">
        <v>0</v>
      </c>
      <c r="U13" s="419">
        <f t="shared" si="0"/>
        <v>3322.92</v>
      </c>
      <c r="V13" s="422">
        <f t="shared" si="0"/>
        <v>0</v>
      </c>
      <c r="W13" s="398">
        <v>9.04</v>
      </c>
      <c r="X13" s="399">
        <v>872.62</v>
      </c>
      <c r="Y13" s="398">
        <v>12.25</v>
      </c>
      <c r="Z13" s="398">
        <v>18.38</v>
      </c>
      <c r="AA13" s="398">
        <v>450.52</v>
      </c>
      <c r="AB13" s="399">
        <v>170.61</v>
      </c>
      <c r="AC13" s="398">
        <v>0</v>
      </c>
      <c r="AD13" s="399">
        <v>0</v>
      </c>
      <c r="AE13" s="399">
        <v>0</v>
      </c>
      <c r="AF13" s="406">
        <f>SUM(W13:AD13)</f>
        <v>1533.42</v>
      </c>
      <c r="AG13" s="428">
        <f>AF13+V13+D13</f>
        <v>2318.6396000000004</v>
      </c>
      <c r="AH13" s="429">
        <f t="shared" si="1"/>
        <v>0</v>
      </c>
      <c r="AI13" s="429">
        <f t="shared" si="1"/>
        <v>0</v>
      </c>
      <c r="AJ13" s="435"/>
      <c r="AK13" s="410">
        <f t="shared" si="2"/>
        <v>564.475</v>
      </c>
      <c r="AL13" s="410">
        <f t="shared" si="3"/>
        <v>168.5</v>
      </c>
      <c r="AM13" s="410">
        <f>B13*1</f>
        <v>842.5</v>
      </c>
      <c r="AN13" s="410">
        <f>B13*0.21</f>
        <v>176.92499999999998</v>
      </c>
      <c r="AO13" s="410">
        <f>2.02*B13</f>
        <v>1701.85</v>
      </c>
      <c r="AP13" s="410">
        <f>B13*1.03</f>
        <v>867.775</v>
      </c>
      <c r="AQ13" s="410">
        <f>B13*0.75</f>
        <v>631.875</v>
      </c>
      <c r="AR13" s="410">
        <f>B13*0.75</f>
        <v>631.875</v>
      </c>
      <c r="AS13" s="411"/>
      <c r="AT13" s="521"/>
      <c r="AU13" s="436"/>
      <c r="AV13" s="436">
        <v>151</v>
      </c>
      <c r="AW13" s="436"/>
      <c r="AX13" s="436">
        <f>25</f>
        <v>25</v>
      </c>
      <c r="AY13" s="195"/>
      <c r="AZ13" s="522"/>
      <c r="BA13" s="522"/>
      <c r="BB13" s="522"/>
      <c r="BC13" s="421">
        <f>SUM(AK13:BB13)</f>
        <v>5761.775</v>
      </c>
      <c r="BD13" s="430"/>
      <c r="BE13" s="416">
        <f t="shared" si="4"/>
        <v>5761.775</v>
      </c>
      <c r="BF13" s="416">
        <f t="shared" si="5"/>
        <v>-3443.135399999999</v>
      </c>
      <c r="BG13" s="416">
        <f t="shared" si="6"/>
        <v>-1789.5</v>
      </c>
      <c r="BH13" s="416">
        <f>AF13-U13</f>
        <v>-1789.5</v>
      </c>
      <c r="BI13" s="415">
        <f>AF13-U13</f>
        <v>-1789.5</v>
      </c>
      <c r="BJ13" s="415"/>
      <c r="BK13" s="392"/>
      <c r="BL13" s="395"/>
      <c r="BM13" s="417"/>
      <c r="BN13" s="420"/>
    </row>
    <row r="14" spans="1:66" ht="12.75">
      <c r="A14" s="396" t="s">
        <v>46</v>
      </c>
      <c r="B14" s="431">
        <v>842.5</v>
      </c>
      <c r="C14" s="182">
        <f>(B14*0.87)+((B14*5.17*0.9)+(B14*2.51*0.9))</f>
        <v>6556.335000000001</v>
      </c>
      <c r="D14" s="426">
        <v>785.2196000000001</v>
      </c>
      <c r="E14" s="523">
        <v>0</v>
      </c>
      <c r="F14" s="399">
        <v>0</v>
      </c>
      <c r="G14" s="398">
        <v>3972.13</v>
      </c>
      <c r="H14" s="398">
        <v>0</v>
      </c>
      <c r="I14" s="398">
        <v>0</v>
      </c>
      <c r="J14" s="398">
        <v>0</v>
      </c>
      <c r="K14" s="398">
        <v>0</v>
      </c>
      <c r="L14" s="398">
        <v>0</v>
      </c>
      <c r="M14" s="398">
        <v>1930.26</v>
      </c>
      <c r="N14" s="398">
        <v>0</v>
      </c>
      <c r="O14" s="418">
        <v>743.45</v>
      </c>
      <c r="P14" s="516">
        <v>0</v>
      </c>
      <c r="Q14" s="421">
        <v>0</v>
      </c>
      <c r="R14" s="432">
        <v>0</v>
      </c>
      <c r="S14" s="421">
        <v>0</v>
      </c>
      <c r="T14" s="399">
        <v>0</v>
      </c>
      <c r="U14" s="402">
        <f t="shared" si="0"/>
        <v>6645.84</v>
      </c>
      <c r="V14" s="433">
        <f>F14+H14+J14+L14+N14++R14+T14</f>
        <v>0</v>
      </c>
      <c r="W14" s="398">
        <v>500</v>
      </c>
      <c r="X14" s="399">
        <v>850.36</v>
      </c>
      <c r="Y14" s="398">
        <v>1640</v>
      </c>
      <c r="Z14" s="398">
        <v>0</v>
      </c>
      <c r="AA14" s="398">
        <v>2913.25</v>
      </c>
      <c r="AB14" s="399">
        <v>159.15</v>
      </c>
      <c r="AC14" s="398">
        <v>0</v>
      </c>
      <c r="AD14" s="399">
        <v>0</v>
      </c>
      <c r="AE14" s="406">
        <v>0</v>
      </c>
      <c r="AF14" s="434">
        <f>SUM(W14:AE14)</f>
        <v>6062.76</v>
      </c>
      <c r="AG14" s="428">
        <f>D14+V14+AF14</f>
        <v>6847.979600000001</v>
      </c>
      <c r="AH14" s="429">
        <f t="shared" si="1"/>
        <v>0</v>
      </c>
      <c r="AI14" s="429">
        <f t="shared" si="1"/>
        <v>0</v>
      </c>
      <c r="AJ14" s="435"/>
      <c r="AK14" s="410">
        <f t="shared" si="2"/>
        <v>564.475</v>
      </c>
      <c r="AL14" s="410">
        <f t="shared" si="3"/>
        <v>168.5</v>
      </c>
      <c r="AM14" s="410">
        <f>B14*1</f>
        <v>842.5</v>
      </c>
      <c r="AN14" s="410">
        <f>B14*0.21</f>
        <v>176.92499999999998</v>
      </c>
      <c r="AO14" s="410">
        <f>2.02*B14</f>
        <v>1701.85</v>
      </c>
      <c r="AP14" s="410">
        <f>B14*1.03</f>
        <v>867.775</v>
      </c>
      <c r="AQ14" s="410">
        <f>B14*0.75</f>
        <v>631.875</v>
      </c>
      <c r="AR14" s="410">
        <f>B14*0.75</f>
        <v>631.875</v>
      </c>
      <c r="AS14" s="411"/>
      <c r="AT14" s="521"/>
      <c r="AU14" s="436"/>
      <c r="AV14" s="436"/>
      <c r="AW14" s="436"/>
      <c r="AX14" s="436"/>
      <c r="AY14" s="195"/>
      <c r="AZ14" s="522"/>
      <c r="BA14" s="522"/>
      <c r="BB14" s="522"/>
      <c r="BC14" s="421">
        <f>SUM(AK14:BB14)</f>
        <v>5585.775</v>
      </c>
      <c r="BD14" s="430"/>
      <c r="BE14" s="416">
        <f t="shared" si="4"/>
        <v>5585.775</v>
      </c>
      <c r="BF14" s="416">
        <f t="shared" si="5"/>
        <v>1262.204600000001</v>
      </c>
      <c r="BG14" s="416">
        <f t="shared" si="6"/>
        <v>-583.0799999999999</v>
      </c>
      <c r="BH14" s="416">
        <f>AF14-U14</f>
        <v>-583.0799999999999</v>
      </c>
      <c r="BI14" s="415">
        <f>AF14-U14</f>
        <v>-583.0799999999999</v>
      </c>
      <c r="BJ14" s="415"/>
      <c r="BK14" s="392"/>
      <c r="BL14" s="395"/>
      <c r="BM14" s="417"/>
      <c r="BN14" s="420"/>
    </row>
    <row r="15" spans="1:67" ht="12.75">
      <c r="A15" s="396" t="s">
        <v>47</v>
      </c>
      <c r="B15" s="397">
        <v>842.5</v>
      </c>
      <c r="C15" s="182">
        <f>(B15*0.87)+((B15*5.17*0.9)+(B15*2.51*0.9))</f>
        <v>6556.335000000001</v>
      </c>
      <c r="D15" s="426">
        <v>785.2196000000001</v>
      </c>
      <c r="E15" s="437">
        <v>0</v>
      </c>
      <c r="F15" s="437"/>
      <c r="G15" s="437">
        <v>3972.12</v>
      </c>
      <c r="H15" s="437"/>
      <c r="I15" s="438">
        <v>0</v>
      </c>
      <c r="J15" s="438"/>
      <c r="K15" s="438">
        <v>0</v>
      </c>
      <c r="L15" s="438"/>
      <c r="M15" s="438">
        <v>1930.26</v>
      </c>
      <c r="N15" s="438"/>
      <c r="O15" s="438">
        <v>743.47</v>
      </c>
      <c r="P15" s="438"/>
      <c r="Q15" s="438">
        <v>0</v>
      </c>
      <c r="R15" s="439"/>
      <c r="S15" s="439">
        <v>0</v>
      </c>
      <c r="T15" s="438"/>
      <c r="U15" s="440">
        <f t="shared" si="0"/>
        <v>6645.85</v>
      </c>
      <c r="V15" s="441">
        <f t="shared" si="0"/>
        <v>0</v>
      </c>
      <c r="W15" s="442">
        <v>0</v>
      </c>
      <c r="X15" s="437">
        <v>2122.82</v>
      </c>
      <c r="Y15" s="437">
        <v>0</v>
      </c>
      <c r="Z15" s="437">
        <v>1000</v>
      </c>
      <c r="AA15" s="437">
        <v>1031.53</v>
      </c>
      <c r="AB15" s="437">
        <v>397.39</v>
      </c>
      <c r="AC15" s="437">
        <v>0</v>
      </c>
      <c r="AD15" s="437">
        <v>0</v>
      </c>
      <c r="AE15" s="443">
        <v>0</v>
      </c>
      <c r="AF15" s="444">
        <f>SUM(W15:AE15)</f>
        <v>4551.740000000001</v>
      </c>
      <c r="AG15" s="428">
        <f>D15+V15+AF15</f>
        <v>5336.959600000001</v>
      </c>
      <c r="AH15" s="429">
        <f t="shared" si="1"/>
        <v>0</v>
      </c>
      <c r="AI15" s="429">
        <f t="shared" si="1"/>
        <v>0</v>
      </c>
      <c r="AJ15" s="435"/>
      <c r="AK15" s="410">
        <f t="shared" si="2"/>
        <v>564.475</v>
      </c>
      <c r="AL15" s="410">
        <f t="shared" si="3"/>
        <v>168.5</v>
      </c>
      <c r="AM15" s="410">
        <f>B15*1</f>
        <v>842.5</v>
      </c>
      <c r="AN15" s="410">
        <f>B15*0.21</f>
        <v>176.92499999999998</v>
      </c>
      <c r="AO15" s="410">
        <f>2.02*B15</f>
        <v>1701.85</v>
      </c>
      <c r="AP15" s="410">
        <f>B15*1.03</f>
        <v>867.775</v>
      </c>
      <c r="AQ15" s="410">
        <f>B15*0.75</f>
        <v>631.875</v>
      </c>
      <c r="AR15" s="410">
        <f>B15*0.75</f>
        <v>631.875</v>
      </c>
      <c r="AS15" s="410"/>
      <c r="AT15" s="521"/>
      <c r="AU15" s="436"/>
      <c r="AV15" s="436"/>
      <c r="AW15" s="436"/>
      <c r="AX15" s="436"/>
      <c r="AY15" s="410"/>
      <c r="AZ15" s="522"/>
      <c r="BA15" s="522"/>
      <c r="BB15" s="522"/>
      <c r="BC15" s="445">
        <f>SUM(AK15:BB15)</f>
        <v>5585.775</v>
      </c>
      <c r="BD15" s="430"/>
      <c r="BE15" s="416">
        <f t="shared" si="4"/>
        <v>5585.775</v>
      </c>
      <c r="BF15" s="416">
        <f t="shared" si="5"/>
        <v>-248.8153999999986</v>
      </c>
      <c r="BG15" s="416">
        <f t="shared" si="6"/>
        <v>-2094.1099999999997</v>
      </c>
      <c r="BH15" s="416">
        <f>AF15-U15</f>
        <v>-2094.1099999999997</v>
      </c>
      <c r="BI15" s="415">
        <f>AF15-U15</f>
        <v>-2094.1099999999997</v>
      </c>
      <c r="BJ15" s="415"/>
      <c r="BK15" s="392"/>
      <c r="BL15" s="395"/>
      <c r="BM15" s="395"/>
      <c r="BN15" s="417"/>
      <c r="BO15" s="420"/>
    </row>
    <row r="16" spans="1:61" ht="12.75">
      <c r="A16" s="396" t="s">
        <v>48</v>
      </c>
      <c r="B16" s="397">
        <v>842.5</v>
      </c>
      <c r="C16" s="182">
        <f>(B16*0.87)+((B16*5.17*0.9)+(B16*2.51*0.9))</f>
        <v>6556.335000000001</v>
      </c>
      <c r="D16" s="426">
        <v>785.2196000000001</v>
      </c>
      <c r="E16" s="446"/>
      <c r="F16" s="446"/>
      <c r="G16" s="446">
        <v>3972.13</v>
      </c>
      <c r="H16" s="446"/>
      <c r="I16" s="446"/>
      <c r="J16" s="446"/>
      <c r="K16" s="446"/>
      <c r="L16" s="446"/>
      <c r="M16" s="446">
        <v>1930.26</v>
      </c>
      <c r="N16" s="446"/>
      <c r="O16" s="446">
        <v>743.46</v>
      </c>
      <c r="P16" s="446"/>
      <c r="Q16" s="446"/>
      <c r="R16" s="446"/>
      <c r="S16" s="447"/>
      <c r="T16" s="442"/>
      <c r="U16" s="448">
        <f t="shared" si="0"/>
        <v>6645.85</v>
      </c>
      <c r="V16" s="449">
        <f t="shared" si="0"/>
        <v>0</v>
      </c>
      <c r="W16" s="450">
        <v>0</v>
      </c>
      <c r="X16" s="446">
        <v>1925.38</v>
      </c>
      <c r="Y16" s="446">
        <v>0</v>
      </c>
      <c r="Z16" s="446">
        <v>0</v>
      </c>
      <c r="AA16" s="446">
        <v>739.03</v>
      </c>
      <c r="AB16" s="446">
        <v>284.65</v>
      </c>
      <c r="AC16" s="437"/>
      <c r="AD16" s="446"/>
      <c r="AE16" s="447"/>
      <c r="AF16" s="444">
        <f>SUM(W16:AE16)</f>
        <v>2949.06</v>
      </c>
      <c r="AG16" s="451">
        <f>D16+V16+AF16</f>
        <v>3734.2796</v>
      </c>
      <c r="AH16" s="429">
        <f t="shared" si="1"/>
        <v>0</v>
      </c>
      <c r="AI16" s="429">
        <f t="shared" si="1"/>
        <v>0</v>
      </c>
      <c r="AJ16" s="452"/>
      <c r="AK16" s="410">
        <f t="shared" si="2"/>
        <v>564.475</v>
      </c>
      <c r="AL16" s="410">
        <f t="shared" si="3"/>
        <v>168.5</v>
      </c>
      <c r="AM16" s="410">
        <f>B16*1</f>
        <v>842.5</v>
      </c>
      <c r="AN16" s="410">
        <f>B16*0.21</f>
        <v>176.92499999999998</v>
      </c>
      <c r="AO16" s="410">
        <f>2.02*B16</f>
        <v>1701.85</v>
      </c>
      <c r="AP16" s="410">
        <f>B16*1.03</f>
        <v>867.775</v>
      </c>
      <c r="AQ16" s="410">
        <f>B16*0.75</f>
        <v>631.875</v>
      </c>
      <c r="AR16" s="410">
        <f>B16*0.75</f>
        <v>631.875</v>
      </c>
      <c r="AS16" s="411"/>
      <c r="AT16" s="521"/>
      <c r="AU16" s="436"/>
      <c r="AV16" s="436"/>
      <c r="AW16" s="436"/>
      <c r="AX16" s="436"/>
      <c r="AY16" s="195"/>
      <c r="AZ16" s="195"/>
      <c r="BA16" s="522"/>
      <c r="BB16" s="522"/>
      <c r="BC16" s="421">
        <f>SUM(AK16:BB16)</f>
        <v>5585.775</v>
      </c>
      <c r="BD16" s="430"/>
      <c r="BE16" s="416">
        <f t="shared" si="4"/>
        <v>5585.775</v>
      </c>
      <c r="BF16" s="416">
        <f t="shared" si="5"/>
        <v>-1851.4953999999998</v>
      </c>
      <c r="BG16" s="416">
        <f t="shared" si="6"/>
        <v>-3696.7900000000004</v>
      </c>
      <c r="BH16" s="415">
        <f t="shared" si="7"/>
        <v>-3696.7900000000004</v>
      </c>
      <c r="BI16" s="415"/>
    </row>
    <row r="17" spans="1:61" ht="12.75">
      <c r="A17" s="396" t="s">
        <v>49</v>
      </c>
      <c r="B17" s="397">
        <v>842.5</v>
      </c>
      <c r="C17" s="182">
        <f>(B17*0.87)+((B17*5.17*0.9)+(B17*2.51*0.9))</f>
        <v>6556.335000000001</v>
      </c>
      <c r="D17" s="426">
        <v>785.2196000000001</v>
      </c>
      <c r="E17" s="446"/>
      <c r="F17" s="446"/>
      <c r="G17" s="446">
        <v>3972.13</v>
      </c>
      <c r="H17" s="446"/>
      <c r="I17" s="446"/>
      <c r="J17" s="446"/>
      <c r="K17" s="446"/>
      <c r="L17" s="446"/>
      <c r="M17" s="446">
        <v>1930.26</v>
      </c>
      <c r="N17" s="446"/>
      <c r="O17" s="446">
        <v>743.46</v>
      </c>
      <c r="P17" s="446"/>
      <c r="Q17" s="446"/>
      <c r="R17" s="446"/>
      <c r="S17" s="447"/>
      <c r="T17" s="443"/>
      <c r="U17" s="453">
        <f t="shared" si="0"/>
        <v>6645.85</v>
      </c>
      <c r="V17" s="454">
        <f t="shared" si="0"/>
        <v>0</v>
      </c>
      <c r="W17" s="446">
        <v>0</v>
      </c>
      <c r="X17" s="446">
        <v>2168.08</v>
      </c>
      <c r="Y17" s="446">
        <v>0</v>
      </c>
      <c r="Z17" s="446">
        <v>0</v>
      </c>
      <c r="AA17" s="446">
        <v>1053.53</v>
      </c>
      <c r="AB17" s="446">
        <v>405.85</v>
      </c>
      <c r="AC17" s="446"/>
      <c r="AD17" s="446"/>
      <c r="AE17" s="447"/>
      <c r="AF17" s="444">
        <f>SUM(W17:AE17)</f>
        <v>3627.4599999999996</v>
      </c>
      <c r="AG17" s="451">
        <f>D17+V17+AF17</f>
        <v>4412.6795999999995</v>
      </c>
      <c r="AH17" s="429">
        <f t="shared" si="1"/>
        <v>0</v>
      </c>
      <c r="AI17" s="429">
        <f t="shared" si="1"/>
        <v>0</v>
      </c>
      <c r="AJ17" s="452"/>
      <c r="AK17" s="410">
        <f t="shared" si="2"/>
        <v>564.475</v>
      </c>
      <c r="AL17" s="410">
        <f t="shared" si="3"/>
        <v>168.5</v>
      </c>
      <c r="AM17" s="410">
        <f>B17*1</f>
        <v>842.5</v>
      </c>
      <c r="AN17" s="410">
        <f>B17*0.21</f>
        <v>176.92499999999998</v>
      </c>
      <c r="AO17" s="410">
        <f>2.02*B17</f>
        <v>1701.85</v>
      </c>
      <c r="AP17" s="410">
        <f>B17*1.03</f>
        <v>867.775</v>
      </c>
      <c r="AQ17" s="410">
        <f>B17*0.75</f>
        <v>631.875</v>
      </c>
      <c r="AR17" s="410">
        <f>B17*0.75</f>
        <v>631.875</v>
      </c>
      <c r="AS17" s="411"/>
      <c r="AT17" s="521"/>
      <c r="AU17" s="436"/>
      <c r="AV17" s="436"/>
      <c r="AW17" s="436"/>
      <c r="AX17" s="436"/>
      <c r="AY17" s="195"/>
      <c r="AZ17" s="195"/>
      <c r="BA17" s="522"/>
      <c r="BB17" s="522"/>
      <c r="BC17" s="421">
        <f>SUM(AK17:BB17)</f>
        <v>5585.775</v>
      </c>
      <c r="BD17" s="430"/>
      <c r="BE17" s="416">
        <f t="shared" si="4"/>
        <v>5585.775</v>
      </c>
      <c r="BF17" s="416">
        <f t="shared" si="5"/>
        <v>-1173.0954000000002</v>
      </c>
      <c r="BG17" s="416">
        <f t="shared" si="6"/>
        <v>-3018.390000000001</v>
      </c>
      <c r="BH17" s="415">
        <f t="shared" si="7"/>
        <v>-3018.390000000001</v>
      </c>
      <c r="BI17" s="415"/>
    </row>
    <row r="18" spans="1:62" ht="12.75">
      <c r="A18" s="396" t="s">
        <v>50</v>
      </c>
      <c r="B18" s="397">
        <v>842.5</v>
      </c>
      <c r="C18" s="182">
        <f>(B18*0.87)+((B18*5.17*0.9)+(B18*2.51*0.9))</f>
        <v>6556.335000000001</v>
      </c>
      <c r="D18" s="426">
        <v>785.2196000000001</v>
      </c>
      <c r="E18" s="446"/>
      <c r="F18" s="446"/>
      <c r="G18" s="446">
        <v>3972.16</v>
      </c>
      <c r="H18" s="446"/>
      <c r="I18" s="446"/>
      <c r="J18" s="446"/>
      <c r="K18" s="446"/>
      <c r="L18" s="446"/>
      <c r="M18" s="446">
        <v>1930.28</v>
      </c>
      <c r="N18" s="446"/>
      <c r="O18" s="446">
        <v>743.47</v>
      </c>
      <c r="P18" s="446"/>
      <c r="Q18" s="446"/>
      <c r="R18" s="446"/>
      <c r="S18" s="447"/>
      <c r="T18" s="455"/>
      <c r="U18" s="455">
        <f t="shared" si="0"/>
        <v>6645.91</v>
      </c>
      <c r="V18" s="456">
        <f t="shared" si="0"/>
        <v>0</v>
      </c>
      <c r="W18" s="446">
        <v>0</v>
      </c>
      <c r="X18" s="446">
        <v>2223.5</v>
      </c>
      <c r="Y18" s="446">
        <v>0</v>
      </c>
      <c r="Z18" s="446">
        <v>0</v>
      </c>
      <c r="AA18" s="446">
        <v>329.33</v>
      </c>
      <c r="AB18" s="446">
        <v>339.06</v>
      </c>
      <c r="AC18" s="446"/>
      <c r="AD18" s="446"/>
      <c r="AE18" s="447"/>
      <c r="AF18" s="444">
        <f>SUM(W18:AE18)</f>
        <v>2891.89</v>
      </c>
      <c r="AG18" s="451">
        <f>D18+V18+AF18</f>
        <v>3677.1096</v>
      </c>
      <c r="AH18" s="429">
        <f t="shared" si="1"/>
        <v>0</v>
      </c>
      <c r="AI18" s="429">
        <f t="shared" si="1"/>
        <v>0</v>
      </c>
      <c r="AJ18" s="452"/>
      <c r="AK18" s="410">
        <f t="shared" si="2"/>
        <v>564.475</v>
      </c>
      <c r="AL18" s="410">
        <f t="shared" si="3"/>
        <v>168.5</v>
      </c>
      <c r="AM18" s="410">
        <f>B18*1</f>
        <v>842.5</v>
      </c>
      <c r="AN18" s="410">
        <f>B18*0.21</f>
        <v>176.92499999999998</v>
      </c>
      <c r="AO18" s="410">
        <f>2.02*B18</f>
        <v>1701.85</v>
      </c>
      <c r="AP18" s="410">
        <f>B18*1.03</f>
        <v>867.775</v>
      </c>
      <c r="AQ18" s="410">
        <f>B18*0.75</f>
        <v>631.875</v>
      </c>
      <c r="AR18" s="410">
        <f>B18*0.75</f>
        <v>631.875</v>
      </c>
      <c r="AS18" s="411"/>
      <c r="AT18" s="521"/>
      <c r="AU18" s="436"/>
      <c r="AV18" s="436"/>
      <c r="AW18" s="436"/>
      <c r="AX18" s="436"/>
      <c r="AY18" s="195"/>
      <c r="AZ18" s="522"/>
      <c r="BA18" s="522"/>
      <c r="BB18" s="522"/>
      <c r="BC18" s="421">
        <f>SUM(AK18:BB18)</f>
        <v>5585.775</v>
      </c>
      <c r="BD18" s="430"/>
      <c r="BE18" s="416">
        <f t="shared" si="4"/>
        <v>5585.775</v>
      </c>
      <c r="BF18" s="416">
        <f t="shared" si="5"/>
        <v>-1908.6653999999999</v>
      </c>
      <c r="BG18" s="416">
        <f t="shared" si="6"/>
        <v>-3754.02</v>
      </c>
      <c r="BH18" s="416">
        <f>AF18-U18</f>
        <v>-3754.02</v>
      </c>
      <c r="BI18" s="415">
        <f>AF18-U18</f>
        <v>-3754.02</v>
      </c>
      <c r="BJ18" s="415"/>
    </row>
    <row r="19" spans="1:61" ht="12.75">
      <c r="A19" s="396" t="s">
        <v>38</v>
      </c>
      <c r="B19" s="397">
        <v>842.5</v>
      </c>
      <c r="C19" s="182">
        <f>(B19*0.87)+((B19*5.17*0.9)+(B19*2.51*0.9))</f>
        <v>6556.335000000001</v>
      </c>
      <c r="D19" s="457">
        <v>785.2196000000001</v>
      </c>
      <c r="E19" s="437"/>
      <c r="F19" s="437"/>
      <c r="G19" s="437">
        <v>3972.15</v>
      </c>
      <c r="H19" s="437"/>
      <c r="I19" s="437"/>
      <c r="J19" s="437"/>
      <c r="K19" s="437"/>
      <c r="L19" s="437"/>
      <c r="M19" s="437">
        <v>1930.26</v>
      </c>
      <c r="N19" s="437"/>
      <c r="O19" s="437">
        <v>743.47</v>
      </c>
      <c r="P19" s="437"/>
      <c r="Q19" s="437"/>
      <c r="R19" s="437"/>
      <c r="S19" s="443"/>
      <c r="T19" s="458"/>
      <c r="U19" s="459">
        <f t="shared" si="0"/>
        <v>6645.88</v>
      </c>
      <c r="V19" s="460">
        <f t="shared" si="0"/>
        <v>0</v>
      </c>
      <c r="W19" s="437">
        <v>0</v>
      </c>
      <c r="X19" s="437">
        <v>2797.44</v>
      </c>
      <c r="Y19" s="437">
        <v>0</v>
      </c>
      <c r="Z19" s="437">
        <v>0</v>
      </c>
      <c r="AA19" s="437">
        <v>1977.14</v>
      </c>
      <c r="AB19" s="437">
        <v>1500.32</v>
      </c>
      <c r="AC19" s="437"/>
      <c r="AD19" s="437"/>
      <c r="AE19" s="443"/>
      <c r="AF19" s="444">
        <f>SUM(W19:AE19)</f>
        <v>6274.9</v>
      </c>
      <c r="AG19" s="451">
        <f>D19+V19+AF19</f>
        <v>7060.1196</v>
      </c>
      <c r="AH19" s="429">
        <f t="shared" si="1"/>
        <v>0</v>
      </c>
      <c r="AI19" s="429">
        <f t="shared" si="1"/>
        <v>0</v>
      </c>
      <c r="AJ19" s="452"/>
      <c r="AK19" s="410">
        <f t="shared" si="2"/>
        <v>564.475</v>
      </c>
      <c r="AL19" s="410">
        <f t="shared" si="3"/>
        <v>168.5</v>
      </c>
      <c r="AM19" s="410">
        <f>B19*1</f>
        <v>842.5</v>
      </c>
      <c r="AN19" s="410">
        <f>B19*0.21</f>
        <v>176.92499999999998</v>
      </c>
      <c r="AO19" s="410">
        <f>2.02*B19</f>
        <v>1701.85</v>
      </c>
      <c r="AP19" s="410">
        <f>B19*1.03</f>
        <v>867.775</v>
      </c>
      <c r="AQ19" s="410">
        <f>B19*0.75</f>
        <v>631.875</v>
      </c>
      <c r="AR19" s="410">
        <f>B19*0.75</f>
        <v>631.875</v>
      </c>
      <c r="AS19" s="524">
        <v>0</v>
      </c>
      <c r="AT19" s="521"/>
      <c r="AU19" s="436">
        <v>1770</v>
      </c>
      <c r="AV19" s="436"/>
      <c r="AW19" s="436">
        <v>455</v>
      </c>
      <c r="AX19" s="436">
        <f>1838</f>
        <v>1838</v>
      </c>
      <c r="AY19" s="195"/>
      <c r="AZ19" s="195"/>
      <c r="BA19" s="522"/>
      <c r="BB19" s="522"/>
      <c r="BC19" s="421">
        <f>SUM(AK19:BB19)</f>
        <v>9648.775</v>
      </c>
      <c r="BD19" s="430"/>
      <c r="BE19" s="416">
        <f t="shared" si="4"/>
        <v>9648.775</v>
      </c>
      <c r="BF19" s="416">
        <f t="shared" si="5"/>
        <v>-2588.6553999999996</v>
      </c>
      <c r="BG19" s="416">
        <f t="shared" si="6"/>
        <v>-370.9800000000005</v>
      </c>
      <c r="BH19" s="461"/>
      <c r="BI19" s="347"/>
    </row>
    <row r="20" spans="1:61" ht="12.75">
      <c r="A20" s="396" t="s">
        <v>39</v>
      </c>
      <c r="B20" s="397">
        <v>842.5</v>
      </c>
      <c r="C20" s="182">
        <f>(B20*0.87)+((B20*5.17*0.9)+(B20*2.51*0.9))</f>
        <v>6556.335000000001</v>
      </c>
      <c r="D20" s="525">
        <v>785.2196000000001</v>
      </c>
      <c r="E20" s="437"/>
      <c r="F20" s="437"/>
      <c r="G20" s="437">
        <v>3972.16</v>
      </c>
      <c r="H20" s="437"/>
      <c r="I20" s="437"/>
      <c r="J20" s="437"/>
      <c r="K20" s="437"/>
      <c r="L20" s="437"/>
      <c r="M20" s="437">
        <v>1930.26</v>
      </c>
      <c r="N20" s="437"/>
      <c r="O20" s="437">
        <v>743.47</v>
      </c>
      <c r="P20" s="437"/>
      <c r="Q20" s="437"/>
      <c r="R20" s="437"/>
      <c r="S20" s="443"/>
      <c r="T20" s="458"/>
      <c r="U20" s="459">
        <f>E20+G20+I20+K20+M20+O20+Q20+S20</f>
        <v>6645.89</v>
      </c>
      <c r="V20" s="460">
        <f>F20+H20+J20+L20+N20+P20+R20+T20</f>
        <v>0</v>
      </c>
      <c r="W20" s="437">
        <v>0</v>
      </c>
      <c r="X20" s="437">
        <v>3949.37</v>
      </c>
      <c r="Y20" s="437">
        <v>0</v>
      </c>
      <c r="Z20" s="437">
        <v>0</v>
      </c>
      <c r="AA20" s="437">
        <v>1914.45</v>
      </c>
      <c r="AB20" s="437">
        <v>732.06</v>
      </c>
      <c r="AC20" s="437"/>
      <c r="AD20" s="437"/>
      <c r="AE20" s="443"/>
      <c r="AF20" s="444">
        <f>SUM(W20:AE20)</f>
        <v>6595.879999999999</v>
      </c>
      <c r="AG20" s="451">
        <f>D20+V20+AF20</f>
        <v>7381.0996</v>
      </c>
      <c r="AH20" s="429">
        <f>AC20</f>
        <v>0</v>
      </c>
      <c r="AI20" s="429">
        <f>AD20</f>
        <v>0</v>
      </c>
      <c r="AJ20" s="452"/>
      <c r="AK20" s="410">
        <f>0.67*B20</f>
        <v>564.475</v>
      </c>
      <c r="AL20" s="410">
        <f>B20*0.2</f>
        <v>168.5</v>
      </c>
      <c r="AM20" s="410">
        <f>B20*1</f>
        <v>842.5</v>
      </c>
      <c r="AN20" s="410">
        <f>B20*0.21</f>
        <v>176.92499999999998</v>
      </c>
      <c r="AO20" s="410">
        <f>2.02*B20</f>
        <v>1701.85</v>
      </c>
      <c r="AP20" s="410">
        <f>B20*1.03</f>
        <v>867.775</v>
      </c>
      <c r="AQ20" s="410">
        <f>B20*0.75</f>
        <v>631.875</v>
      </c>
      <c r="AR20" s="410">
        <f>B20*0.75</f>
        <v>631.875</v>
      </c>
      <c r="AS20" s="524">
        <v>0</v>
      </c>
      <c r="AT20" s="521"/>
      <c r="AU20" s="436"/>
      <c r="AV20" s="436"/>
      <c r="AW20" s="436"/>
      <c r="AX20" s="436"/>
      <c r="AY20" s="195"/>
      <c r="AZ20" s="195"/>
      <c r="BA20" s="522"/>
      <c r="BB20" s="522"/>
      <c r="BC20" s="421">
        <f>SUM(AK20:BB20)</f>
        <v>5585.775</v>
      </c>
      <c r="BD20" s="430"/>
      <c r="BE20" s="416">
        <f t="shared" si="4"/>
        <v>5585.775</v>
      </c>
      <c r="BF20" s="416">
        <f t="shared" si="5"/>
        <v>1795.3246</v>
      </c>
      <c r="BG20" s="416">
        <f t="shared" si="6"/>
        <v>-50.01000000000113</v>
      </c>
      <c r="BH20" s="461"/>
      <c r="BI20" s="347"/>
    </row>
    <row r="21" spans="1:61" ht="13.5" thickBot="1">
      <c r="A21" s="396" t="s">
        <v>40</v>
      </c>
      <c r="B21" s="397">
        <v>842.5</v>
      </c>
      <c r="C21" s="182">
        <f>(B21*0.87)+((B21*5.17*0.9)+(B21*2.51*0.9))</f>
        <v>6556.335000000001</v>
      </c>
      <c r="D21" s="525">
        <v>785.2196000000001</v>
      </c>
      <c r="E21" s="462"/>
      <c r="F21" s="462"/>
      <c r="G21" s="462">
        <v>3972.16</v>
      </c>
      <c r="H21" s="462"/>
      <c r="I21" s="462"/>
      <c r="J21" s="462"/>
      <c r="K21" s="462"/>
      <c r="L21" s="462"/>
      <c r="M21" s="462">
        <v>1930.26</v>
      </c>
      <c r="N21" s="462"/>
      <c r="O21" s="462">
        <v>743.47</v>
      </c>
      <c r="P21" s="462"/>
      <c r="Q21" s="462"/>
      <c r="R21" s="462"/>
      <c r="S21" s="463"/>
      <c r="T21" s="464"/>
      <c r="U21" s="459">
        <f>E21+G21+I21+K21+M21+O21+Q21+S21</f>
        <v>6645.89</v>
      </c>
      <c r="V21" s="460">
        <f>F21+H21+J21+L21+N21+P21+R21+T21</f>
        <v>0</v>
      </c>
      <c r="W21" s="437">
        <v>0</v>
      </c>
      <c r="X21" s="437">
        <v>3392.42</v>
      </c>
      <c r="Y21" s="437">
        <v>0</v>
      </c>
      <c r="Z21" s="437">
        <v>0</v>
      </c>
      <c r="AA21" s="437">
        <v>1648.51</v>
      </c>
      <c r="AB21" s="437">
        <v>634.99</v>
      </c>
      <c r="AC21" s="437"/>
      <c r="AD21" s="437"/>
      <c r="AE21" s="443"/>
      <c r="AF21" s="444">
        <f>SUM(W21:AE21)</f>
        <v>5675.92</v>
      </c>
      <c r="AG21" s="451">
        <f>D21+V21+AF21</f>
        <v>6461.1396</v>
      </c>
      <c r="AH21" s="429">
        <f>AC21</f>
        <v>0</v>
      </c>
      <c r="AI21" s="429">
        <f>AD21</f>
        <v>0</v>
      </c>
      <c r="AJ21" s="452"/>
      <c r="AK21" s="410">
        <f>0.67*B21</f>
        <v>564.475</v>
      </c>
      <c r="AL21" s="410">
        <f>B21*0.2</f>
        <v>168.5</v>
      </c>
      <c r="AM21" s="410">
        <f>B21*1</f>
        <v>842.5</v>
      </c>
      <c r="AN21" s="410">
        <f>B21*0.21</f>
        <v>176.92499999999998</v>
      </c>
      <c r="AO21" s="410">
        <f>2.02*B21</f>
        <v>1701.85</v>
      </c>
      <c r="AP21" s="410">
        <f>B21*1.03</f>
        <v>867.775</v>
      </c>
      <c r="AQ21" s="410">
        <f>B21*0.75</f>
        <v>631.875</v>
      </c>
      <c r="AR21" s="410">
        <f>B21*0.75</f>
        <v>631.875</v>
      </c>
      <c r="AS21" s="524">
        <v>0</v>
      </c>
      <c r="AT21" s="521"/>
      <c r="AU21" s="436">
        <v>23336</v>
      </c>
      <c r="AV21" s="436"/>
      <c r="AW21" s="436"/>
      <c r="AX21" s="436">
        <f>4604+2290</f>
        <v>6894</v>
      </c>
      <c r="AY21" s="195"/>
      <c r="AZ21" s="195"/>
      <c r="BA21" s="522"/>
      <c r="BB21" s="522"/>
      <c r="BC21" s="421">
        <f>SUM(AK21:BB21)</f>
        <v>35815.775</v>
      </c>
      <c r="BD21" s="430"/>
      <c r="BE21" s="416">
        <f t="shared" si="4"/>
        <v>35815.775</v>
      </c>
      <c r="BF21" s="416">
        <f t="shared" si="5"/>
        <v>-29354.6354</v>
      </c>
      <c r="BG21" s="416">
        <f t="shared" si="6"/>
        <v>-969.9700000000003</v>
      </c>
      <c r="BH21" s="461"/>
      <c r="BI21" s="347"/>
    </row>
    <row r="22" spans="1:61" s="16" customFormat="1" ht="13.5" thickBot="1">
      <c r="A22" s="465" t="s">
        <v>3</v>
      </c>
      <c r="B22" s="466"/>
      <c r="C22" s="467">
        <f aca="true" t="shared" si="8" ref="C22:AW22">SUM(C10:C21)</f>
        <v>65563.35</v>
      </c>
      <c r="D22" s="467">
        <f t="shared" si="8"/>
        <v>9422.635200000002</v>
      </c>
      <c r="E22" s="467">
        <f t="shared" si="8"/>
        <v>0</v>
      </c>
      <c r="F22" s="467">
        <f t="shared" si="8"/>
        <v>0</v>
      </c>
      <c r="G22" s="467">
        <f t="shared" si="8"/>
        <v>39721.39</v>
      </c>
      <c r="H22" s="467">
        <f t="shared" si="8"/>
        <v>0</v>
      </c>
      <c r="I22" s="467">
        <f t="shared" si="8"/>
        <v>0</v>
      </c>
      <c r="J22" s="467">
        <f t="shared" si="8"/>
        <v>0</v>
      </c>
      <c r="K22" s="467">
        <f t="shared" si="8"/>
        <v>0</v>
      </c>
      <c r="L22" s="467">
        <f t="shared" si="8"/>
        <v>0</v>
      </c>
      <c r="M22" s="467">
        <f t="shared" si="8"/>
        <v>19302.62</v>
      </c>
      <c r="N22" s="467">
        <f t="shared" si="8"/>
        <v>0</v>
      </c>
      <c r="O22" s="467">
        <f t="shared" si="8"/>
        <v>7434.5700000000015</v>
      </c>
      <c r="P22" s="467">
        <f t="shared" si="8"/>
        <v>0</v>
      </c>
      <c r="Q22" s="467">
        <f t="shared" si="8"/>
        <v>0</v>
      </c>
      <c r="R22" s="467">
        <f t="shared" si="8"/>
        <v>0</v>
      </c>
      <c r="S22" s="467">
        <f t="shared" si="8"/>
        <v>0</v>
      </c>
      <c r="T22" s="467">
        <f t="shared" si="8"/>
        <v>0</v>
      </c>
      <c r="U22" s="467">
        <f t="shared" si="8"/>
        <v>66458.58</v>
      </c>
      <c r="V22" s="467">
        <f t="shared" si="8"/>
        <v>0</v>
      </c>
      <c r="W22" s="467">
        <f t="shared" si="8"/>
        <v>767.47</v>
      </c>
      <c r="X22" s="467">
        <f t="shared" si="8"/>
        <v>21958</v>
      </c>
      <c r="Y22" s="467">
        <f t="shared" si="8"/>
        <v>2002.38</v>
      </c>
      <c r="Z22" s="467">
        <f t="shared" si="8"/>
        <v>1542.54</v>
      </c>
      <c r="AA22" s="467">
        <f t="shared" si="8"/>
        <v>13595.94</v>
      </c>
      <c r="AB22" s="467">
        <f t="shared" si="8"/>
        <v>9132.599999999999</v>
      </c>
      <c r="AC22" s="467">
        <f t="shared" si="8"/>
        <v>0</v>
      </c>
      <c r="AD22" s="467">
        <f t="shared" si="8"/>
        <v>0</v>
      </c>
      <c r="AE22" s="467">
        <f t="shared" si="8"/>
        <v>0</v>
      </c>
      <c r="AF22" s="467">
        <f t="shared" si="8"/>
        <v>48998.93</v>
      </c>
      <c r="AG22" s="467">
        <f t="shared" si="8"/>
        <v>58421.5652</v>
      </c>
      <c r="AH22" s="467">
        <f t="shared" si="8"/>
        <v>0</v>
      </c>
      <c r="AI22" s="467">
        <f t="shared" si="8"/>
        <v>0</v>
      </c>
      <c r="AJ22" s="467">
        <f t="shared" si="8"/>
        <v>0</v>
      </c>
      <c r="AK22" s="467">
        <f t="shared" si="8"/>
        <v>6773.700000000002</v>
      </c>
      <c r="AL22" s="467">
        <f t="shared" si="8"/>
        <v>2022</v>
      </c>
      <c r="AM22" s="467">
        <f t="shared" si="8"/>
        <v>10110</v>
      </c>
      <c r="AN22" s="467">
        <f t="shared" si="8"/>
        <v>2123.1</v>
      </c>
      <c r="AO22" s="467">
        <f t="shared" si="8"/>
        <v>18720.35</v>
      </c>
      <c r="AP22" s="467">
        <f t="shared" si="8"/>
        <v>10413.299999999997</v>
      </c>
      <c r="AQ22" s="467">
        <f t="shared" si="8"/>
        <v>7582.5</v>
      </c>
      <c r="AR22" s="467">
        <f t="shared" si="8"/>
        <v>7582.5</v>
      </c>
      <c r="AS22" s="467">
        <f t="shared" si="8"/>
        <v>0</v>
      </c>
      <c r="AT22" s="467">
        <f t="shared" si="8"/>
        <v>0</v>
      </c>
      <c r="AU22" s="467">
        <f t="shared" si="8"/>
        <v>25106</v>
      </c>
      <c r="AV22" s="467">
        <f t="shared" si="8"/>
        <v>151</v>
      </c>
      <c r="AW22" s="467">
        <f t="shared" si="8"/>
        <v>455</v>
      </c>
      <c r="AX22" s="467">
        <f>SUM(AX10:AX21)</f>
        <v>9990.84</v>
      </c>
      <c r="AY22" s="467">
        <f>SUM(AY10:AY21)</f>
        <v>0</v>
      </c>
      <c r="AZ22" s="467">
        <f>SUM(AZ10:AZ21)</f>
        <v>0</v>
      </c>
      <c r="BA22" s="467">
        <f>SUM(BA10:BA21)</f>
        <v>0</v>
      </c>
      <c r="BB22" s="467">
        <f>SUM(BB10:BB21)</f>
        <v>0</v>
      </c>
      <c r="BC22" s="467">
        <f>SUM(BC10:BC21)</f>
        <v>101030.29000000001</v>
      </c>
      <c r="BD22" s="467">
        <f>SUM(BD10:BD21)</f>
        <v>0</v>
      </c>
      <c r="BE22" s="467">
        <f>SUM(BE10:BE21)</f>
        <v>101030.29000000001</v>
      </c>
      <c r="BF22" s="467">
        <f>SUM(BF10:BF21)</f>
        <v>-42608.724799999996</v>
      </c>
      <c r="BG22" s="467">
        <f>SUM(BG10:BG21)</f>
        <v>-17459.650000000005</v>
      </c>
      <c r="BH22" s="38"/>
      <c r="BI22" s="38"/>
    </row>
    <row r="23" spans="1:61" s="16" customFormat="1" ht="13.5" thickBot="1">
      <c r="A23" s="468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70"/>
      <c r="BF23" s="469"/>
      <c r="BG23" s="471"/>
      <c r="BI23" s="38"/>
    </row>
    <row r="24" spans="1:59" s="16" customFormat="1" ht="13.5" thickBot="1">
      <c r="A24" s="388" t="s">
        <v>93</v>
      </c>
      <c r="B24" s="469"/>
      <c r="C24" s="472">
        <f aca="true" t="shared" si="9" ref="C24:AD24">C22+C8</f>
        <v>240466.35</v>
      </c>
      <c r="D24" s="472">
        <f t="shared" si="9"/>
        <v>96440.4777</v>
      </c>
      <c r="E24" s="472">
        <f t="shared" si="9"/>
        <v>8622.61</v>
      </c>
      <c r="F24" s="472">
        <f t="shared" si="9"/>
        <v>439.24</v>
      </c>
      <c r="G24" s="472">
        <f t="shared" si="9"/>
        <v>39721.39</v>
      </c>
      <c r="H24" s="472">
        <f t="shared" si="9"/>
        <v>0</v>
      </c>
      <c r="I24" s="472">
        <f t="shared" si="9"/>
        <v>11650.59</v>
      </c>
      <c r="J24" s="472">
        <f t="shared" si="9"/>
        <v>594.8</v>
      </c>
      <c r="K24" s="472">
        <f t="shared" si="9"/>
        <v>17372.519999999997</v>
      </c>
      <c r="L24" s="472">
        <f t="shared" si="9"/>
        <v>881.5900000000001</v>
      </c>
      <c r="M24" s="472">
        <f t="shared" si="9"/>
        <v>44375.25</v>
      </c>
      <c r="N24" s="472">
        <f t="shared" si="9"/>
        <v>1272.39</v>
      </c>
      <c r="O24" s="472">
        <f t="shared" si="9"/>
        <v>14332.690000000002</v>
      </c>
      <c r="P24" s="472">
        <f t="shared" si="9"/>
        <v>351.38</v>
      </c>
      <c r="Q24" s="472">
        <f t="shared" si="9"/>
        <v>0</v>
      </c>
      <c r="R24" s="472">
        <f t="shared" si="9"/>
        <v>0</v>
      </c>
      <c r="S24" s="472">
        <f t="shared" si="9"/>
        <v>0</v>
      </c>
      <c r="T24" s="472">
        <f t="shared" si="9"/>
        <v>0</v>
      </c>
      <c r="U24" s="472">
        <f t="shared" si="9"/>
        <v>136075.05</v>
      </c>
      <c r="V24" s="472">
        <f t="shared" si="9"/>
        <v>3539.3999999999996</v>
      </c>
      <c r="W24" s="472">
        <f t="shared" si="9"/>
        <v>6727.600000000001</v>
      </c>
      <c r="X24" s="472">
        <f t="shared" si="9"/>
        <v>21958</v>
      </c>
      <c r="Y24" s="472">
        <f t="shared" si="9"/>
        <v>10068.5</v>
      </c>
      <c r="Z24" s="472">
        <f t="shared" si="9"/>
        <v>13385.080000000002</v>
      </c>
      <c r="AA24" s="472">
        <f t="shared" si="9"/>
        <v>33093.89</v>
      </c>
      <c r="AB24" s="472">
        <f t="shared" si="9"/>
        <v>13900.679999999998</v>
      </c>
      <c r="AC24" s="472">
        <f t="shared" si="9"/>
        <v>0</v>
      </c>
      <c r="AD24" s="472">
        <f t="shared" si="9"/>
        <v>0</v>
      </c>
      <c r="AE24" s="472">
        <f>AE22+AF8</f>
        <v>50134.82</v>
      </c>
      <c r="AF24" s="472" t="e">
        <f>AF22+#REF!</f>
        <v>#REF!</v>
      </c>
      <c r="AG24" s="472">
        <f aca="true" t="shared" si="10" ref="AG24:BG24">AG22+AG8</f>
        <v>199113.6277</v>
      </c>
      <c r="AH24" s="472">
        <f t="shared" si="10"/>
        <v>0</v>
      </c>
      <c r="AI24" s="472">
        <f t="shared" si="10"/>
        <v>0</v>
      </c>
      <c r="AJ24" s="472">
        <f t="shared" si="10"/>
        <v>0</v>
      </c>
      <c r="AK24" s="472">
        <f t="shared" si="10"/>
        <v>18703.5</v>
      </c>
      <c r="AL24" s="472">
        <f t="shared" si="10"/>
        <v>6007.2036100000005</v>
      </c>
      <c r="AM24" s="472">
        <f t="shared" si="10"/>
        <v>29893.361601124998</v>
      </c>
      <c r="AN24" s="472">
        <f t="shared" si="10"/>
        <v>2123.1</v>
      </c>
      <c r="AO24" s="472">
        <f t="shared" si="10"/>
        <v>38030.679828944994</v>
      </c>
      <c r="AP24" s="472">
        <f t="shared" si="10"/>
        <v>54795.1062328</v>
      </c>
      <c r="AQ24" s="472">
        <f t="shared" si="10"/>
        <v>7582.5</v>
      </c>
      <c r="AR24" s="472">
        <f t="shared" si="10"/>
        <v>7582.5</v>
      </c>
      <c r="AS24" s="472">
        <f t="shared" si="10"/>
        <v>0</v>
      </c>
      <c r="AT24" s="472">
        <f t="shared" si="10"/>
        <v>0</v>
      </c>
      <c r="AU24" s="472">
        <f t="shared" si="10"/>
        <v>104438.52119999999</v>
      </c>
      <c r="AV24" s="472">
        <f t="shared" si="10"/>
        <v>151</v>
      </c>
      <c r="AW24" s="472">
        <f t="shared" si="10"/>
        <v>502.8</v>
      </c>
      <c r="AX24" s="472">
        <f t="shared" si="10"/>
        <v>18618.2448</v>
      </c>
      <c r="AY24" s="472">
        <f t="shared" si="10"/>
        <v>3338.7648</v>
      </c>
      <c r="AZ24" s="472">
        <f t="shared" si="10"/>
        <v>0</v>
      </c>
      <c r="BA24" s="472">
        <f t="shared" si="10"/>
        <v>0</v>
      </c>
      <c r="BB24" s="472">
        <f t="shared" si="10"/>
        <v>0</v>
      </c>
      <c r="BC24" s="472">
        <f t="shared" si="10"/>
        <v>291767.28207286994</v>
      </c>
      <c r="BD24" s="472">
        <f t="shared" si="10"/>
        <v>0</v>
      </c>
      <c r="BE24" s="473">
        <f t="shared" si="10"/>
        <v>291767.28207286994</v>
      </c>
      <c r="BF24" s="472">
        <f t="shared" si="10"/>
        <v>-92653.65437286999</v>
      </c>
      <c r="BG24" s="474">
        <f t="shared" si="10"/>
        <v>-36941.3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3">
      <selection activeCell="I44" sqref="I44:L44"/>
    </sheetView>
  </sheetViews>
  <sheetFormatPr defaultColWidth="9.00390625" defaultRowHeight="12.75"/>
  <cols>
    <col min="1" max="1" width="10.00390625" style="346" customWidth="1"/>
    <col min="2" max="2" width="9.125" style="346" customWidth="1"/>
    <col min="3" max="3" width="9.875" style="346" customWidth="1"/>
    <col min="4" max="4" width="10.875" style="346" customWidth="1"/>
    <col min="5" max="5" width="10.125" style="346" bestFit="1" customWidth="1"/>
    <col min="6" max="6" width="9.00390625" style="346" customWidth="1"/>
    <col min="7" max="7" width="10.00390625" style="346" customWidth="1"/>
    <col min="8" max="8" width="10.125" style="346" customWidth="1"/>
    <col min="9" max="9" width="9.25390625" style="346" customWidth="1"/>
    <col min="10" max="10" width="9.875" style="346" customWidth="1"/>
    <col min="11" max="11" width="10.875" style="346" customWidth="1"/>
    <col min="12" max="12" width="10.125" style="346" customWidth="1"/>
    <col min="13" max="13" width="9.375" style="346" hidden="1" customWidth="1"/>
    <col min="14" max="14" width="10.375" style="346" customWidth="1"/>
    <col min="15" max="15" width="10.75390625" style="346" customWidth="1"/>
    <col min="16" max="16" width="11.75390625" style="346" customWidth="1"/>
    <col min="17" max="16384" width="9.125" style="346" customWidth="1"/>
  </cols>
  <sheetData>
    <row r="1" spans="2:8" ht="20.25" customHeight="1">
      <c r="B1" s="475" t="s">
        <v>51</v>
      </c>
      <c r="C1" s="475"/>
      <c r="D1" s="475"/>
      <c r="E1" s="475"/>
      <c r="F1" s="475"/>
      <c r="G1" s="475"/>
      <c r="H1" s="475"/>
    </row>
    <row r="2" spans="2:8" ht="21" customHeight="1">
      <c r="B2" s="475" t="s">
        <v>52</v>
      </c>
      <c r="C2" s="475"/>
      <c r="D2" s="475"/>
      <c r="E2" s="475"/>
      <c r="F2" s="475"/>
      <c r="G2" s="475"/>
      <c r="H2" s="475"/>
    </row>
    <row r="5" spans="1:15" ht="12.75">
      <c r="A5" s="322" t="s">
        <v>127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</row>
    <row r="6" spans="1:15" ht="12.75">
      <c r="A6" s="476" t="s">
        <v>119</v>
      </c>
      <c r="B6" s="476"/>
      <c r="C6" s="476"/>
      <c r="D6" s="476"/>
      <c r="E6" s="476"/>
      <c r="F6" s="476"/>
      <c r="G6" s="476"/>
      <c r="H6" s="51"/>
      <c r="I6" s="51"/>
      <c r="J6" s="51"/>
      <c r="K6" s="51"/>
      <c r="L6" s="51"/>
      <c r="M6" s="51"/>
      <c r="N6" s="51"/>
      <c r="O6" s="51"/>
    </row>
    <row r="7" spans="1:6" ht="13.5" thickBot="1">
      <c r="A7" s="477" t="s">
        <v>53</v>
      </c>
      <c r="B7" s="477"/>
      <c r="C7" s="477"/>
      <c r="D7" s="477"/>
      <c r="E7" s="477">
        <v>7.09</v>
      </c>
      <c r="F7" s="477"/>
    </row>
    <row r="8" spans="1:16" ht="12.75" customHeight="1">
      <c r="A8" s="323" t="s">
        <v>54</v>
      </c>
      <c r="B8" s="326" t="s">
        <v>0</v>
      </c>
      <c r="C8" s="478" t="s">
        <v>120</v>
      </c>
      <c r="D8" s="479" t="s">
        <v>2</v>
      </c>
      <c r="E8" s="480" t="s">
        <v>56</v>
      </c>
      <c r="F8" s="281"/>
      <c r="G8" s="317" t="s">
        <v>121</v>
      </c>
      <c r="H8" s="318"/>
      <c r="I8" s="481" t="s">
        <v>8</v>
      </c>
      <c r="J8" s="336"/>
      <c r="K8" s="336"/>
      <c r="L8" s="336"/>
      <c r="M8" s="336"/>
      <c r="N8" s="482"/>
      <c r="O8" s="341" t="s">
        <v>57</v>
      </c>
      <c r="P8" s="341" t="s">
        <v>10</v>
      </c>
    </row>
    <row r="9" spans="1:16" ht="12.75">
      <c r="A9" s="324"/>
      <c r="B9" s="327"/>
      <c r="C9" s="483"/>
      <c r="D9" s="484"/>
      <c r="E9" s="485"/>
      <c r="F9" s="486"/>
      <c r="G9" s="319"/>
      <c r="H9" s="320"/>
      <c r="I9" s="487"/>
      <c r="J9" s="339"/>
      <c r="K9" s="339"/>
      <c r="L9" s="339"/>
      <c r="M9" s="339"/>
      <c r="N9" s="488"/>
      <c r="O9" s="342"/>
      <c r="P9" s="342"/>
    </row>
    <row r="10" spans="1:16" ht="26.25" customHeight="1">
      <c r="A10" s="324"/>
      <c r="B10" s="327"/>
      <c r="C10" s="483"/>
      <c r="D10" s="484"/>
      <c r="E10" s="489" t="s">
        <v>58</v>
      </c>
      <c r="F10" s="284"/>
      <c r="G10" s="61" t="s">
        <v>59</v>
      </c>
      <c r="H10" s="309" t="s">
        <v>5</v>
      </c>
      <c r="I10" s="490" t="s">
        <v>60</v>
      </c>
      <c r="J10" s="313" t="s">
        <v>122</v>
      </c>
      <c r="K10" s="313" t="s">
        <v>61</v>
      </c>
      <c r="L10" s="313" t="s">
        <v>35</v>
      </c>
      <c r="M10" s="313" t="s">
        <v>62</v>
      </c>
      <c r="N10" s="309" t="s">
        <v>37</v>
      </c>
      <c r="O10" s="342"/>
      <c r="P10" s="342"/>
    </row>
    <row r="11" spans="1:16" ht="66.75" customHeight="1" thickBot="1">
      <c r="A11" s="325"/>
      <c r="B11" s="328"/>
      <c r="C11" s="491"/>
      <c r="D11" s="492"/>
      <c r="E11" s="493" t="s">
        <v>63</v>
      </c>
      <c r="F11" s="494" t="s">
        <v>19</v>
      </c>
      <c r="G11" s="50" t="s">
        <v>123</v>
      </c>
      <c r="H11" s="310"/>
      <c r="I11" s="495"/>
      <c r="J11" s="314"/>
      <c r="K11" s="314"/>
      <c r="L11" s="314"/>
      <c r="M11" s="314"/>
      <c r="N11" s="310"/>
      <c r="O11" s="343"/>
      <c r="P11" s="343"/>
    </row>
    <row r="12" spans="1:16" ht="13.5" thickBot="1">
      <c r="A12" s="21">
        <v>1</v>
      </c>
      <c r="B12" s="22">
        <v>2</v>
      </c>
      <c r="C12" s="21">
        <v>3</v>
      </c>
      <c r="D12" s="22">
        <v>4</v>
      </c>
      <c r="E12" s="21">
        <v>5</v>
      </c>
      <c r="F12" s="22">
        <v>6</v>
      </c>
      <c r="G12" s="21">
        <v>7</v>
      </c>
      <c r="H12" s="22">
        <v>8</v>
      </c>
      <c r="I12" s="21">
        <v>9</v>
      </c>
      <c r="J12" s="22">
        <v>10</v>
      </c>
      <c r="K12" s="21">
        <v>11</v>
      </c>
      <c r="L12" s="22">
        <v>12</v>
      </c>
      <c r="M12" s="21">
        <v>13</v>
      </c>
      <c r="N12" s="22">
        <v>14</v>
      </c>
      <c r="O12" s="21">
        <v>15</v>
      </c>
      <c r="P12" s="22">
        <v>16</v>
      </c>
    </row>
    <row r="13" spans="1:18" ht="13.5" hidden="1" thickBot="1">
      <c r="A13" s="5" t="s">
        <v>41</v>
      </c>
      <c r="B13" s="171"/>
      <c r="C13" s="496"/>
      <c r="D13" s="497"/>
      <c r="E13" s="148"/>
      <c r="F13" s="146"/>
      <c r="G13" s="158"/>
      <c r="H13" s="146"/>
      <c r="I13" s="158"/>
      <c r="J13" s="110"/>
      <c r="K13" s="110"/>
      <c r="L13" s="498"/>
      <c r="M13" s="499"/>
      <c r="N13" s="115"/>
      <c r="O13" s="500"/>
      <c r="P13" s="500"/>
      <c r="Q13" s="345"/>
      <c r="R13" s="345"/>
    </row>
    <row r="14" spans="1:18" ht="13.5" hidden="1" thickBot="1">
      <c r="A14" s="396" t="s">
        <v>42</v>
      </c>
      <c r="B14" s="501">
        <f>'[4]Лист1'!B8</f>
        <v>0</v>
      </c>
      <c r="C14" s="502">
        <f aca="true" t="shared" si="0" ref="C14:C25">B14*8.65</f>
        <v>0</v>
      </c>
      <c r="D14" s="503">
        <f>'[4]Лист1'!D8</f>
        <v>0</v>
      </c>
      <c r="E14" s="110">
        <f>'[4]Лист1'!S8</f>
        <v>0</v>
      </c>
      <c r="F14" s="115">
        <f>'[4]Лист1'!T8</f>
        <v>0</v>
      </c>
      <c r="G14" s="504">
        <f>'[4]Лист1'!AB8</f>
        <v>0</v>
      </c>
      <c r="H14" s="115">
        <f>'[4]Лист1'!AC8</f>
        <v>0</v>
      </c>
      <c r="I14" s="504">
        <f>'[4]Лист1'!AG8</f>
        <v>0</v>
      </c>
      <c r="J14" s="110">
        <f>'[4]Лист1'!AI8+'[4]Лист1'!AJ8</f>
        <v>0</v>
      </c>
      <c r="K14" s="110">
        <f>'[4]Лист1'!AH8+'[4]Лист1'!AK8+'[4]Лист1'!AL8+'[4]Лист1'!AM8+'[4]Лист1'!AN8+'[4]Лист1'!AO8+'[4]Лист1'!AP8+'[4]Лист1'!AQ8+'[4]Лист1'!AR8</f>
        <v>0</v>
      </c>
      <c r="L14" s="498">
        <f>'[4]Лист1'!AS8+'[4]Лист1'!AT8+'[4]Лист1'!AU8+'[4]Лист1'!AZ8+'[4]Лист1'!BA8</f>
        <v>0</v>
      </c>
      <c r="M14" s="498">
        <f>'[4]Лист1'!AX8</f>
        <v>0</v>
      </c>
      <c r="N14" s="115">
        <f>'[4]Лист1'!BB8</f>
        <v>0</v>
      </c>
      <c r="O14" s="500">
        <f>'[4]Лист1'!BD8</f>
        <v>0</v>
      </c>
      <c r="P14" s="500">
        <f>'[4]Лист1'!BE8</f>
        <v>0</v>
      </c>
      <c r="Q14" s="345"/>
      <c r="R14" s="345"/>
    </row>
    <row r="15" spans="1:18" ht="13.5" hidden="1" thickBot="1">
      <c r="A15" s="396" t="s">
        <v>43</v>
      </c>
      <c r="B15" s="501">
        <f>'[4]Лист1'!B9</f>
        <v>347</v>
      </c>
      <c r="C15" s="502">
        <f t="shared" si="0"/>
        <v>3001.55</v>
      </c>
      <c r="D15" s="503">
        <f>'[4]Лист1'!D9</f>
        <v>375.19375</v>
      </c>
      <c r="E15" s="110">
        <f>'[4]Лист1'!S9</f>
        <v>1402.63</v>
      </c>
      <c r="F15" s="115">
        <f>'[4]Лист1'!T9</f>
        <v>770.85</v>
      </c>
      <c r="G15" s="504">
        <f>'[4]Лист1'!AB9</f>
        <v>1205.52</v>
      </c>
      <c r="H15" s="115">
        <f>'[4]Лист1'!AC9</f>
        <v>2351.5637500000003</v>
      </c>
      <c r="I15" s="504">
        <f>'[4]Лист1'!AG9</f>
        <v>187.38</v>
      </c>
      <c r="J15" s="110">
        <f>'[4]Лист1'!AI9+'[4]Лист1'!AJ9</f>
        <v>301.727947</v>
      </c>
      <c r="K15" s="110">
        <f>'[4]Лист1'!AH9+'[4]Лист1'!AK9+'[4]Лист1'!AL9+'[4]Лист1'!AM9+'[4]Лист1'!AN9+'[4]Лист1'!AO9+'[4]Лист1'!AP9+'[4]Лист1'!AQ9+'[4]Лист1'!AR9</f>
        <v>1036.33545944</v>
      </c>
      <c r="L15" s="498">
        <f>'[4]Лист1'!AS9+'[4]Лист1'!AT9+'[4]Лист1'!AU9+'[4]Лист1'!AZ9+'[4]Лист1'!BA9</f>
        <v>0</v>
      </c>
      <c r="M15" s="498">
        <f>'[4]Лист1'!AX9</f>
        <v>100.70592</v>
      </c>
      <c r="N15" s="115">
        <f>'[4]Лист1'!BB9</f>
        <v>1525.4434064399998</v>
      </c>
      <c r="O15" s="500">
        <f>'[4]Лист1'!BD9</f>
        <v>826.1203435600005</v>
      </c>
      <c r="P15" s="500">
        <f>'[4]Лист1'!BE9</f>
        <v>-197.11000000000013</v>
      </c>
      <c r="Q15" s="345"/>
      <c r="R15" s="345"/>
    </row>
    <row r="16" spans="1:18" ht="13.5" hidden="1" thickBot="1">
      <c r="A16" s="396" t="s">
        <v>44</v>
      </c>
      <c r="B16" s="501">
        <f>'[4]Лист1'!B10</f>
        <v>347</v>
      </c>
      <c r="C16" s="502">
        <f t="shared" si="0"/>
        <v>3001.55</v>
      </c>
      <c r="D16" s="503">
        <f>'[4]Лист1'!D10</f>
        <v>375.19375</v>
      </c>
      <c r="E16" s="110">
        <f>'[4]Лист1'!S10</f>
        <v>1402.63</v>
      </c>
      <c r="F16" s="115">
        <f>'[4]Лист1'!T10</f>
        <v>770.85</v>
      </c>
      <c r="G16" s="504">
        <f>'[4]Лист1'!AB10</f>
        <v>1141.3000000000002</v>
      </c>
      <c r="H16" s="115">
        <f>'[4]Лист1'!AC10</f>
        <v>2287.34375</v>
      </c>
      <c r="I16" s="504">
        <f>'[4]Лист1'!AG10</f>
        <v>187.38</v>
      </c>
      <c r="J16" s="110">
        <f>'[4]Лист1'!AI10+'[4]Лист1'!AJ10</f>
        <v>301.403506</v>
      </c>
      <c r="K16" s="110">
        <f>'[4]Лист1'!AH10+'[4]Лист1'!AK10+'[4]Лист1'!AL10+'[4]Лист1'!AM10+'[4]Лист1'!AN10+'[4]Лист1'!AO10+'[4]Лист1'!AP10+'[4]Лист1'!AQ10+'[4]Лист1'!AR10</f>
        <v>1037.8314805399998</v>
      </c>
      <c r="L16" s="498">
        <f>'[4]Лист1'!AS10+'[4]Лист1'!AT10+'[4]Лист1'!AU10+'[4]Лист1'!AZ10+'[4]Лист1'!BA10</f>
        <v>1569.4</v>
      </c>
      <c r="M16" s="498">
        <f>'[4]Лист1'!AX10</f>
        <v>80.68368</v>
      </c>
      <c r="N16" s="115">
        <f>'[4]Лист1'!BB10</f>
        <v>3096.0149865399994</v>
      </c>
      <c r="O16" s="500">
        <f>'[4]Лист1'!BD10</f>
        <v>-808.6712365399994</v>
      </c>
      <c r="P16" s="500">
        <f>'[4]Лист1'!BE10</f>
        <v>-261.3299999999999</v>
      </c>
      <c r="Q16" s="345"/>
      <c r="R16" s="345"/>
    </row>
    <row r="17" spans="1:18" ht="13.5" hidden="1" thickBot="1">
      <c r="A17" s="396" t="s">
        <v>45</v>
      </c>
      <c r="B17" s="501">
        <f>'[4]Лист1'!B11</f>
        <v>347</v>
      </c>
      <c r="C17" s="502">
        <f t="shared" si="0"/>
        <v>3001.55</v>
      </c>
      <c r="D17" s="503">
        <f>'[4]Лист1'!D11</f>
        <v>375.19375</v>
      </c>
      <c r="E17" s="110">
        <f>'[4]Лист1'!S11</f>
        <v>1402.63</v>
      </c>
      <c r="F17" s="115">
        <f>'[4]Лист1'!T11</f>
        <v>770.85</v>
      </c>
      <c r="G17" s="504">
        <f>'[4]Лист1'!AB11</f>
        <v>1864.7600000000002</v>
      </c>
      <c r="H17" s="115">
        <f>'[4]Лист1'!AC11</f>
        <v>3010.80375</v>
      </c>
      <c r="I17" s="504">
        <f>'[4]Лист1'!AG11</f>
        <v>187.38</v>
      </c>
      <c r="J17" s="110">
        <f>'[4]Лист1'!AI11+'[4]Лист1'!AJ11</f>
        <v>301.9373675</v>
      </c>
      <c r="K17" s="110">
        <f>'[4]Лист1'!AH11+'[4]Лист1'!AK11+'[4]Лист1'!AL11+'[4]Лист1'!AM11+'[4]Лист1'!AN11+'[4]Лист1'!AO11+'[4]Лист1'!AP11+'[4]Лист1'!AQ11+'[4]Лист1'!AR11</f>
        <v>1003.1883752000001</v>
      </c>
      <c r="L17" s="498">
        <f>'[4]Лист1'!AS11+'[4]Лист1'!AT11+'[4]Лист1'!AU11+'[4]Лист1'!AY11+'[4]Лист1'!AZ11</f>
        <v>0</v>
      </c>
      <c r="M17" s="498">
        <f>'[4]Лист1'!AX11</f>
        <v>75.92592</v>
      </c>
      <c r="N17" s="115">
        <f>'[4]Лист1'!BB11</f>
        <v>1492.5057427</v>
      </c>
      <c r="O17" s="500">
        <f>'[4]Лист1'!BD11</f>
        <v>1518.2980073</v>
      </c>
      <c r="P17" s="500">
        <f>'[4]Лист1'!BE11</f>
        <v>462.1300000000001</v>
      </c>
      <c r="Q17" s="345"/>
      <c r="R17" s="345"/>
    </row>
    <row r="18" spans="1:18" ht="13.5" hidden="1" thickBot="1">
      <c r="A18" s="396" t="s">
        <v>46</v>
      </c>
      <c r="B18" s="501">
        <f>'[4]Лист1'!B12</f>
        <v>347</v>
      </c>
      <c r="C18" s="502">
        <f t="shared" si="0"/>
        <v>3001.55</v>
      </c>
      <c r="D18" s="503">
        <f>'[4]Лист1'!D12</f>
        <v>375.19375</v>
      </c>
      <c r="E18" s="110">
        <f>'[4]Лист1'!S12</f>
        <v>1401.9099999999999</v>
      </c>
      <c r="F18" s="115">
        <f>'[4]Лист1'!T12</f>
        <v>770.85</v>
      </c>
      <c r="G18" s="504">
        <f>'[4]Лист1'!AB12</f>
        <v>1402.6</v>
      </c>
      <c r="H18" s="115">
        <f>'[4]Лист1'!AC12</f>
        <v>2548.64375</v>
      </c>
      <c r="I18" s="504">
        <f>'[4]Лист1'!AG12</f>
        <v>187.38</v>
      </c>
      <c r="J18" s="110">
        <f>'[4]Лист1'!AI12+'[4]Лист1'!AJ12</f>
        <v>310.800613</v>
      </c>
      <c r="K18" s="110">
        <f>'[4]Лист1'!AH12+'[4]Лист1'!AK12+'[4]Лист1'!AL12+'[4]Лист1'!AM12+'[4]Лист1'!AN12+'[4]Лист1'!AO12+'[4]Лист1'!AP12+'[4]Лист1'!AQ12+'[4]Лист1'!AR12</f>
        <v>1017.49191592</v>
      </c>
      <c r="L18" s="498">
        <f>'[4]Лист1'!AS12+'[4]Лист1'!AT12+'[4]Лист1'!AU12+'[4]Лист1'!AZ12+'[4]Лист1'!BA12</f>
        <v>0</v>
      </c>
      <c r="M18" s="498">
        <f>'[4]Лист1'!AX12</f>
        <v>60.85968</v>
      </c>
      <c r="N18" s="115">
        <f>'[4]Лист1'!BB12</f>
        <v>1833.8477289200002</v>
      </c>
      <c r="O18" s="500">
        <f>'[4]Лист1'!BD12</f>
        <v>714.79602108</v>
      </c>
      <c r="P18" s="500">
        <f>'[4]Лист1'!BE12</f>
        <v>0.6900000000000546</v>
      </c>
      <c r="Q18" s="345"/>
      <c r="R18" s="345"/>
    </row>
    <row r="19" spans="1:18" ht="13.5" hidden="1" thickBot="1">
      <c r="A19" s="396" t="s">
        <v>47</v>
      </c>
      <c r="B19" s="501">
        <f>'[4]Лист1'!B13</f>
        <v>347</v>
      </c>
      <c r="C19" s="502">
        <f t="shared" si="0"/>
        <v>3001.55</v>
      </c>
      <c r="D19" s="503">
        <f>'[4]Лист1'!D13</f>
        <v>577.8599999999997</v>
      </c>
      <c r="E19" s="110">
        <f>'[4]Лист1'!S13</f>
        <v>1563.57</v>
      </c>
      <c r="F19" s="115">
        <f>'[4]Лист1'!T13</f>
        <v>860.12</v>
      </c>
      <c r="G19" s="504">
        <f>'[4]Лист1'!AB13</f>
        <v>1101.03</v>
      </c>
      <c r="H19" s="115">
        <f>'[4]Лист1'!AC13</f>
        <v>2539.0099999999993</v>
      </c>
      <c r="I19" s="504">
        <f>'[4]Лист1'!AG13</f>
        <v>208.2</v>
      </c>
      <c r="J19" s="110">
        <f>'[4]Лист1'!AI13+'[4]Лист1'!AJ13</f>
        <v>348.041</v>
      </c>
      <c r="K19" s="110">
        <f>'[4]Лист1'!AH13+'[4]Лист1'!AK13+'[4]Лист1'!AL13+'[4]Лист1'!AM13+'[4]Лист1'!AN13+'[4]Лист1'!AO13+'[4]Лист1'!AP13+'[4]Лист1'!AQ13+'[4]Лист1'!AR13</f>
        <v>1192.0144</v>
      </c>
      <c r="L19" s="498">
        <f>'[4]Лист1'!AS13+'[4]Лист1'!AT13+'[4]Лист1'!AU13+'[4]Лист1'!AZ13+'[4]Лист1'!BA13</f>
        <v>0</v>
      </c>
      <c r="M19" s="498">
        <f>'[4]Лист1'!AX13</f>
        <v>52.137119999999996</v>
      </c>
      <c r="N19" s="115">
        <f>'[4]Лист1'!BB13</f>
        <v>1800.3925199999999</v>
      </c>
      <c r="O19" s="500">
        <f>'[4]Лист1'!BD13</f>
        <v>738.6174799999994</v>
      </c>
      <c r="P19" s="500">
        <f>'[4]Лист1'!BE13</f>
        <v>-462.53999999999996</v>
      </c>
      <c r="Q19" s="345"/>
      <c r="R19" s="345"/>
    </row>
    <row r="20" spans="1:18" ht="13.5" hidden="1" thickBot="1">
      <c r="A20" s="396" t="s">
        <v>48</v>
      </c>
      <c r="B20" s="501">
        <f>'[4]Лист1'!B14</f>
        <v>347</v>
      </c>
      <c r="C20" s="502">
        <f t="shared" si="0"/>
        <v>3001.55</v>
      </c>
      <c r="D20" s="503">
        <f>'[4]Лист1'!D14</f>
        <v>577.73</v>
      </c>
      <c r="E20" s="110">
        <f>'[4]Лист1'!S14</f>
        <v>1563.7</v>
      </c>
      <c r="F20" s="115">
        <f>'[4]Лист1'!T14</f>
        <v>860.12</v>
      </c>
      <c r="G20" s="504">
        <f>'[4]Лист1'!AB14</f>
        <v>1864.8400000000001</v>
      </c>
      <c r="H20" s="115">
        <f>'[4]Лист1'!AC14</f>
        <v>3302.69</v>
      </c>
      <c r="I20" s="504">
        <f>'[4]Лист1'!AG14</f>
        <v>208.2</v>
      </c>
      <c r="J20" s="110">
        <f>'[4]Лист1'!AI14+'[4]Лист1'!AJ14</f>
        <v>348.041</v>
      </c>
      <c r="K20" s="110">
        <f>'[4]Лист1'!AH14+'[4]Лист1'!AK14+'[4]Лист1'!AL14+'[4]Лист1'!AM14+'[4]Лист1'!AN14+'[4]Лист1'!AO14+'[4]Лист1'!AP14+'[4]Лист1'!AQ14+'[4]Лист1'!AR14</f>
        <v>1192.04563</v>
      </c>
      <c r="L20" s="498">
        <f>'[4]Лист1'!AS14+'[4]Лист1'!AT14+'[4]Лист1'!AU14+'[4]Лист1'!AZ14+'[4]Лист1'!BA14</f>
        <v>0</v>
      </c>
      <c r="M20" s="498">
        <f>'[4]Лист1'!AX14</f>
        <v>46.189919999999994</v>
      </c>
      <c r="N20" s="115">
        <f>'[4]Лист1'!BB14</f>
        <v>1794.47655</v>
      </c>
      <c r="O20" s="500">
        <f>'[4]Лист1'!BD14</f>
        <v>1508.21345</v>
      </c>
      <c r="P20" s="500">
        <f>'[4]Лист1'!BE14</f>
        <v>301.1400000000001</v>
      </c>
      <c r="Q20" s="345"/>
      <c r="R20" s="345"/>
    </row>
    <row r="21" spans="1:18" ht="13.5" hidden="1" thickBot="1">
      <c r="A21" s="396" t="s">
        <v>49</v>
      </c>
      <c r="B21" s="501">
        <f>'[4]Лист1'!B15</f>
        <v>347</v>
      </c>
      <c r="C21" s="502">
        <f t="shared" si="0"/>
        <v>3001.55</v>
      </c>
      <c r="D21" s="503">
        <f>'[4]Лист1'!D15</f>
        <v>595.9700000000003</v>
      </c>
      <c r="E21" s="110">
        <f>'[4]Лист1'!S15</f>
        <v>1553.6399999999999</v>
      </c>
      <c r="F21" s="115">
        <f>'[4]Лист1'!T15</f>
        <v>851.9399999999999</v>
      </c>
      <c r="G21" s="504">
        <f>'[4]Лист1'!AB15</f>
        <v>1230.87</v>
      </c>
      <c r="H21" s="115">
        <f>'[4]Лист1'!AC15</f>
        <v>2678.78</v>
      </c>
      <c r="I21" s="504">
        <f>'[4]Лист1'!AG15</f>
        <v>208.2</v>
      </c>
      <c r="J21" s="110">
        <f>'[4]Лист1'!AI15+'[4]Лист1'!AJ15</f>
        <v>343.0988178</v>
      </c>
      <c r="K21" s="110">
        <f>'[4]Лист1'!AH15+'[4]Лист1'!AK15+'[4]Лист1'!AL15+'[4]Лист1'!AM15+'[4]Лист1'!AN15+'[4]Лист1'!AO15+'[4]Лист1'!AP15+'[4]Лист1'!AQ15+'[4]Лист1'!AR15</f>
        <v>1180.18489934</v>
      </c>
      <c r="L21" s="498">
        <f>'[4]Лист1'!AS15+'[4]Лист1'!AT15+'[4]Лист1'!AU15+'[4]Лист1'!AZ15+'[4]Лист1'!BA15</f>
        <v>0</v>
      </c>
      <c r="M21" s="498">
        <f>'[4]Лист1'!AX15</f>
        <v>49.16352</v>
      </c>
      <c r="N21" s="115">
        <f>'[4]Лист1'!BB15</f>
        <v>1780.64723714</v>
      </c>
      <c r="O21" s="500">
        <f>'[4]Лист1'!BD15</f>
        <v>898.1327628600002</v>
      </c>
      <c r="P21" s="500">
        <f>'[4]Лист1'!BE15</f>
        <v>-322.77</v>
      </c>
      <c r="Q21" s="345"/>
      <c r="R21" s="345"/>
    </row>
    <row r="22" spans="1:18" ht="13.5" hidden="1" thickBot="1">
      <c r="A22" s="396" t="s">
        <v>50</v>
      </c>
      <c r="B22" s="501">
        <f>'[4]Лист1'!B16</f>
        <v>347</v>
      </c>
      <c r="C22" s="502">
        <f t="shared" si="0"/>
        <v>3001.55</v>
      </c>
      <c r="D22" s="503">
        <f>'[4]Лист1'!D16</f>
        <v>577.73</v>
      </c>
      <c r="E22" s="110">
        <f>'[4]Лист1'!S16</f>
        <v>1563.7</v>
      </c>
      <c r="F22" s="115">
        <f>'[4]Лист1'!T16</f>
        <v>860.12</v>
      </c>
      <c r="G22" s="504">
        <f>'[4]Лист1'!AB16</f>
        <v>1843.1499999999999</v>
      </c>
      <c r="H22" s="115">
        <f>'[4]Лист1'!AC16</f>
        <v>3281</v>
      </c>
      <c r="I22" s="504">
        <f>'[4]Лист1'!AG16</f>
        <v>208.2</v>
      </c>
      <c r="J22" s="110">
        <f>'[4]Лист1'!AI16+'[4]Лист1'!AJ16</f>
        <v>342.9073952499999</v>
      </c>
      <c r="K22" s="110">
        <f>'[4]Лист1'!AH16+'[4]Лист1'!AK16+'[4]Лист1'!AL16+'[4]Лист1'!AM16+'[4]Лист1'!AN16+'[4]Лист1'!AO16+'[4]Лист1'!AP16+'[4]Лист1'!AQ16+'[4]Лист1'!AR16</f>
        <v>1179.93693314</v>
      </c>
      <c r="L22" s="498">
        <f>'[4]Лист1'!AS16+'[4]Лист1'!AT16+'[4]Лист1'!AU16+'[4]Лист1'!AZ16+'[4]Лист1'!BA16</f>
        <v>0</v>
      </c>
      <c r="M22" s="498">
        <f>'[4]Лист1'!AX16</f>
        <v>58.08431999999999</v>
      </c>
      <c r="N22" s="115">
        <f>'[4]Лист1'!BB16</f>
        <v>1789.1286483900003</v>
      </c>
      <c r="O22" s="500">
        <f>'[4]Лист1'!BD16</f>
        <v>1491.8713516099997</v>
      </c>
      <c r="P22" s="500">
        <f>'[4]Лист1'!BE16</f>
        <v>279.4499999999998</v>
      </c>
      <c r="Q22" s="345"/>
      <c r="R22" s="345"/>
    </row>
    <row r="23" spans="1:18" ht="13.5" hidden="1" thickBot="1">
      <c r="A23" s="396" t="s">
        <v>38</v>
      </c>
      <c r="B23" s="501">
        <f>'[4]Лист1'!B17</f>
        <v>347</v>
      </c>
      <c r="C23" s="502">
        <f t="shared" si="0"/>
        <v>3001.55</v>
      </c>
      <c r="D23" s="503">
        <f>'[4]Лист1'!D17</f>
        <v>577.73</v>
      </c>
      <c r="E23" s="110">
        <f>'[4]Лист1'!S17</f>
        <v>1563.7</v>
      </c>
      <c r="F23" s="115">
        <f>'[4]Лист1'!T17</f>
        <v>860.12</v>
      </c>
      <c r="G23" s="504">
        <f>'[4]Лист1'!AB17</f>
        <v>1231.0300000000002</v>
      </c>
      <c r="H23" s="115">
        <f>'[4]Лист1'!AC17</f>
        <v>2668.88</v>
      </c>
      <c r="I23" s="504">
        <f>'[4]Лист1'!AG17</f>
        <v>208.2</v>
      </c>
      <c r="J23" s="110">
        <f>'[4]Лист1'!AI17+'[4]Лист1'!AJ17</f>
        <v>342.84822827999994</v>
      </c>
      <c r="K23" s="110">
        <f>'[4]Лист1'!AH17+'[4]Лист1'!AK17+'[4]Лист1'!AL17+'[4]Лист1'!AM17+'[4]Лист1'!AN17+'[4]Лист1'!AO17+'[4]Лист1'!AP17+'[4]Лист1'!AQ17+'[4]Лист1'!AR17</f>
        <v>1179.8602711239998</v>
      </c>
      <c r="L23" s="498">
        <f>'[4]Лист1'!AS17+'[4]Лист1'!AT17+'[4]Лист1'!AU17+'[4]Лист1'!AZ17+'[4]Лист1'!BA17</f>
        <v>0</v>
      </c>
      <c r="M23" s="498">
        <f>'[4]Лист1'!AX17</f>
        <v>69.18576</v>
      </c>
      <c r="N23" s="115">
        <f>'[4]Лист1'!BB17</f>
        <v>1800.0942594039993</v>
      </c>
      <c r="O23" s="500">
        <f>'[4]Лист1'!BD17</f>
        <v>868.7857405960008</v>
      </c>
      <c r="P23" s="500">
        <f>'[4]Лист1'!BE17</f>
        <v>-332.66999999999985</v>
      </c>
      <c r="Q23" s="345"/>
      <c r="R23" s="345"/>
    </row>
    <row r="24" spans="1:18" ht="13.5" hidden="1" thickBot="1">
      <c r="A24" s="396" t="s">
        <v>39</v>
      </c>
      <c r="B24" s="501">
        <f>'[4]Лист1'!B18</f>
        <v>347</v>
      </c>
      <c r="C24" s="502">
        <f t="shared" si="0"/>
        <v>3001.55</v>
      </c>
      <c r="D24" s="503">
        <f>'[4]Лист1'!D18</f>
        <v>577.73</v>
      </c>
      <c r="E24" s="110">
        <f>'[4]Лист1'!S18</f>
        <v>1563.7</v>
      </c>
      <c r="F24" s="115">
        <f>'[4]Лист1'!T18</f>
        <v>860.12</v>
      </c>
      <c r="G24" s="504">
        <f>'[4]Лист1'!AB18</f>
        <v>1939.5499999999997</v>
      </c>
      <c r="H24" s="115">
        <f>'[4]Лист1'!AC18</f>
        <v>3377.3999999999996</v>
      </c>
      <c r="I24" s="504">
        <f>'[4]Лист1'!AG18</f>
        <v>208.2</v>
      </c>
      <c r="J24" s="110">
        <f>'[4]Лист1'!AI18+'[4]Лист1'!AJ18</f>
        <v>346.81262</v>
      </c>
      <c r="K24" s="110">
        <f>'[4]Лист1'!AH18+'[4]Лист1'!AK18+'[4]Лист1'!AL18+'[4]Лист1'!AM18+'[4]Лист1'!AN18+'[4]Лист1'!AO18+'[4]Лист1'!AP18+'[4]Лист1'!AQ18+'[4]Лист1'!AR18</f>
        <v>1190.0018</v>
      </c>
      <c r="L24" s="498">
        <f>'[4]Лист1'!AS18+'[4]Лист1'!AT18+'[4]Лист1'!AU18+'[4]Лист1'!AZ18+'[4]Лист1'!BA18</f>
        <v>0</v>
      </c>
      <c r="M24" s="498">
        <f>'[4]Лист1'!AX18</f>
        <v>84.252</v>
      </c>
      <c r="N24" s="115">
        <f>'[4]Лист1'!BB18</f>
        <v>1829.2664200000002</v>
      </c>
      <c r="O24" s="500">
        <f>'[4]Лист1'!BD18</f>
        <v>1548.1335799999995</v>
      </c>
      <c r="P24" s="500">
        <f>'[4]Лист1'!BE18</f>
        <v>375.8499999999997</v>
      </c>
      <c r="Q24" s="345"/>
      <c r="R24" s="345"/>
    </row>
    <row r="25" spans="1:18" ht="13.5" hidden="1" thickBot="1">
      <c r="A25" s="505" t="s">
        <v>40</v>
      </c>
      <c r="B25" s="501">
        <f>'[4]Лист1'!B19</f>
        <v>347</v>
      </c>
      <c r="C25" s="506">
        <f t="shared" si="0"/>
        <v>3001.55</v>
      </c>
      <c r="D25" s="503">
        <f>'[4]Лист1'!D19</f>
        <v>577.73</v>
      </c>
      <c r="E25" s="110">
        <f>'[4]Лист1'!S19</f>
        <v>1563.7</v>
      </c>
      <c r="F25" s="115">
        <f>'[4]Лист1'!T19</f>
        <v>860.12</v>
      </c>
      <c r="G25" s="504">
        <f>'[4]Лист1'!AB19</f>
        <v>1230.9</v>
      </c>
      <c r="H25" s="115">
        <f>'[4]Лист1'!AC19</f>
        <v>2668.75</v>
      </c>
      <c r="I25" s="504">
        <f>'[4]Лист1'!AG19</f>
        <v>208.2</v>
      </c>
      <c r="J25" s="110">
        <f>'[4]Лист1'!AI19+'[4]Лист1'!AJ19</f>
        <v>348.041</v>
      </c>
      <c r="K25" s="110">
        <f>'[4]Лист1'!AH19+'[4]Лист1'!AK19+'[4]Лист1'!AL19+'[4]Лист1'!AM19+'[4]Лист1'!AN19+'[4]Лист1'!AO19+'[4]Лист1'!AP19+'[4]Лист1'!AQ19+'[4]Лист1'!AR19</f>
        <v>1191.3204</v>
      </c>
      <c r="L25" s="498">
        <f>'[4]Лист1'!AS19+'[4]Лист1'!AT19+'[4]Лист1'!AU19+'[4]Лист1'!AZ19+'[4]Лист1'!BA19</f>
        <v>0</v>
      </c>
      <c r="M25" s="498">
        <f>'[4]Лист1'!AX19</f>
        <v>93.17280000000001</v>
      </c>
      <c r="N25" s="115">
        <f>'[4]Лист1'!BB19</f>
        <v>1840.7342</v>
      </c>
      <c r="O25" s="500">
        <f>'[4]Лист1'!BD19</f>
        <v>828.0157999999999</v>
      </c>
      <c r="P25" s="500">
        <f>'[4]Лист1'!BE19</f>
        <v>-332.79999999999995</v>
      </c>
      <c r="Q25" s="345"/>
      <c r="R25" s="345"/>
    </row>
    <row r="26" spans="1:18" s="16" customFormat="1" ht="13.5" hidden="1" thickBot="1">
      <c r="A26" s="31" t="s">
        <v>3</v>
      </c>
      <c r="B26" s="32"/>
      <c r="C26" s="33">
        <f aca="true" t="shared" si="1" ref="C26:P26">SUM(C14:C25)</f>
        <v>33017.049999999996</v>
      </c>
      <c r="D26" s="34">
        <f t="shared" si="1"/>
        <v>5563.254999999999</v>
      </c>
      <c r="E26" s="33">
        <f t="shared" si="1"/>
        <v>16545.510000000002</v>
      </c>
      <c r="F26" s="35">
        <f t="shared" si="1"/>
        <v>9096.060000000001</v>
      </c>
      <c r="G26" s="34">
        <f t="shared" si="1"/>
        <v>16055.549999999997</v>
      </c>
      <c r="H26" s="35">
        <f t="shared" si="1"/>
        <v>30714.864999999998</v>
      </c>
      <c r="I26" s="34">
        <f t="shared" si="1"/>
        <v>2206.92</v>
      </c>
      <c r="J26" s="33">
        <f t="shared" si="1"/>
        <v>3635.6594948300003</v>
      </c>
      <c r="K26" s="33">
        <f t="shared" si="1"/>
        <v>12400.211564704</v>
      </c>
      <c r="L26" s="33">
        <f t="shared" si="1"/>
        <v>1569.4</v>
      </c>
      <c r="M26" s="33">
        <f t="shared" si="1"/>
        <v>770.36064</v>
      </c>
      <c r="N26" s="35">
        <f t="shared" si="1"/>
        <v>20582.551699533997</v>
      </c>
      <c r="O26" s="37">
        <f t="shared" si="1"/>
        <v>10132.313300466</v>
      </c>
      <c r="P26" s="37">
        <f t="shared" si="1"/>
        <v>-489.96000000000004</v>
      </c>
      <c r="Q26" s="38"/>
      <c r="R26" s="38"/>
    </row>
    <row r="27" spans="1:18" ht="13.5" thickBot="1">
      <c r="A27" s="298" t="s">
        <v>91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507"/>
      <c r="Q27" s="345"/>
      <c r="R27" s="345"/>
    </row>
    <row r="28" spans="1:18" s="16" customFormat="1" ht="13.5" thickBot="1">
      <c r="A28" s="215" t="s">
        <v>93</v>
      </c>
      <c r="B28" s="216"/>
      <c r="C28" s="217">
        <f>'2011 полн'!C8</f>
        <v>174903</v>
      </c>
      <c r="D28" s="217">
        <f>'2011 полн'!D8</f>
        <v>87017.8425</v>
      </c>
      <c r="E28" s="217">
        <f>'2011 полн'!U8</f>
        <v>69616.47</v>
      </c>
      <c r="F28" s="217">
        <f>'2011 полн'!V8</f>
        <v>3539.3999999999996</v>
      </c>
      <c r="G28" s="217">
        <f>'2011 полн'!AF8</f>
        <v>50134.82</v>
      </c>
      <c r="H28" s="217">
        <f>'2011 полн'!AG8</f>
        <v>140692.0625</v>
      </c>
      <c r="I28" s="217">
        <f>'2011 полн'!AK8</f>
        <v>11929.8</v>
      </c>
      <c r="J28" s="217">
        <f>'2011 полн'!AL8</f>
        <v>3985.20361</v>
      </c>
      <c r="K28" s="217">
        <f>'2011 полн'!AM8+'2011 полн'!AN8+'2011 полн'!AO8+'2011 полн'!AP8+'2011 полн'!AX8+'2011 полн'!AY8</f>
        <v>95441.66726287</v>
      </c>
      <c r="L28" s="217">
        <f>'2011 полн'!AU8+'2011 полн'!AV8+'2011 полн'!AW8</f>
        <v>79380.32119999999</v>
      </c>
      <c r="M28" s="217">
        <v>0</v>
      </c>
      <c r="N28" s="217">
        <f>'2011 полн'!BC8</f>
        <v>190736.99207286997</v>
      </c>
      <c r="O28" s="217">
        <f>'2011 полн'!BF8</f>
        <v>-50044.929572869994</v>
      </c>
      <c r="P28" s="217">
        <f>'2011 полн'!BG8</f>
        <v>-19481.649999999998</v>
      </c>
      <c r="Q28" s="218"/>
      <c r="R28" s="38"/>
    </row>
    <row r="29" spans="1:18" ht="13.5" thickBot="1">
      <c r="A29" s="21" t="s">
        <v>118</v>
      </c>
      <c r="B29" s="508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509"/>
      <c r="O29" s="509"/>
      <c r="P29" s="509"/>
      <c r="Q29" s="345"/>
      <c r="R29" s="345"/>
    </row>
    <row r="30" spans="1:18" ht="12.75">
      <c r="A30" s="510" t="s">
        <v>42</v>
      </c>
      <c r="B30" s="511">
        <f>'2011 полн'!B10</f>
        <v>842.5</v>
      </c>
      <c r="C30" s="511">
        <f>'2011 полн'!C10</f>
        <v>3278.1675000000005</v>
      </c>
      <c r="D30" s="148">
        <f>'2011 полн'!D10</f>
        <v>785.2196000000001</v>
      </c>
      <c r="E30" s="148">
        <f>'2011 полн'!U10</f>
        <v>5144.85</v>
      </c>
      <c r="F30" s="148">
        <f>'2011 полн'!V10</f>
        <v>0</v>
      </c>
      <c r="G30" s="148">
        <f>'2011 полн'!AF10</f>
        <v>1048.62</v>
      </c>
      <c r="H30" s="148">
        <f>'2011 полн'!AG10</f>
        <v>1833.8396</v>
      </c>
      <c r="I30" s="148">
        <f>'2011 полн'!AK10</f>
        <v>564.475</v>
      </c>
      <c r="J30" s="148">
        <f>'2011 полн'!AL10</f>
        <v>168.5</v>
      </c>
      <c r="K30" s="148">
        <f>'2011 полн'!AM10+'2011 полн'!AN10+'2011 полн'!AO10+'2011 полн'!AP10+'2011 полн'!AQ10+'2011 полн'!AR10+'2011 полн'!AS10+'2011 полн'!AX10+'2011 полн'!BB10</f>
        <v>4350.95</v>
      </c>
      <c r="L30" s="148">
        <f>'2011 полн'!AU10+'2011 полн'!AV10+'2011 полн'!AW10</f>
        <v>0</v>
      </c>
      <c r="M30" s="143">
        <f>'[5]2011 полн'!BA10</f>
        <v>0</v>
      </c>
      <c r="N30" s="110">
        <f>'2011 полн'!BE10</f>
        <v>5083.924999999999</v>
      </c>
      <c r="O30" s="110">
        <f>'2011 полн'!BF10</f>
        <v>-3250.085399999999</v>
      </c>
      <c r="P30" s="110">
        <f>'2011 полн'!BG10</f>
        <v>-4096.2300000000005</v>
      </c>
      <c r="Q30" s="345"/>
      <c r="R30" s="345"/>
    </row>
    <row r="31" spans="1:18" ht="12.75">
      <c r="A31" s="396" t="s">
        <v>43</v>
      </c>
      <c r="B31" s="511">
        <f>'2011 полн'!B11</f>
        <v>842.5</v>
      </c>
      <c r="C31" s="511">
        <f>'2011 полн'!C11</f>
        <v>3278.1675000000005</v>
      </c>
      <c r="D31" s="148">
        <f>'2011 полн'!D11</f>
        <v>785.2196000000001</v>
      </c>
      <c r="E31" s="148">
        <f>'2011 полн'!U11</f>
        <v>1500.95</v>
      </c>
      <c r="F31" s="148">
        <f>'2011 полн'!V11</f>
        <v>0</v>
      </c>
      <c r="G31" s="148">
        <f>'2011 полн'!AF11</f>
        <v>6442.09</v>
      </c>
      <c r="H31" s="148">
        <f>'2011 полн'!AG11</f>
        <v>7227.3096000000005</v>
      </c>
      <c r="I31" s="148">
        <f>'2011 полн'!AK11</f>
        <v>564.475</v>
      </c>
      <c r="J31" s="148">
        <f>'2011 полн'!AL11</f>
        <v>168.5</v>
      </c>
      <c r="K31" s="148">
        <f>'2011 полн'!AM11+'2011 полн'!AN11+'2011 полн'!AO11+'2011 полн'!AP11+'2011 полн'!AQ11+'2011 полн'!AR11+'2011 полн'!AS11+'2011 полн'!AX11+'2011 полн'!BB11</f>
        <v>4886.639999999999</v>
      </c>
      <c r="L31" s="148">
        <f>'2011 полн'!AU11+'2011 полн'!AV11+'2011 полн'!AW11</f>
        <v>0</v>
      </c>
      <c r="M31" s="143">
        <f>'[5]2011 полн'!BA11</f>
        <v>0</v>
      </c>
      <c r="N31" s="110">
        <f>'2011 полн'!BE11</f>
        <v>5619.615</v>
      </c>
      <c r="O31" s="110">
        <f>'2011 полн'!BF11</f>
        <v>1607.6946000000007</v>
      </c>
      <c r="P31" s="110">
        <f>'2011 полн'!BG11</f>
        <v>4941.14</v>
      </c>
      <c r="Q31" s="345"/>
      <c r="R31" s="345"/>
    </row>
    <row r="32" spans="1:18" ht="12.75">
      <c r="A32" s="396" t="s">
        <v>44</v>
      </c>
      <c r="B32" s="511">
        <f>'2011 полн'!B12</f>
        <v>842.5</v>
      </c>
      <c r="C32" s="511">
        <f>'2011 полн'!C12</f>
        <v>3278.1675000000005</v>
      </c>
      <c r="D32" s="148">
        <f>'2011 полн'!D12</f>
        <v>785.2196000000001</v>
      </c>
      <c r="E32" s="148">
        <f>'2011 полн'!U12</f>
        <v>3322.9</v>
      </c>
      <c r="F32" s="148">
        <f>'2011 полн'!V12</f>
        <v>0</v>
      </c>
      <c r="G32" s="148">
        <f>'2011 полн'!AF12</f>
        <v>1345.19</v>
      </c>
      <c r="H32" s="148">
        <f>'2011 полн'!AG12</f>
        <v>2130.4096</v>
      </c>
      <c r="I32" s="148">
        <f>'2011 полн'!AK12</f>
        <v>564.475</v>
      </c>
      <c r="J32" s="148">
        <f>'2011 полн'!AL12</f>
        <v>168.5</v>
      </c>
      <c r="K32" s="148">
        <f>'2011 полн'!AM12+'2011 полн'!AN12+'2011 полн'!AO12+'2011 полн'!AP12+'2011 полн'!AQ12+'2011 полн'!AR12+'2011 полн'!AS12+'2011 полн'!AX12+'2011 полн'!BB12</f>
        <v>4852.799999999999</v>
      </c>
      <c r="L32" s="148">
        <f>'2011 полн'!AU12+'2011 полн'!AV12+'2011 полн'!AW12</f>
        <v>0</v>
      </c>
      <c r="M32" s="143">
        <f>'[5]2011 полн'!BA12</f>
        <v>0</v>
      </c>
      <c r="N32" s="110">
        <f>'2011 полн'!BE12</f>
        <v>5585.775</v>
      </c>
      <c r="O32" s="110">
        <f>'2011 полн'!BF12</f>
        <v>-3455.3653999999997</v>
      </c>
      <c r="P32" s="110">
        <f>'2011 полн'!BG12</f>
        <v>-1977.71</v>
      </c>
      <c r="Q32" s="345"/>
      <c r="R32" s="345"/>
    </row>
    <row r="33" spans="1:18" ht="12.75">
      <c r="A33" s="396" t="s">
        <v>45</v>
      </c>
      <c r="B33" s="511">
        <f>'2011 полн'!B13</f>
        <v>842.5</v>
      </c>
      <c r="C33" s="511">
        <f>'2011 полн'!C13</f>
        <v>3278.1675000000005</v>
      </c>
      <c r="D33" s="148">
        <f>'2011 полн'!D13</f>
        <v>785.2196000000001</v>
      </c>
      <c r="E33" s="148">
        <f>'2011 полн'!U13</f>
        <v>3322.92</v>
      </c>
      <c r="F33" s="148">
        <f>'2011 полн'!V13</f>
        <v>0</v>
      </c>
      <c r="G33" s="148">
        <f>'2011 полн'!AF13</f>
        <v>1533.42</v>
      </c>
      <c r="H33" s="148">
        <f>'2011 полн'!AG13</f>
        <v>2318.6396000000004</v>
      </c>
      <c r="I33" s="148">
        <f>'2011 полн'!AK13</f>
        <v>564.475</v>
      </c>
      <c r="J33" s="148">
        <f>'2011 полн'!AL13</f>
        <v>168.5</v>
      </c>
      <c r="K33" s="148">
        <f>'2011 полн'!AM13+'2011 полн'!AN13+'2011 полн'!AO13+'2011 полн'!AP13+'2011 полн'!AQ13+'2011 полн'!AR13+'2011 полн'!AS13+'2011 полн'!AX13+'2011 полн'!BB13</f>
        <v>4877.799999999999</v>
      </c>
      <c r="L33" s="148">
        <f>'2011 полн'!AU13+'2011 полн'!AV13+'2011 полн'!AW13</f>
        <v>151</v>
      </c>
      <c r="M33" s="143">
        <f>'[5]2011 полн'!BA13</f>
        <v>0</v>
      </c>
      <c r="N33" s="110">
        <f>'2011 полн'!BE13</f>
        <v>5761.775</v>
      </c>
      <c r="O33" s="110">
        <f>'2011 полн'!BF13</f>
        <v>-3443.135399999999</v>
      </c>
      <c r="P33" s="110">
        <f>'2011 полн'!BG13</f>
        <v>-1789.5</v>
      </c>
      <c r="Q33" s="345"/>
      <c r="R33" s="345"/>
    </row>
    <row r="34" spans="1:18" ht="12.75">
      <c r="A34" s="396" t="s">
        <v>46</v>
      </c>
      <c r="B34" s="511">
        <f>'2011 полн'!B14</f>
        <v>842.5</v>
      </c>
      <c r="C34" s="511">
        <f>'2011 полн'!C14</f>
        <v>6556.335000000001</v>
      </c>
      <c r="D34" s="148">
        <f>'2011 полн'!D14</f>
        <v>785.2196000000001</v>
      </c>
      <c r="E34" s="148">
        <f>'2011 полн'!U14</f>
        <v>6645.84</v>
      </c>
      <c r="F34" s="148">
        <f>'2011 полн'!V14</f>
        <v>0</v>
      </c>
      <c r="G34" s="148">
        <f>'2011 полн'!AF14</f>
        <v>6062.76</v>
      </c>
      <c r="H34" s="148">
        <f>'2011 полн'!AG14</f>
        <v>6847.979600000001</v>
      </c>
      <c r="I34" s="148">
        <f>'2011 полн'!AK14</f>
        <v>564.475</v>
      </c>
      <c r="J34" s="148">
        <f>'2011 полн'!AL14</f>
        <v>168.5</v>
      </c>
      <c r="K34" s="148">
        <f>'2011 полн'!AM14+'2011 полн'!AN14+'2011 полн'!AO14+'2011 полн'!AP14+'2011 полн'!AQ14+'2011 полн'!AR14+'2011 полн'!AS14+'2011 полн'!AX14+'2011 полн'!BB14</f>
        <v>4852.799999999999</v>
      </c>
      <c r="L34" s="148">
        <f>'2011 полн'!AU14+'2011 полн'!AV14+'2011 полн'!AW14</f>
        <v>0</v>
      </c>
      <c r="M34" s="143">
        <f>'[5]2011 полн'!BA14</f>
        <v>0</v>
      </c>
      <c r="N34" s="110">
        <f>'2011 полн'!BE14</f>
        <v>5585.775</v>
      </c>
      <c r="O34" s="110">
        <f>'2011 полн'!BF14</f>
        <v>1262.204600000001</v>
      </c>
      <c r="P34" s="110">
        <f>'2011 полн'!BG14</f>
        <v>-583.0799999999999</v>
      </c>
      <c r="Q34" s="345"/>
      <c r="R34" s="345"/>
    </row>
    <row r="35" spans="1:18" ht="12.75">
      <c r="A35" s="396" t="s">
        <v>47</v>
      </c>
      <c r="B35" s="511">
        <f>'2011 полн'!B15</f>
        <v>842.5</v>
      </c>
      <c r="C35" s="511">
        <f>'2011 полн'!C15</f>
        <v>6556.335000000001</v>
      </c>
      <c r="D35" s="148">
        <f>'2011 полн'!D15</f>
        <v>785.2196000000001</v>
      </c>
      <c r="E35" s="148">
        <f>'2011 полн'!U15</f>
        <v>6645.85</v>
      </c>
      <c r="F35" s="148">
        <f>'2011 полн'!V15</f>
        <v>0</v>
      </c>
      <c r="G35" s="148">
        <f>'2011 полн'!AF15</f>
        <v>4551.740000000001</v>
      </c>
      <c r="H35" s="148">
        <f>'2011 полн'!AG15</f>
        <v>5336.959600000001</v>
      </c>
      <c r="I35" s="148">
        <f>'2011 полн'!AK15</f>
        <v>564.475</v>
      </c>
      <c r="J35" s="148">
        <f>'2011 полн'!AL15</f>
        <v>168.5</v>
      </c>
      <c r="K35" s="148">
        <f>'2011 полн'!AM15+'2011 полн'!AN15+'2011 полн'!AO15+'2011 полн'!AP15+'2011 полн'!AQ15+'2011 полн'!AR15+'2011 полн'!AS15+'2011 полн'!AX15+'2011 полн'!BB15</f>
        <v>4852.799999999999</v>
      </c>
      <c r="L35" s="148">
        <f>'2011 полн'!AU15+'2011 полн'!AV15+'2011 полн'!AW15</f>
        <v>0</v>
      </c>
      <c r="M35" s="143">
        <f>'[5]2011 полн'!BA15</f>
        <v>0</v>
      </c>
      <c r="N35" s="110">
        <f>'2011 полн'!BE15</f>
        <v>5585.775</v>
      </c>
      <c r="O35" s="110">
        <f>'2011 полн'!BF15</f>
        <v>-248.8153999999986</v>
      </c>
      <c r="P35" s="110">
        <f>'2011 полн'!BG15</f>
        <v>-2094.1099999999997</v>
      </c>
      <c r="Q35" s="345"/>
      <c r="R35" s="345"/>
    </row>
    <row r="36" spans="1:16" ht="12.75">
      <c r="A36" s="396" t="s">
        <v>48</v>
      </c>
      <c r="B36" s="511">
        <f>'2011 полн'!B16</f>
        <v>842.5</v>
      </c>
      <c r="C36" s="511">
        <f>'2011 полн'!C16</f>
        <v>6556.335000000001</v>
      </c>
      <c r="D36" s="148">
        <f>'2011 полн'!D16</f>
        <v>785.2196000000001</v>
      </c>
      <c r="E36" s="148">
        <f>'2011 полн'!U16</f>
        <v>6645.85</v>
      </c>
      <c r="F36" s="148">
        <f>'2011 полн'!V16</f>
        <v>0</v>
      </c>
      <c r="G36" s="148">
        <f>'2011 полн'!AF16</f>
        <v>2949.06</v>
      </c>
      <c r="H36" s="148">
        <f>'2011 полн'!AG16</f>
        <v>3734.2796</v>
      </c>
      <c r="I36" s="148">
        <f>'2011 полн'!AK16</f>
        <v>564.475</v>
      </c>
      <c r="J36" s="148">
        <f>'2011 полн'!AL16</f>
        <v>168.5</v>
      </c>
      <c r="K36" s="148">
        <f>'2011 полн'!AM16+'2011 полн'!AN16+'2011 полн'!AO16+'2011 полн'!AP16+'2011 полн'!AQ16+'2011 полн'!AR16+'2011 полн'!AS16+'2011 полн'!AX16+'2011 полн'!BB16</f>
        <v>4852.799999999999</v>
      </c>
      <c r="L36" s="148">
        <f>'2011 полн'!AU16+'2011 полн'!AV16+'2011 полн'!AW16</f>
        <v>0</v>
      </c>
      <c r="M36" s="143">
        <f>'[5]2011 полн'!BA16</f>
        <v>-1111.19</v>
      </c>
      <c r="N36" s="110">
        <f>'2011 полн'!BE16</f>
        <v>5585.775</v>
      </c>
      <c r="O36" s="110">
        <f>'2011 полн'!BF16</f>
        <v>-1851.4953999999998</v>
      </c>
      <c r="P36" s="110">
        <f>'2011 полн'!BG16</f>
        <v>-3696.7900000000004</v>
      </c>
    </row>
    <row r="37" spans="1:16" ht="12.75">
      <c r="A37" s="396" t="s">
        <v>49</v>
      </c>
      <c r="B37" s="511">
        <f>'2011 полн'!B17</f>
        <v>842.5</v>
      </c>
      <c r="C37" s="511">
        <f>'2011 полн'!C17</f>
        <v>6556.335000000001</v>
      </c>
      <c r="D37" s="148">
        <f>'2011 полн'!D17</f>
        <v>785.2196000000001</v>
      </c>
      <c r="E37" s="148">
        <f>'2011 полн'!U17</f>
        <v>6645.85</v>
      </c>
      <c r="F37" s="148">
        <f>'2011 полн'!V17</f>
        <v>0</v>
      </c>
      <c r="G37" s="148">
        <f>'2011 полн'!AF17</f>
        <v>3627.4599999999996</v>
      </c>
      <c r="H37" s="148">
        <f>'2011 полн'!AG17</f>
        <v>4412.6795999999995</v>
      </c>
      <c r="I37" s="148">
        <f>'2011 полн'!AK17</f>
        <v>564.475</v>
      </c>
      <c r="J37" s="148">
        <f>'2011 полн'!AL17</f>
        <v>168.5</v>
      </c>
      <c r="K37" s="148">
        <f>'2011 полн'!AM17+'2011 полн'!AN17+'2011 полн'!AO17+'2011 полн'!AP17+'2011 полн'!AQ17+'2011 полн'!AR17+'2011 полн'!AS17+'2011 полн'!AX17+'2011 полн'!BB17</f>
        <v>4852.799999999999</v>
      </c>
      <c r="L37" s="148">
        <f>'2011 полн'!AU17+'2011 полн'!AV17+'2011 полн'!AW17</f>
        <v>0</v>
      </c>
      <c r="M37" s="143">
        <f>'[5]2011 полн'!BA17</f>
        <v>0</v>
      </c>
      <c r="N37" s="110">
        <f>'2011 полн'!BE17</f>
        <v>5585.775</v>
      </c>
      <c r="O37" s="110">
        <f>'2011 полн'!BF17</f>
        <v>-1173.0954000000002</v>
      </c>
      <c r="P37" s="110">
        <f>'2011 полн'!BG17</f>
        <v>-3018.390000000001</v>
      </c>
    </row>
    <row r="38" spans="1:16" ht="12.75">
      <c r="A38" s="396" t="s">
        <v>50</v>
      </c>
      <c r="B38" s="511">
        <f>'2011 полн'!B18</f>
        <v>842.5</v>
      </c>
      <c r="C38" s="511">
        <f>'2011 полн'!C18</f>
        <v>6556.335000000001</v>
      </c>
      <c r="D38" s="148">
        <f>'2011 полн'!D18</f>
        <v>785.2196000000001</v>
      </c>
      <c r="E38" s="148">
        <f>'2011 полн'!U18</f>
        <v>6645.91</v>
      </c>
      <c r="F38" s="148">
        <f>'2011 полн'!V18</f>
        <v>0</v>
      </c>
      <c r="G38" s="148">
        <f>'2011 полн'!AF18</f>
        <v>2891.89</v>
      </c>
      <c r="H38" s="148">
        <f>'2011 полн'!AG18</f>
        <v>3677.1096</v>
      </c>
      <c r="I38" s="148">
        <f>'2011 полн'!AK18</f>
        <v>564.475</v>
      </c>
      <c r="J38" s="148">
        <f>'2011 полн'!AL18</f>
        <v>168.5</v>
      </c>
      <c r="K38" s="148">
        <f>'2011 полн'!AM18+'2011 полн'!AN18+'2011 полн'!AO18+'2011 полн'!AP18+'2011 полн'!AQ18+'2011 полн'!AR18+'2011 полн'!AS18+'2011 полн'!AX18+'2011 полн'!BB18</f>
        <v>4852.799999999999</v>
      </c>
      <c r="L38" s="148">
        <f>'2011 полн'!AU18+'2011 полн'!AV18+'2011 полн'!AW18</f>
        <v>0</v>
      </c>
      <c r="M38" s="143">
        <f>'[5]2011 полн'!BA18</f>
        <v>0</v>
      </c>
      <c r="N38" s="110">
        <f>'2011 полн'!BE18</f>
        <v>5585.775</v>
      </c>
      <c r="O38" s="110">
        <f>'2011 полн'!BF18</f>
        <v>-1908.6653999999999</v>
      </c>
      <c r="P38" s="110">
        <f>'2011 полн'!BG18</f>
        <v>-3754.02</v>
      </c>
    </row>
    <row r="39" spans="1:16" ht="12.75">
      <c r="A39" s="510" t="s">
        <v>38</v>
      </c>
      <c r="B39" s="511">
        <f>'2011 полн'!B19</f>
        <v>842.5</v>
      </c>
      <c r="C39" s="511">
        <f>'2011 полн'!C19</f>
        <v>6556.335000000001</v>
      </c>
      <c r="D39" s="148">
        <f>'2011 полн'!D19</f>
        <v>785.2196000000001</v>
      </c>
      <c r="E39" s="148">
        <f>'2011 полн'!U19</f>
        <v>6645.88</v>
      </c>
      <c r="F39" s="148">
        <f>'2011 полн'!V19</f>
        <v>0</v>
      </c>
      <c r="G39" s="148">
        <f>'2011 полн'!AF19</f>
        <v>6274.9</v>
      </c>
      <c r="H39" s="148">
        <f>'2011 полн'!AG19</f>
        <v>7060.1196</v>
      </c>
      <c r="I39" s="148">
        <f>'2011 полн'!AK19</f>
        <v>564.475</v>
      </c>
      <c r="J39" s="148">
        <f>'2011 полн'!AL19</f>
        <v>168.5</v>
      </c>
      <c r="K39" s="148">
        <f>'2011 полн'!AM19+'2011 полн'!AN19+'2011 полн'!AO19+'2011 полн'!AP19+'2011 полн'!AQ19+'2011 полн'!AR19+'2011 полн'!AS19+'2011 полн'!AX19+'2011 полн'!BB19</f>
        <v>6690.799999999999</v>
      </c>
      <c r="L39" s="148">
        <f>'2011 полн'!AU19+'2011 полн'!AV19+'2011 полн'!AW19</f>
        <v>2225</v>
      </c>
      <c r="M39" s="143">
        <f>'[5]2011 полн'!BA19</f>
        <v>0</v>
      </c>
      <c r="N39" s="110">
        <f>'2011 полн'!BE19</f>
        <v>9648.775</v>
      </c>
      <c r="O39" s="110">
        <f>'2011 полн'!BF19</f>
        <v>-2588.6553999999996</v>
      </c>
      <c r="P39" s="110">
        <f>'2011 полн'!BG19</f>
        <v>-370.9800000000005</v>
      </c>
    </row>
    <row r="40" spans="1:16" ht="12.75">
      <c r="A40" s="396" t="s">
        <v>39</v>
      </c>
      <c r="B40" s="511">
        <f>'2011 полн'!B20</f>
        <v>842.5</v>
      </c>
      <c r="C40" s="511">
        <f>'2011 полн'!C20</f>
        <v>6556.335000000001</v>
      </c>
      <c r="D40" s="148">
        <f>'2011 полн'!D20</f>
        <v>785.2196000000001</v>
      </c>
      <c r="E40" s="148">
        <f>'2011 полн'!U20</f>
        <v>6645.89</v>
      </c>
      <c r="F40" s="148">
        <f>'2011 полн'!V20</f>
        <v>0</v>
      </c>
      <c r="G40" s="148">
        <f>'2011 полн'!AF20</f>
        <v>6595.879999999999</v>
      </c>
      <c r="H40" s="148">
        <f>'2011 полн'!AG20</f>
        <v>7381.0996</v>
      </c>
      <c r="I40" s="148">
        <f>'2011 полн'!AK20</f>
        <v>564.475</v>
      </c>
      <c r="J40" s="148">
        <f>'2011 полн'!AL20</f>
        <v>168.5</v>
      </c>
      <c r="K40" s="148">
        <f>'2011 полн'!AM20+'2011 полн'!AN20+'2011 полн'!AO20+'2011 полн'!AP20+'2011 полн'!AQ20+'2011 полн'!AR20+'2011 полн'!AS20+'2011 полн'!AX20+'2011 полн'!BB20</f>
        <v>4852.799999999999</v>
      </c>
      <c r="L40" s="148">
        <f>'2011 полн'!AU20+'2011 полн'!AV20+'2011 полн'!AW20</f>
        <v>0</v>
      </c>
      <c r="M40" s="143">
        <f>'[5]2011 полн'!BA20</f>
        <v>0</v>
      </c>
      <c r="N40" s="110">
        <f>'2011 полн'!BE20</f>
        <v>5585.775</v>
      </c>
      <c r="O40" s="110">
        <f>'2011 полн'!BF20</f>
        <v>1795.3246</v>
      </c>
      <c r="P40" s="110">
        <f>'2011 полн'!BG20</f>
        <v>-50.01000000000113</v>
      </c>
    </row>
    <row r="41" spans="1:16" ht="13.5" thickBot="1">
      <c r="A41" s="396" t="s">
        <v>40</v>
      </c>
      <c r="B41" s="511">
        <f>'2011 полн'!B21</f>
        <v>842.5</v>
      </c>
      <c r="C41" s="511">
        <f>'2011 полн'!C21</f>
        <v>6556.335000000001</v>
      </c>
      <c r="D41" s="148">
        <f>'2011 полн'!D21</f>
        <v>785.2196000000001</v>
      </c>
      <c r="E41" s="148">
        <f>'2011 полн'!U21</f>
        <v>6645.89</v>
      </c>
      <c r="F41" s="148">
        <f>'2011 полн'!V21</f>
        <v>0</v>
      </c>
      <c r="G41" s="148">
        <f>'2011 полн'!AF21</f>
        <v>5675.92</v>
      </c>
      <c r="H41" s="148">
        <f>'2011 полн'!AG21</f>
        <v>6461.1396</v>
      </c>
      <c r="I41" s="148">
        <f>'2011 полн'!AK21</f>
        <v>564.475</v>
      </c>
      <c r="J41" s="148">
        <f>'2011 полн'!AL21</f>
        <v>168.5</v>
      </c>
      <c r="K41" s="148">
        <f>'2011 полн'!AM21+'2011 полн'!AN21+'2011 полн'!AO21+'2011 полн'!AP21+'2011 полн'!AQ21+'2011 полн'!AR21+'2011 полн'!AS21+'2011 полн'!AX21+'2011 полн'!BB21</f>
        <v>11746.8</v>
      </c>
      <c r="L41" s="148">
        <f>'2011 полн'!AU21+'2011 полн'!AV21+'2011 полн'!AW21</f>
        <v>23336</v>
      </c>
      <c r="M41" s="143">
        <f>'[5]2011 полн'!BA21</f>
        <v>0</v>
      </c>
      <c r="N41" s="110">
        <f>'2011 полн'!BE21</f>
        <v>35815.775</v>
      </c>
      <c r="O41" s="110">
        <f>'2011 полн'!BF21</f>
        <v>-29354.6354</v>
      </c>
      <c r="P41" s="110">
        <f>'2011 полн'!BG21</f>
        <v>-969.9700000000003</v>
      </c>
    </row>
    <row r="42" spans="1:18" s="16" customFormat="1" ht="13.5" thickBot="1">
      <c r="A42" s="31" t="s">
        <v>3</v>
      </c>
      <c r="B42" s="32"/>
      <c r="C42" s="58">
        <f aca="true" t="shared" si="2" ref="C42:O42">SUM(C30:C41)</f>
        <v>65563.35</v>
      </c>
      <c r="D42" s="58">
        <f t="shared" si="2"/>
        <v>9422.635200000002</v>
      </c>
      <c r="E42" s="58">
        <f t="shared" si="2"/>
        <v>66458.58</v>
      </c>
      <c r="F42" s="58">
        <f t="shared" si="2"/>
        <v>0</v>
      </c>
      <c r="G42" s="58">
        <f t="shared" si="2"/>
        <v>48998.93</v>
      </c>
      <c r="H42" s="58">
        <f t="shared" si="2"/>
        <v>58421.5652</v>
      </c>
      <c r="I42" s="58">
        <f t="shared" si="2"/>
        <v>6773.700000000002</v>
      </c>
      <c r="J42" s="58">
        <f t="shared" si="2"/>
        <v>2022</v>
      </c>
      <c r="K42" s="58">
        <f t="shared" si="2"/>
        <v>66522.59000000001</v>
      </c>
      <c r="L42" s="58">
        <f t="shared" si="2"/>
        <v>25712</v>
      </c>
      <c r="M42" s="58">
        <f t="shared" si="2"/>
        <v>-1111.19</v>
      </c>
      <c r="N42" s="58">
        <f t="shared" si="2"/>
        <v>101030.29000000001</v>
      </c>
      <c r="O42" s="58">
        <f t="shared" si="2"/>
        <v>-42608.724799999996</v>
      </c>
      <c r="P42" s="58">
        <f>SUM(P30:P41)</f>
        <v>-17459.650000000005</v>
      </c>
      <c r="Q42" s="38"/>
      <c r="R42" s="38"/>
    </row>
    <row r="43" spans="1:18" ht="13.5" thickBot="1">
      <c r="A43" s="298" t="s">
        <v>92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322"/>
      <c r="O43" s="322"/>
      <c r="P43" s="512"/>
      <c r="Q43" s="345"/>
      <c r="R43" s="345"/>
    </row>
    <row r="44" spans="1:18" s="16" customFormat="1" ht="13.5" thickBot="1">
      <c r="A44" s="215" t="s">
        <v>93</v>
      </c>
      <c r="B44" s="216"/>
      <c r="C44" s="217">
        <f aca="true" t="shared" si="3" ref="C44:P44">C42+C28</f>
        <v>240466.35</v>
      </c>
      <c r="D44" s="217">
        <f t="shared" si="3"/>
        <v>96440.4777</v>
      </c>
      <c r="E44" s="217">
        <f t="shared" si="3"/>
        <v>136075.05</v>
      </c>
      <c r="F44" s="217">
        <f t="shared" si="3"/>
        <v>3539.3999999999996</v>
      </c>
      <c r="G44" s="217">
        <f t="shared" si="3"/>
        <v>99133.75</v>
      </c>
      <c r="H44" s="217">
        <f t="shared" si="3"/>
        <v>199113.6277</v>
      </c>
      <c r="I44" s="217">
        <f t="shared" si="3"/>
        <v>18703.5</v>
      </c>
      <c r="J44" s="217">
        <f t="shared" si="3"/>
        <v>6007.2036100000005</v>
      </c>
      <c r="K44" s="217">
        <f t="shared" si="3"/>
        <v>161964.25726287003</v>
      </c>
      <c r="L44" s="217">
        <f t="shared" si="3"/>
        <v>105092.32119999999</v>
      </c>
      <c r="M44" s="217">
        <f t="shared" si="3"/>
        <v>-1111.19</v>
      </c>
      <c r="N44" s="217">
        <f t="shared" si="3"/>
        <v>291767.28207286994</v>
      </c>
      <c r="O44" s="217">
        <f>O42+O28</f>
        <v>-92653.65437286999</v>
      </c>
      <c r="P44" s="217">
        <f t="shared" si="3"/>
        <v>-36941.3</v>
      </c>
      <c r="Q44" s="218"/>
      <c r="R44" s="38"/>
    </row>
    <row r="46" spans="1:18" ht="12.75">
      <c r="A46" s="16" t="s">
        <v>88</v>
      </c>
      <c r="D46" s="220" t="s">
        <v>124</v>
      </c>
      <c r="Q46" s="345"/>
      <c r="R46" s="345"/>
    </row>
    <row r="47" spans="1:18" ht="12.75">
      <c r="A47" s="393" t="s">
        <v>64</v>
      </c>
      <c r="B47" s="393" t="s">
        <v>65</v>
      </c>
      <c r="C47" s="513" t="s">
        <v>66</v>
      </c>
      <c r="D47" s="514"/>
      <c r="Q47" s="345"/>
      <c r="R47" s="345"/>
    </row>
    <row r="48" spans="1:18" ht="12.75">
      <c r="A48" s="515">
        <v>68272.5</v>
      </c>
      <c r="B48" s="221">
        <v>0</v>
      </c>
      <c r="C48" s="516">
        <f>A48-B48</f>
        <v>68272.5</v>
      </c>
      <c r="D48" s="517"/>
      <c r="Q48" s="345"/>
      <c r="R48" s="345"/>
    </row>
    <row r="49" spans="1:18" ht="12.75">
      <c r="A49" s="43"/>
      <c r="Q49" s="345"/>
      <c r="R49" s="345"/>
    </row>
    <row r="50" spans="1:18" ht="12.75">
      <c r="A50" s="346" t="s">
        <v>67</v>
      </c>
      <c r="G50" s="346" t="s">
        <v>68</v>
      </c>
      <c r="Q50" s="345"/>
      <c r="R50" s="345"/>
    </row>
    <row r="51" ht="12.75">
      <c r="A51" s="345"/>
    </row>
    <row r="52" ht="12.75">
      <c r="A52" s="345"/>
    </row>
    <row r="53" ht="12.75">
      <c r="A53" s="220" t="s">
        <v>125</v>
      </c>
    </row>
    <row r="54" ht="12.75">
      <c r="A54" s="346" t="s">
        <v>69</v>
      </c>
    </row>
  </sheetData>
  <sheetProtection/>
  <mergeCells count="26">
    <mergeCell ref="N10:N11"/>
    <mergeCell ref="A27:O27"/>
    <mergeCell ref="A43:O43"/>
    <mergeCell ref="C47:D47"/>
    <mergeCell ref="I8:N9"/>
    <mergeCell ref="O8:O11"/>
    <mergeCell ref="P8:P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O5"/>
    <mergeCell ref="A6:G6"/>
    <mergeCell ref="A7:D7"/>
    <mergeCell ref="E7:F7"/>
  </mergeCells>
  <printOptions/>
  <pageMargins left="0.25" right="0.17" top="0.29" bottom="0.47" header="0.18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2010-07-08T09:41:53Z</cp:lastPrinted>
  <dcterms:created xsi:type="dcterms:W3CDTF">2010-04-03T04:08:20Z</dcterms:created>
  <dcterms:modified xsi:type="dcterms:W3CDTF">2012-05-24T07:53:57Z</dcterms:modified>
  <cp:category/>
  <cp:version/>
  <cp:contentType/>
  <cp:contentStatus/>
</cp:coreProperties>
</file>