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2011" sheetId="1" r:id="rId1"/>
    <sheet name="2010" sheetId="2" r:id="rId2"/>
    <sheet name="для печати" sheetId="3" r:id="rId3"/>
    <sheet name="2011 для печати" sheetId="4" r:id="rId4"/>
  </sheets>
  <definedNames/>
  <calcPr fullCalcOnLoad="1"/>
</workbook>
</file>

<file path=xl/sharedStrings.xml><?xml version="1.0" encoding="utf-8"?>
<sst xmlns="http://schemas.openxmlformats.org/spreadsheetml/2006/main" count="260" uniqueCount="103">
  <si>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</si>
  <si>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</si>
  <si>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</si>
  <si>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</si>
  <si>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</si>
  <si>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</si>
  <si>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</si>
  <si>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</si>
  <si>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</si>
  <si>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</si>
  <si>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</si>
  <si>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</si>
  <si>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</si>
  <si>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</si>
  <si>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</si>
  <si>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</si>
  <si>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</si>
  <si>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</si>
  <si>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</si>
  <si>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</si>
  <si>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</si>
  <si>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</si>
  <si>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</si>
  <si>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</si>
  <si>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</si>
  <si>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</si>
  <si>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</si>
  <si>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</si>
  <si>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</si>
  <si>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</si>
  <si>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</si>
  <si>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</si>
  <si>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</si>
  <si>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</si>
  <si>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</si>
  <si>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</si>
  <si>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</si>
  <si>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</si>
  <si>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</si>
  <si>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</si>
  <si>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</si>
  <si>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</si>
  <si>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</si>
  <si>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</si>
  <si>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</si>
  <si>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</si>
  <si>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</si>
  <si>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</si>
  <si>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</si>
  <si>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</si>
  <si>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</si>
  <si>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</si>
  <si>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</si>
  <si>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</si>
  <si>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</si>
  <si>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</si>
  <si>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</si>
  <si>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</si>
  <si>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</si>
  <si>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</si>
  <si>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</si>
  <si>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</si>
  <si>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</si>
  <si>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</si>
  <si>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</si>
  <si>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</si>
  <si>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</si>
  <si>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</si>
  <si>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</si>
  <si>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</si>
  <si>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</si>
  <si>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</si>
  <si>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</si>
  <si>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</si>
  <si>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</si>
  <si>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</si>
  <si>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</si>
  <si>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</si>
  <si>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</si>
  <si>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</si>
  <si>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Капитальный ремонт</t>
  </si>
  <si>
    <t>Выписка по лицевому счету по адресу г. Таштагол ул. Артема, д. 11</t>
  </si>
  <si>
    <t>Лицевой счет по адресу г. Таштагол, ул.  Артема, д. 11</t>
  </si>
  <si>
    <t>Собрано за содержание и тек.рем.</t>
  </si>
  <si>
    <t>2010 год</t>
  </si>
  <si>
    <t>за период с октября 2008 г. по декабрь 2010 г.</t>
  </si>
  <si>
    <t>Начислено населению</t>
  </si>
  <si>
    <t>для счетов-фактур</t>
  </si>
  <si>
    <t>Расходы по жил. помещениям</t>
  </si>
  <si>
    <t>Содержание жилья</t>
  </si>
  <si>
    <t>2011 год</t>
  </si>
  <si>
    <t>Тек. ремонт ООО "ТУК"</t>
  </si>
  <si>
    <t>Собрано всего по жил. услугам</t>
  </si>
  <si>
    <t>Льгота</t>
  </si>
  <si>
    <t>электроэнергия</t>
  </si>
  <si>
    <t>ВСЕГО</t>
  </si>
  <si>
    <t>Лицевой счет по адресу г. Таштагол, ул. Артема, д.11</t>
  </si>
  <si>
    <t>Услуга начисления</t>
  </si>
  <si>
    <t>Тек. ремонт ООО "ФОРУМ"</t>
  </si>
  <si>
    <t>Доп.работы</t>
  </si>
  <si>
    <t>*по состоянию на 01.01.2012 г.</t>
  </si>
  <si>
    <t>Исп. В.В. Колмогорова</t>
  </si>
  <si>
    <t>на 01.01.2012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</si>
</sst>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(* #,##0.00_);_(* \(#,##0.00\);_(* &quot;-&quot;??_);_(@_)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35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4" fontId="2" fillId="0" borderId="34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0" fontId="0" fillId="0" borderId="15" xfId="0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3" fontId="2" fillId="34" borderId="11" xfId="6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34" borderId="37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4" fontId="2" fillId="0" borderId="38" xfId="33" applyNumberFormat="1" applyFont="1" applyFill="1" applyBorder="1" applyAlignment="1">
      <alignment horizontal="center" vertical="center" wrapText="1"/>
      <protection/>
    </xf>
    <xf numFmtId="4" fontId="0" fillId="0" borderId="34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4" fontId="2" fillId="0" borderId="11" xfId="33" applyNumberFormat="1" applyFont="1" applyFill="1" applyBorder="1" applyAlignment="1">
      <alignment horizontal="center" vertical="center" wrapText="1"/>
      <protection/>
    </xf>
    <xf numFmtId="43" fontId="2" fillId="34" borderId="13" xfId="61" applyFont="1" applyFill="1" applyBorder="1" applyAlignment="1">
      <alignment vertical="center" wrapText="1"/>
    </xf>
    <xf numFmtId="0" fontId="0" fillId="0" borderId="34" xfId="0" applyBorder="1" applyAlignment="1">
      <alignment horizontal="right"/>
    </xf>
    <xf numFmtId="0" fontId="0" fillId="0" borderId="11" xfId="0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34" borderId="20" xfId="0" applyNumberFormat="1" applyFont="1" applyFill="1" applyBorder="1" applyAlignment="1">
      <alignment horizontal="right"/>
    </xf>
    <xf numFmtId="4" fontId="0" fillId="36" borderId="11" xfId="0" applyNumberFormat="1" applyFont="1" applyFill="1" applyBorder="1" applyAlignment="1">
      <alignment/>
    </xf>
    <xf numFmtId="43" fontId="2" fillId="34" borderId="13" xfId="61" applyFont="1" applyFill="1" applyBorder="1" applyAlignment="1">
      <alignment horizontal="center" vertical="center" wrapText="1"/>
    </xf>
    <xf numFmtId="4" fontId="0" fillId="34" borderId="37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35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3" fillId="0" borderId="15" xfId="33" applyNumberFormat="1" applyFont="1" applyBorder="1" applyAlignment="1">
      <alignment horizontal="center" vertical="center" wrapText="1"/>
      <protection/>
    </xf>
    <xf numFmtId="2" fontId="0" fillId="0" borderId="11" xfId="0" applyNumberFormat="1" applyFont="1" applyBorder="1" applyAlignment="1">
      <alignment horizontal="center"/>
    </xf>
    <xf numFmtId="4" fontId="3" fillId="0" borderId="20" xfId="33" applyNumberFormat="1" applyFont="1" applyBorder="1" applyAlignment="1">
      <alignment horizontal="center" vertical="center" wrapText="1"/>
      <protection/>
    </xf>
    <xf numFmtId="4" fontId="3" fillId="0" borderId="11" xfId="33" applyNumberFormat="1" applyFont="1" applyBorder="1" applyAlignment="1">
      <alignment horizontal="center" vertical="center" wrapText="1"/>
      <protection/>
    </xf>
    <xf numFmtId="43" fontId="2" fillId="34" borderId="31" xfId="61" applyFont="1" applyFill="1" applyBorder="1" applyAlignment="1">
      <alignment vertical="center" wrapText="1"/>
    </xf>
    <xf numFmtId="4" fontId="0" fillId="35" borderId="20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3" fontId="2" fillId="34" borderId="20" xfId="63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4" fontId="1" fillId="0" borderId="41" xfId="0" applyNumberFormat="1" applyFont="1" applyFill="1" applyBorder="1" applyAlignment="1">
      <alignment horizontal="right"/>
    </xf>
    <xf numFmtId="4" fontId="1" fillId="33" borderId="4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1" fillId="0" borderId="43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1" fontId="2" fillId="34" borderId="11" xfId="61" applyNumberFormat="1" applyFont="1" applyFill="1" applyBorder="1" applyAlignment="1">
      <alignment horizontal="center" vertical="center" wrapText="1"/>
    </xf>
    <xf numFmtId="4" fontId="0" fillId="0" borderId="15" xfId="54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4" fontId="0" fillId="34" borderId="20" xfId="54" applyNumberFormat="1" applyFont="1" applyFill="1" applyBorder="1">
      <alignment/>
      <protection/>
    </xf>
    <xf numFmtId="4" fontId="0" fillId="0" borderId="11" xfId="54" applyNumberFormat="1" applyFont="1" applyFill="1" applyBorder="1">
      <alignment/>
      <protection/>
    </xf>
    <xf numFmtId="4" fontId="0" fillId="33" borderId="11" xfId="54" applyNumberFormat="1" applyFont="1" applyFill="1" applyBorder="1">
      <alignment/>
      <protection/>
    </xf>
    <xf numFmtId="4" fontId="0" fillId="0" borderId="20" xfId="54" applyNumberFormat="1" applyFont="1" applyFill="1" applyBorder="1">
      <alignment/>
      <protection/>
    </xf>
    <xf numFmtId="4" fontId="0" fillId="37" borderId="11" xfId="54" applyNumberFormat="1" applyFont="1" applyFill="1" applyBorder="1">
      <alignment/>
      <protection/>
    </xf>
    <xf numFmtId="4" fontId="0" fillId="0" borderId="20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/>
    </xf>
    <xf numFmtId="0" fontId="0" fillId="0" borderId="31" xfId="54" applyFont="1" applyBorder="1" applyAlignment="1">
      <alignment horizontal="center"/>
      <protection/>
    </xf>
    <xf numFmtId="4" fontId="0" fillId="34" borderId="37" xfId="54" applyNumberFormat="1" applyFont="1" applyFill="1" applyBorder="1">
      <alignment/>
      <protection/>
    </xf>
    <xf numFmtId="0" fontId="2" fillId="0" borderId="15" xfId="0" applyFont="1" applyBorder="1" applyAlignment="1">
      <alignment horizontal="center"/>
    </xf>
    <xf numFmtId="4" fontId="1" fillId="0" borderId="3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31" xfId="0" applyFont="1" applyBorder="1" applyAlignment="1">
      <alignment/>
    </xf>
    <xf numFmtId="4" fontId="1" fillId="0" borderId="20" xfId="54" applyNumberFormat="1" applyFont="1" applyFill="1" applyBorder="1">
      <alignment/>
      <protection/>
    </xf>
    <xf numFmtId="4" fontId="2" fillId="0" borderId="1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4" fontId="1" fillId="34" borderId="20" xfId="54" applyNumberFormat="1" applyFont="1" applyFill="1" applyBorder="1">
      <alignment/>
      <protection/>
    </xf>
    <xf numFmtId="0" fontId="0" fillId="35" borderId="15" xfId="0" applyFont="1" applyFill="1" applyBorder="1" applyAlignment="1">
      <alignment horizontal="center"/>
    </xf>
    <xf numFmtId="4" fontId="0" fillId="33" borderId="11" xfId="54" applyNumberFormat="1" applyFont="1" applyFill="1" applyBorder="1" applyAlignment="1">
      <alignment horizontal="center"/>
      <protection/>
    </xf>
    <xf numFmtId="4" fontId="0" fillId="0" borderId="37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0" fillId="33" borderId="20" xfId="0" applyNumberFormat="1" applyFont="1" applyFill="1" applyBorder="1" applyAlignment="1">
      <alignment/>
    </xf>
    <xf numFmtId="4" fontId="0" fillId="33" borderId="20" xfId="54" applyNumberFormat="1" applyFont="1" applyFill="1" applyBorder="1">
      <alignment/>
      <protection/>
    </xf>
    <xf numFmtId="0" fontId="1" fillId="39" borderId="45" xfId="0" applyFont="1" applyFill="1" applyBorder="1" applyAlignment="1">
      <alignment horizontal="center" vertical="center" wrapText="1"/>
    </xf>
    <xf numFmtId="0" fontId="1" fillId="39" borderId="46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3" fontId="8" fillId="34" borderId="45" xfId="61" applyFont="1" applyFill="1" applyBorder="1" applyAlignment="1">
      <alignment horizontal="center" vertical="center" wrapText="1"/>
    </xf>
    <xf numFmtId="43" fontId="8" fillId="34" borderId="46" xfId="6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33" borderId="51" xfId="0" applyNumberFormat="1" applyFont="1" applyFill="1" applyBorder="1" applyAlignment="1">
      <alignment horizontal="center" vertical="center" wrapText="1"/>
    </xf>
    <xf numFmtId="2" fontId="1" fillId="33" borderId="52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37" borderId="45" xfId="0" applyNumberFormat="1" applyFont="1" applyFill="1" applyBorder="1" applyAlignment="1">
      <alignment horizontal="center" vertical="center" wrapText="1"/>
    </xf>
    <xf numFmtId="2" fontId="1" fillId="37" borderId="46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" fontId="1" fillId="0" borderId="6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6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4" borderId="63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8" fillId="34" borderId="45" xfId="0" applyNumberFormat="1" applyFont="1" applyFill="1" applyBorder="1" applyAlignment="1">
      <alignment horizontal="center" vertical="center" wrapText="1"/>
    </xf>
    <xf numFmtId="2" fontId="8" fillId="34" borderId="46" xfId="0" applyNumberFormat="1" applyFont="1" applyFill="1" applyBorder="1" applyAlignment="1">
      <alignment horizontal="center" vertical="center" wrapText="1"/>
    </xf>
    <xf numFmtId="2" fontId="8" fillId="34" borderId="36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2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left"/>
    </xf>
    <xf numFmtId="0" fontId="1" fillId="0" borderId="58" xfId="0" applyFont="1" applyFill="1" applyBorder="1" applyAlignment="1">
      <alignment horizontal="left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70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Ц СЧЕТА 1 кв 20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Ц СЧЕТА 1 кв 2011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1"/>
  <sheetViews>
    <sheetView zoomScalePageLayoutView="0" workbookViewId="0" topLeftCell="A1">
      <pane xSplit="2" ySplit="2" topLeftCell="O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18" sqref="T18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5" width="11.125" style="2" customWidth="1"/>
    <col min="6" max="6" width="10.875" style="2" customWidth="1"/>
    <col min="7" max="8" width="12.125" style="2" customWidth="1"/>
    <col min="9" max="9" width="12.00390625" style="2" customWidth="1"/>
    <col min="10" max="10" width="11.125" style="2" customWidth="1"/>
    <col min="11" max="11" width="11.00390625" style="2" customWidth="1"/>
    <col min="12" max="12" width="12.375" style="2" customWidth="1"/>
    <col min="13" max="13" width="10.125" style="2" bestFit="1" customWidth="1"/>
    <col min="14" max="14" width="15.625" style="2" customWidth="1"/>
    <col min="15" max="15" width="16.375" style="2" customWidth="1"/>
    <col min="16" max="16" width="14.625" style="2" customWidth="1"/>
    <col min="17" max="17" width="11.625" style="2" customWidth="1"/>
    <col min="18" max="18" width="11.25390625" style="2" customWidth="1"/>
    <col min="19" max="19" width="10.625" style="2" customWidth="1"/>
    <col min="20" max="20" width="9.25390625" style="2" customWidth="1"/>
    <col min="21" max="21" width="10.125" style="2" bestFit="1" customWidth="1"/>
    <col min="22" max="22" width="10.125" style="2" customWidth="1"/>
    <col min="23" max="23" width="12.625" style="2" customWidth="1"/>
    <col min="24" max="24" width="9.25390625" style="2" bestFit="1" customWidth="1"/>
    <col min="25" max="25" width="11.625" style="2" customWidth="1"/>
    <col min="26" max="26" width="9.25390625" style="2" customWidth="1"/>
    <col min="27" max="27" width="10.625" style="2" customWidth="1"/>
    <col min="28" max="28" width="10.75390625" style="2" customWidth="1"/>
    <col min="29" max="29" width="12.125" style="2" customWidth="1"/>
    <col min="30" max="30" width="11.75390625" style="2" customWidth="1"/>
    <col min="31" max="32" width="10.375" style="2" customWidth="1"/>
    <col min="33" max="33" width="10.75390625" style="2" customWidth="1"/>
    <col min="34" max="34" width="9.125" style="2" customWidth="1"/>
    <col min="35" max="35" width="10.125" style="2" bestFit="1" customWidth="1"/>
    <col min="36" max="36" width="9.125" style="2" customWidth="1"/>
    <col min="37" max="37" width="9.75390625" style="2" bestFit="1" customWidth="1"/>
    <col min="38" max="16384" width="9.125" style="2" customWidth="1"/>
  </cols>
  <sheetData>
    <row r="1" spans="1:16" ht="21" customHeight="1">
      <c r="A1" s="242" t="s">
        <v>96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1"/>
    </row>
    <row r="2" spans="1:16" ht="15" customHeigh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3.5" thickBot="1"/>
    <row r="4" spans="1:29" ht="31.5" customHeight="1" thickBot="1">
      <c r="A4" s="254" t="s">
        <v>0</v>
      </c>
      <c r="B4" s="224" t="s">
        <v>1</v>
      </c>
      <c r="C4" s="226" t="s">
        <v>2</v>
      </c>
      <c r="D4" s="228" t="s">
        <v>3</v>
      </c>
      <c r="E4" s="236" t="s">
        <v>86</v>
      </c>
      <c r="F4" s="271"/>
      <c r="G4" s="257"/>
      <c r="H4" s="257" t="s">
        <v>93</v>
      </c>
      <c r="I4" s="238" t="s">
        <v>5</v>
      </c>
      <c r="J4" s="275" t="s">
        <v>6</v>
      </c>
      <c r="K4" s="276"/>
      <c r="L4" s="277"/>
      <c r="M4" s="250" t="s">
        <v>23</v>
      </c>
      <c r="N4" s="261" t="s">
        <v>92</v>
      </c>
      <c r="O4" s="230" t="s">
        <v>67</v>
      </c>
      <c r="P4" s="263" t="s">
        <v>8</v>
      </c>
      <c r="Q4" s="264"/>
      <c r="R4" s="264"/>
      <c r="S4" s="264"/>
      <c r="T4" s="264"/>
      <c r="U4" s="264"/>
      <c r="V4" s="264"/>
      <c r="W4" s="264"/>
      <c r="X4" s="264"/>
      <c r="Y4" s="265"/>
      <c r="Z4" s="244" t="s">
        <v>87</v>
      </c>
      <c r="AA4" s="245"/>
      <c r="AB4" s="222" t="s">
        <v>9</v>
      </c>
      <c r="AC4" s="222" t="s">
        <v>10</v>
      </c>
    </row>
    <row r="5" spans="1:29" ht="20.25" customHeight="1" thickBot="1">
      <c r="A5" s="255"/>
      <c r="B5" s="225"/>
      <c r="C5" s="227"/>
      <c r="D5" s="229"/>
      <c r="E5" s="272"/>
      <c r="F5" s="273"/>
      <c r="G5" s="274"/>
      <c r="H5" s="258"/>
      <c r="I5" s="239"/>
      <c r="J5" s="278"/>
      <c r="K5" s="279"/>
      <c r="L5" s="280"/>
      <c r="M5" s="251"/>
      <c r="N5" s="262"/>
      <c r="O5" s="231"/>
      <c r="P5" s="266"/>
      <c r="Q5" s="267"/>
      <c r="R5" s="267"/>
      <c r="S5" s="267"/>
      <c r="T5" s="267"/>
      <c r="U5" s="267"/>
      <c r="V5" s="267"/>
      <c r="W5" s="267"/>
      <c r="X5" s="267"/>
      <c r="Y5" s="268"/>
      <c r="Z5" s="246" t="s">
        <v>68</v>
      </c>
      <c r="AA5" s="230" t="s">
        <v>88</v>
      </c>
      <c r="AB5" s="223"/>
      <c r="AC5" s="223"/>
    </row>
    <row r="6" spans="1:29" ht="27" customHeight="1">
      <c r="A6" s="255"/>
      <c r="B6" s="225"/>
      <c r="C6" s="227"/>
      <c r="D6" s="229"/>
      <c r="E6" s="236" t="s">
        <v>89</v>
      </c>
      <c r="F6" s="238" t="s">
        <v>13</v>
      </c>
      <c r="G6" s="238" t="s">
        <v>15</v>
      </c>
      <c r="H6" s="258"/>
      <c r="I6" s="239"/>
      <c r="J6" s="241" t="s">
        <v>89</v>
      </c>
      <c r="K6" s="239" t="s">
        <v>13</v>
      </c>
      <c r="L6" s="243" t="s">
        <v>15</v>
      </c>
      <c r="M6" s="251"/>
      <c r="N6" s="262"/>
      <c r="O6" s="231"/>
      <c r="P6" s="269" t="s">
        <v>24</v>
      </c>
      <c r="Q6" s="252" t="s">
        <v>25</v>
      </c>
      <c r="R6" s="252" t="s">
        <v>89</v>
      </c>
      <c r="S6" s="234" t="s">
        <v>98</v>
      </c>
      <c r="T6" s="248" t="s">
        <v>91</v>
      </c>
      <c r="U6" s="248" t="s">
        <v>99</v>
      </c>
      <c r="V6" s="230" t="s">
        <v>94</v>
      </c>
      <c r="W6" s="230" t="s">
        <v>32</v>
      </c>
      <c r="X6" s="230" t="s">
        <v>27</v>
      </c>
      <c r="Y6" s="232" t="s">
        <v>33</v>
      </c>
      <c r="Z6" s="247"/>
      <c r="AA6" s="231"/>
      <c r="AB6" s="223"/>
      <c r="AC6" s="223"/>
    </row>
    <row r="7" spans="1:29" ht="26.25" customHeight="1" thickBot="1">
      <c r="A7" s="256"/>
      <c r="B7" s="225"/>
      <c r="C7" s="227"/>
      <c r="D7" s="229"/>
      <c r="E7" s="237"/>
      <c r="F7" s="239"/>
      <c r="G7" s="240"/>
      <c r="H7" s="259"/>
      <c r="I7" s="239"/>
      <c r="J7" s="237"/>
      <c r="K7" s="239"/>
      <c r="L7" s="243"/>
      <c r="M7" s="251"/>
      <c r="N7" s="262"/>
      <c r="O7" s="231"/>
      <c r="P7" s="270"/>
      <c r="Q7" s="253"/>
      <c r="R7" s="253"/>
      <c r="S7" s="235"/>
      <c r="T7" s="249"/>
      <c r="U7" s="249"/>
      <c r="V7" s="260"/>
      <c r="W7" s="231"/>
      <c r="X7" s="231"/>
      <c r="Y7" s="233"/>
      <c r="Z7" s="247"/>
      <c r="AA7" s="231"/>
      <c r="AB7" s="223"/>
      <c r="AC7" s="223"/>
    </row>
    <row r="8" spans="1:51" s="20" customFormat="1" ht="13.5" thickBot="1">
      <c r="A8" s="164" t="s">
        <v>48</v>
      </c>
      <c r="B8" s="23"/>
      <c r="C8" s="23">
        <f>'2010'!C44</f>
        <v>582332.705</v>
      </c>
      <c r="D8" s="23">
        <f>'2010'!D44</f>
        <v>54480.811767530024</v>
      </c>
      <c r="E8" s="50">
        <f>'2010'!E44+'2010'!G44+'2010'!K44</f>
        <v>244915.25</v>
      </c>
      <c r="F8" s="50">
        <f>'2010'!I44</f>
        <v>173031.25</v>
      </c>
      <c r="G8" s="166">
        <f>'2010'!M44</f>
        <v>42557.29</v>
      </c>
      <c r="H8" s="50">
        <f>'2010'!F44+'2010'!H44+'2010'!J44+'2010'!L44+'2010'!N44</f>
        <v>71944.81</v>
      </c>
      <c r="I8" s="50">
        <f>E8+F8+G8</f>
        <v>460503.79</v>
      </c>
      <c r="J8" s="50">
        <f>'2010'!Q44+'2010'!R44+'2010'!T44</f>
        <v>203398.06</v>
      </c>
      <c r="K8" s="50">
        <f>'2010'!S44</f>
        <v>143610.11</v>
      </c>
      <c r="L8" s="50">
        <f>'2010'!U44</f>
        <v>35458.08</v>
      </c>
      <c r="M8" s="50">
        <f>J8+K8+L8</f>
        <v>382466.25</v>
      </c>
      <c r="N8" s="50">
        <f>M8+H8+D8</f>
        <v>508891.87176753004</v>
      </c>
      <c r="O8" s="50">
        <f>'2010'!X44</f>
        <v>0</v>
      </c>
      <c r="P8" s="50">
        <f>'2010'!Y44</f>
        <v>39794.58</v>
      </c>
      <c r="Q8" s="50">
        <f>'2010'!Z44</f>
        <v>13335.017142</v>
      </c>
      <c r="R8" s="53">
        <f>'2010'!AA44+'2010'!AB44+'2010'!AC44+'2010'!AD44+'2010'!AE44+'2010'!AF44</f>
        <v>275391.19292093697</v>
      </c>
      <c r="S8" s="53">
        <f>'2010'!AK44</f>
        <v>76409.47</v>
      </c>
      <c r="T8" s="53">
        <f>'2010'!AL44</f>
        <v>14765.6</v>
      </c>
      <c r="U8" s="53">
        <f>'2010'!AM44</f>
        <v>6320.331</v>
      </c>
      <c r="V8" s="53">
        <f>'2010'!AP44</f>
        <v>13471.92</v>
      </c>
      <c r="W8" s="53">
        <f>'2010'!AQ44</f>
        <v>0</v>
      </c>
      <c r="X8" s="53">
        <f>'2010'!AR44</f>
        <v>0</v>
      </c>
      <c r="Y8" s="53">
        <f>'2010'!AS44</f>
        <v>439488.11106293695</v>
      </c>
      <c r="Z8" s="53">
        <f>'2010'!AT44</f>
        <v>0</v>
      </c>
      <c r="AA8" s="23">
        <f>Y8</f>
        <v>439488.11106293695</v>
      </c>
      <c r="AB8" s="23">
        <f>'2010'!AU44</f>
        <v>69403.76070459303</v>
      </c>
      <c r="AC8" s="165">
        <f>'2010'!AV44</f>
        <v>-78037.53999999998</v>
      </c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1"/>
    </row>
    <row r="9" spans="1:37" ht="12.75">
      <c r="A9" s="167" t="s">
        <v>90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1"/>
      <c r="AE9" s="1"/>
      <c r="AF9" s="1"/>
      <c r="AG9" s="1"/>
      <c r="AH9" s="1"/>
      <c r="AI9" s="1"/>
      <c r="AJ9" s="1"/>
      <c r="AK9" s="1"/>
    </row>
    <row r="10" spans="1:41" ht="12.75">
      <c r="A10" s="11" t="s">
        <v>39</v>
      </c>
      <c r="B10" s="121">
        <v>2492.8</v>
      </c>
      <c r="C10" s="122">
        <f>B10*8.55</f>
        <v>21313.440000000002</v>
      </c>
      <c r="D10" s="123">
        <v>325.29640000000006</v>
      </c>
      <c r="E10" s="176">
        <v>13329.64</v>
      </c>
      <c r="F10" s="176">
        <v>6474</v>
      </c>
      <c r="G10" s="176">
        <v>2246.27</v>
      </c>
      <c r="H10" s="176"/>
      <c r="I10" s="177">
        <f>E10+F10+G10</f>
        <v>22049.91</v>
      </c>
      <c r="J10" s="126">
        <v>0</v>
      </c>
      <c r="K10" s="126">
        <v>6959.68</v>
      </c>
      <c r="L10" s="133">
        <v>1711.38</v>
      </c>
      <c r="M10" s="121">
        <f>SUM(J10:L10)</f>
        <v>8671.060000000001</v>
      </c>
      <c r="N10" s="178">
        <f aca="true" t="shared" si="0" ref="N10:N21">M10+D10</f>
        <v>8996.3564</v>
      </c>
      <c r="O10" s="178"/>
      <c r="P10" s="179">
        <f>0.67*B10</f>
        <v>1670.1760000000002</v>
      </c>
      <c r="Q10" s="179">
        <f>B10*0.2</f>
        <v>498.56000000000006</v>
      </c>
      <c r="R10" s="179">
        <f aca="true" t="shared" si="1" ref="R10:R21">(4.23*B10)</f>
        <v>10544.544000000002</v>
      </c>
      <c r="S10" s="180">
        <f>1669.38+2459.65+1349.93+0.01</f>
        <v>5478.970000000001</v>
      </c>
      <c r="T10" s="180"/>
      <c r="U10" s="180"/>
      <c r="V10" s="220"/>
      <c r="W10" s="181"/>
      <c r="X10" s="181">
        <f>W10*0.18</f>
        <v>0</v>
      </c>
      <c r="Y10" s="181">
        <f aca="true" t="shared" si="2" ref="Y10:Y21">SUM(P10:X10)</f>
        <v>18192.250000000004</v>
      </c>
      <c r="Z10" s="182"/>
      <c r="AA10" s="104">
        <f>Y10</f>
        <v>18192.250000000004</v>
      </c>
      <c r="AB10" s="107">
        <f>N10-AA10</f>
        <v>-9195.893600000003</v>
      </c>
      <c r="AC10" s="16">
        <f>M10-I10</f>
        <v>-13378.849999999999</v>
      </c>
      <c r="AD10" s="16"/>
      <c r="AE10" s="16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0" ht="12.75">
      <c r="A11" s="11" t="s">
        <v>40</v>
      </c>
      <c r="B11" s="183">
        <v>2492.8</v>
      </c>
      <c r="C11" s="122">
        <f>B11*8.55</f>
        <v>21313.440000000002</v>
      </c>
      <c r="D11" s="123">
        <v>325.29640000000006</v>
      </c>
      <c r="E11" s="184">
        <v>13329.48</v>
      </c>
      <c r="F11" s="185">
        <v>6473.92</v>
      </c>
      <c r="G11" s="186">
        <v>2246.24</v>
      </c>
      <c r="H11" s="218"/>
      <c r="I11" s="187">
        <f>E11+F11+G11</f>
        <v>22049.64</v>
      </c>
      <c r="J11" s="125">
        <v>8355.83</v>
      </c>
      <c r="K11" s="185">
        <v>5550.83</v>
      </c>
      <c r="L11" s="188">
        <v>1774.88</v>
      </c>
      <c r="M11" s="189">
        <f>SUM(J11:L11)</f>
        <v>15681.54</v>
      </c>
      <c r="N11" s="178">
        <f t="shared" si="0"/>
        <v>16006.8364</v>
      </c>
      <c r="O11" s="178"/>
      <c r="P11" s="179">
        <f aca="true" t="shared" si="3" ref="P11:P21">0.67*B11</f>
        <v>1670.1760000000002</v>
      </c>
      <c r="Q11" s="179">
        <f aca="true" t="shared" si="4" ref="Q11:Q21">B11*0.2</f>
        <v>498.56000000000006</v>
      </c>
      <c r="R11" s="179">
        <f t="shared" si="1"/>
        <v>10544.544000000002</v>
      </c>
      <c r="S11" s="179"/>
      <c r="T11" s="180">
        <v>3751</v>
      </c>
      <c r="U11" s="180"/>
      <c r="V11" s="180"/>
      <c r="W11" s="180"/>
      <c r="X11" s="181"/>
      <c r="Y11" s="181">
        <f t="shared" si="2"/>
        <v>16464.280000000002</v>
      </c>
      <c r="Z11" s="182"/>
      <c r="AA11" s="104">
        <f aca="true" t="shared" si="5" ref="AA11:AA21">Y11</f>
        <v>16464.280000000002</v>
      </c>
      <c r="AB11" s="107">
        <f aca="true" t="shared" si="6" ref="AB11:AB21">N11-AA11</f>
        <v>-457.44360000000233</v>
      </c>
      <c r="AC11" s="16">
        <f aca="true" t="shared" si="7" ref="AC11:AC21">M11-I11</f>
        <v>-6368.0999999999985</v>
      </c>
      <c r="AD11" s="3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33" ht="12.75">
      <c r="A12" s="11" t="s">
        <v>41</v>
      </c>
      <c r="B12" s="191">
        <v>2492.8</v>
      </c>
      <c r="C12" s="122">
        <f>B12*8.55</f>
        <v>21313.440000000002</v>
      </c>
      <c r="D12" s="123">
        <v>325.29640000000006</v>
      </c>
      <c r="E12" s="184">
        <v>13329.48</v>
      </c>
      <c r="F12" s="176">
        <v>6473.92</v>
      </c>
      <c r="G12" s="176">
        <v>2246.24</v>
      </c>
      <c r="H12" s="218"/>
      <c r="I12" s="192">
        <f>E12+F12+G12</f>
        <v>22049.64</v>
      </c>
      <c r="J12" s="193">
        <v>9770.06</v>
      </c>
      <c r="K12" s="193">
        <v>5853.82</v>
      </c>
      <c r="L12" s="193">
        <v>1918.82</v>
      </c>
      <c r="M12" s="121">
        <f>SUM(J12:L12)</f>
        <v>17542.7</v>
      </c>
      <c r="N12" s="178">
        <f t="shared" si="0"/>
        <v>17867.9964</v>
      </c>
      <c r="O12" s="178"/>
      <c r="P12" s="179">
        <f t="shared" si="3"/>
        <v>1670.1760000000002</v>
      </c>
      <c r="Q12" s="179">
        <f t="shared" si="4"/>
        <v>498.56000000000006</v>
      </c>
      <c r="R12" s="179">
        <f t="shared" si="1"/>
        <v>10544.544000000002</v>
      </c>
      <c r="S12" s="179"/>
      <c r="T12" s="179"/>
      <c r="U12" s="190"/>
      <c r="V12" s="190"/>
      <c r="W12" s="190"/>
      <c r="X12" s="180"/>
      <c r="Y12" s="181">
        <f t="shared" si="2"/>
        <v>12713.280000000002</v>
      </c>
      <c r="Z12" s="182"/>
      <c r="AA12" s="104">
        <f t="shared" si="5"/>
        <v>12713.280000000002</v>
      </c>
      <c r="AB12" s="107">
        <f t="shared" si="6"/>
        <v>5154.7163999999975</v>
      </c>
      <c r="AC12" s="16">
        <f t="shared" si="7"/>
        <v>-4506.939999999999</v>
      </c>
      <c r="AD12" s="1"/>
      <c r="AE12" s="1"/>
      <c r="AF12" s="1"/>
      <c r="AG12" s="1"/>
    </row>
    <row r="13" spans="1:41" ht="12.75">
      <c r="A13" s="11" t="s">
        <v>42</v>
      </c>
      <c r="B13" s="121">
        <v>2492.8</v>
      </c>
      <c r="C13" s="122">
        <f>B13*8.55</f>
        <v>21313.440000000002</v>
      </c>
      <c r="D13" s="194">
        <v>325.29640000000006</v>
      </c>
      <c r="E13" s="184">
        <v>13329.48</v>
      </c>
      <c r="F13" s="176">
        <v>6473.92</v>
      </c>
      <c r="G13" s="176">
        <v>2246.24</v>
      </c>
      <c r="H13" s="202"/>
      <c r="I13" s="195">
        <f>E13+F13+G13</f>
        <v>22049.64</v>
      </c>
      <c r="J13" s="126">
        <v>8636.87</v>
      </c>
      <c r="K13" s="126">
        <v>5830.24</v>
      </c>
      <c r="L13" s="133">
        <v>1857.66</v>
      </c>
      <c r="M13" s="196">
        <v>16324.77</v>
      </c>
      <c r="N13" s="197">
        <f t="shared" si="0"/>
        <v>16650.0664</v>
      </c>
      <c r="O13" s="197"/>
      <c r="P13" s="198">
        <f t="shared" si="3"/>
        <v>1670.1760000000002</v>
      </c>
      <c r="Q13" s="198">
        <f t="shared" si="4"/>
        <v>498.56000000000006</v>
      </c>
      <c r="R13" s="198">
        <f t="shared" si="1"/>
        <v>10544.544000000002</v>
      </c>
      <c r="S13" s="199"/>
      <c r="T13" s="199"/>
      <c r="U13" s="199"/>
      <c r="V13" s="221"/>
      <c r="W13" s="200"/>
      <c r="X13" s="200">
        <f aca="true" t="shared" si="8" ref="X13:X21">W13*0.18</f>
        <v>0</v>
      </c>
      <c r="Y13" s="200">
        <f t="shared" si="2"/>
        <v>12713.280000000002</v>
      </c>
      <c r="Z13" s="201"/>
      <c r="AA13" s="104">
        <f t="shared" si="5"/>
        <v>12713.280000000002</v>
      </c>
      <c r="AB13" s="107">
        <f t="shared" si="6"/>
        <v>3936.7863999999972</v>
      </c>
      <c r="AC13" s="16">
        <f t="shared" si="7"/>
        <v>-5724.869999999999</v>
      </c>
      <c r="AD13" s="16"/>
      <c r="AE13" s="16"/>
      <c r="AF13" s="3"/>
      <c r="AG13" s="3"/>
      <c r="AH13" s="1"/>
      <c r="AI13" s="1"/>
      <c r="AJ13" s="1"/>
      <c r="AK13" s="1"/>
      <c r="AL13" s="1"/>
      <c r="AM13" s="1"/>
      <c r="AN13" s="1"/>
      <c r="AO13" s="1"/>
    </row>
    <row r="14" spans="1:41" ht="12.75">
      <c r="A14" s="11" t="s">
        <v>43</v>
      </c>
      <c r="B14" s="121">
        <v>2492.8</v>
      </c>
      <c r="C14" s="122">
        <f>B14*8.55</f>
        <v>21313.440000000002</v>
      </c>
      <c r="D14" s="194">
        <v>325.29640000000006</v>
      </c>
      <c r="E14" s="176">
        <v>13308.84</v>
      </c>
      <c r="F14" s="176">
        <v>6463.75</v>
      </c>
      <c r="G14" s="202">
        <v>2242.61</v>
      </c>
      <c r="H14" s="218"/>
      <c r="I14" s="203">
        <f>SUM(E14:G14)</f>
        <v>22015.2</v>
      </c>
      <c r="J14" s="126">
        <v>14108.79</v>
      </c>
      <c r="K14" s="126">
        <v>8203.82</v>
      </c>
      <c r="L14" s="133">
        <v>2710.21</v>
      </c>
      <c r="M14" s="204">
        <f>SUM(J14:L14)</f>
        <v>25022.82</v>
      </c>
      <c r="N14" s="205">
        <f t="shared" si="0"/>
        <v>25348.1164</v>
      </c>
      <c r="O14" s="197"/>
      <c r="P14" s="198">
        <f t="shared" si="3"/>
        <v>1670.1760000000002</v>
      </c>
      <c r="Q14" s="198">
        <f t="shared" si="4"/>
        <v>498.56000000000006</v>
      </c>
      <c r="R14" s="198">
        <f t="shared" si="1"/>
        <v>10544.544000000002</v>
      </c>
      <c r="S14" s="199"/>
      <c r="T14" s="199"/>
      <c r="U14" s="199"/>
      <c r="V14" s="221"/>
      <c r="W14" s="200"/>
      <c r="X14" s="200">
        <f t="shared" si="8"/>
        <v>0</v>
      </c>
      <c r="Y14" s="200">
        <f t="shared" si="2"/>
        <v>12713.280000000002</v>
      </c>
      <c r="Z14" s="201"/>
      <c r="AA14" s="104">
        <f t="shared" si="5"/>
        <v>12713.280000000002</v>
      </c>
      <c r="AB14" s="107">
        <f t="shared" si="6"/>
        <v>12634.836399999997</v>
      </c>
      <c r="AC14" s="16">
        <f t="shared" si="7"/>
        <v>3007.619999999999</v>
      </c>
      <c r="AD14" s="16"/>
      <c r="AE14" s="16"/>
      <c r="AF14" s="3"/>
      <c r="AG14" s="3"/>
      <c r="AH14" s="1"/>
      <c r="AI14" s="1"/>
      <c r="AJ14" s="1"/>
      <c r="AK14" s="1"/>
      <c r="AL14" s="1"/>
      <c r="AM14" s="1"/>
      <c r="AN14" s="1"/>
      <c r="AO14" s="1"/>
    </row>
    <row r="15" spans="1:41" ht="12.75">
      <c r="A15" s="32" t="s">
        <v>44</v>
      </c>
      <c r="B15" s="206">
        <v>2492.8</v>
      </c>
      <c r="C15" s="122">
        <f aca="true" t="shared" si="9" ref="C15:C21">B15*8.55</f>
        <v>21313.440000000002</v>
      </c>
      <c r="D15" s="161">
        <v>325.29639999999995</v>
      </c>
      <c r="E15" s="176">
        <v>13307.93</v>
      </c>
      <c r="F15" s="176">
        <v>6463.32</v>
      </c>
      <c r="G15" s="202">
        <v>2242.45</v>
      </c>
      <c r="H15" s="218"/>
      <c r="I15" s="207">
        <f aca="true" t="shared" si="10" ref="I15:I21">SUM(E15:G15)</f>
        <v>22013.7</v>
      </c>
      <c r="J15" s="208">
        <v>8786.99</v>
      </c>
      <c r="K15" s="208">
        <v>4959.43</v>
      </c>
      <c r="L15" s="209">
        <v>1650.96</v>
      </c>
      <c r="M15" s="210">
        <v>15397.38</v>
      </c>
      <c r="N15" s="197">
        <f t="shared" si="0"/>
        <v>15722.676399999998</v>
      </c>
      <c r="O15" s="197"/>
      <c r="P15" s="198">
        <f t="shared" si="3"/>
        <v>1670.1760000000002</v>
      </c>
      <c r="Q15" s="198">
        <f t="shared" si="4"/>
        <v>498.56000000000006</v>
      </c>
      <c r="R15" s="198">
        <f t="shared" si="1"/>
        <v>10544.544000000002</v>
      </c>
      <c r="S15" s="199"/>
      <c r="T15" s="199"/>
      <c r="U15" s="199"/>
      <c r="V15" s="199"/>
      <c r="W15" s="198"/>
      <c r="X15" s="200">
        <f t="shared" si="8"/>
        <v>0</v>
      </c>
      <c r="Y15" s="211">
        <f t="shared" si="2"/>
        <v>12713.280000000002</v>
      </c>
      <c r="Z15" s="201"/>
      <c r="AA15" s="104">
        <f t="shared" si="5"/>
        <v>12713.280000000002</v>
      </c>
      <c r="AB15" s="107">
        <f t="shared" si="6"/>
        <v>3009.396399999996</v>
      </c>
      <c r="AC15" s="16">
        <f t="shared" si="7"/>
        <v>-6616.3200000000015</v>
      </c>
      <c r="AD15" s="170"/>
      <c r="AE15" s="170"/>
      <c r="AF15" s="3"/>
      <c r="AG15" s="3"/>
      <c r="AH15" s="1"/>
      <c r="AI15" s="1"/>
      <c r="AJ15" s="1"/>
      <c r="AK15" s="1"/>
      <c r="AL15" s="1"/>
      <c r="AM15" s="1"/>
      <c r="AN15" s="1"/>
      <c r="AO15" s="1"/>
    </row>
    <row r="16" spans="1:41" ht="12.75">
      <c r="A16" s="11" t="s">
        <v>45</v>
      </c>
      <c r="B16" s="121">
        <v>2492.8</v>
      </c>
      <c r="C16" s="122">
        <f t="shared" si="9"/>
        <v>21313.440000000002</v>
      </c>
      <c r="D16" s="161">
        <v>325.29639999999995</v>
      </c>
      <c r="E16" s="212">
        <v>11067.73</v>
      </c>
      <c r="F16" s="212">
        <v>5375.28</v>
      </c>
      <c r="G16" s="213">
        <v>1864.93</v>
      </c>
      <c r="H16" s="219"/>
      <c r="I16" s="207">
        <f t="shared" si="10"/>
        <v>18307.94</v>
      </c>
      <c r="J16" s="126">
        <v>12664.36</v>
      </c>
      <c r="K16" s="126">
        <v>8363.29</v>
      </c>
      <c r="L16" s="126">
        <v>2677.72</v>
      </c>
      <c r="M16" s="214">
        <f aca="true" t="shared" si="11" ref="M16:M21">SUM(J16:L16)</f>
        <v>23705.370000000003</v>
      </c>
      <c r="N16" s="215">
        <f t="shared" si="0"/>
        <v>24030.666400000002</v>
      </c>
      <c r="O16" s="197"/>
      <c r="P16" s="198">
        <f t="shared" si="3"/>
        <v>1670.1760000000002</v>
      </c>
      <c r="Q16" s="198">
        <f t="shared" si="4"/>
        <v>498.56000000000006</v>
      </c>
      <c r="R16" s="198">
        <f t="shared" si="1"/>
        <v>10544.544000000002</v>
      </c>
      <c r="S16" s="199"/>
      <c r="T16" s="199"/>
      <c r="U16" s="199"/>
      <c r="V16" s="199"/>
      <c r="W16" s="198"/>
      <c r="X16" s="200">
        <f t="shared" si="8"/>
        <v>0</v>
      </c>
      <c r="Y16" s="200">
        <f t="shared" si="2"/>
        <v>12713.280000000002</v>
      </c>
      <c r="Z16" s="201"/>
      <c r="AA16" s="104">
        <f t="shared" si="5"/>
        <v>12713.280000000002</v>
      </c>
      <c r="AB16" s="107">
        <f t="shared" si="6"/>
        <v>11317.3864</v>
      </c>
      <c r="AC16" s="16">
        <f t="shared" si="7"/>
        <v>5397.430000000004</v>
      </c>
      <c r="AD16" s="174"/>
      <c r="AE16" s="175"/>
      <c r="AF16" s="3"/>
      <c r="AG16" s="3"/>
      <c r="AH16" s="1"/>
      <c r="AI16" s="1"/>
      <c r="AJ16" s="1"/>
      <c r="AK16" s="1"/>
      <c r="AL16" s="1"/>
      <c r="AM16" s="1"/>
      <c r="AN16" s="1"/>
      <c r="AO16" s="1"/>
    </row>
    <row r="17" spans="1:41" ht="12.75">
      <c r="A17" s="11" t="s">
        <v>46</v>
      </c>
      <c r="B17" s="216">
        <v>2492.4</v>
      </c>
      <c r="C17" s="122">
        <f t="shared" si="9"/>
        <v>21310.020000000004</v>
      </c>
      <c r="D17" s="161">
        <v>325.29639999999995</v>
      </c>
      <c r="E17" s="176">
        <v>13343.08</v>
      </c>
      <c r="F17" s="176">
        <v>6480.56</v>
      </c>
      <c r="G17" s="176">
        <v>2248.63</v>
      </c>
      <c r="H17" s="218"/>
      <c r="I17" s="207">
        <f t="shared" si="10"/>
        <v>22072.27</v>
      </c>
      <c r="J17" s="126">
        <v>10007.79</v>
      </c>
      <c r="K17" s="126">
        <v>5669.75</v>
      </c>
      <c r="L17" s="126">
        <v>1884.91</v>
      </c>
      <c r="M17" s="214">
        <f t="shared" si="11"/>
        <v>17562.45</v>
      </c>
      <c r="N17" s="215">
        <f t="shared" si="0"/>
        <v>17887.7464</v>
      </c>
      <c r="O17" s="197"/>
      <c r="P17" s="198">
        <f t="shared" si="3"/>
        <v>1669.9080000000001</v>
      </c>
      <c r="Q17" s="198">
        <f t="shared" si="4"/>
        <v>498.48</v>
      </c>
      <c r="R17" s="198">
        <f t="shared" si="1"/>
        <v>10542.852</v>
      </c>
      <c r="S17" s="199"/>
      <c r="T17" s="199"/>
      <c r="U17" s="199"/>
      <c r="V17" s="199"/>
      <c r="W17" s="198"/>
      <c r="X17" s="200">
        <f t="shared" si="8"/>
        <v>0</v>
      </c>
      <c r="Y17" s="200">
        <f t="shared" si="2"/>
        <v>12711.240000000002</v>
      </c>
      <c r="Z17" s="201"/>
      <c r="AA17" s="104">
        <f t="shared" si="5"/>
        <v>12711.240000000002</v>
      </c>
      <c r="AB17" s="107">
        <f t="shared" si="6"/>
        <v>5176.506399999998</v>
      </c>
      <c r="AC17" s="16">
        <f t="shared" si="7"/>
        <v>-4509.82</v>
      </c>
      <c r="AD17" s="174"/>
      <c r="AE17" s="175"/>
      <c r="AF17" s="3"/>
      <c r="AG17" s="3"/>
      <c r="AH17" s="1"/>
      <c r="AI17" s="1"/>
      <c r="AJ17" s="1"/>
      <c r="AK17" s="1"/>
      <c r="AL17" s="1"/>
      <c r="AM17" s="1"/>
      <c r="AN17" s="1"/>
      <c r="AO17" s="1"/>
    </row>
    <row r="18" spans="1:41" ht="12.75">
      <c r="A18" s="11" t="s">
        <v>47</v>
      </c>
      <c r="B18" s="121">
        <v>2492.4</v>
      </c>
      <c r="C18" s="122">
        <f t="shared" si="9"/>
        <v>21310.020000000004</v>
      </c>
      <c r="D18" s="161">
        <v>325.29639999999995</v>
      </c>
      <c r="E18" s="176">
        <v>13170.83</v>
      </c>
      <c r="F18" s="176">
        <v>6396.92</v>
      </c>
      <c r="G18" s="176">
        <v>2219.56</v>
      </c>
      <c r="H18" s="218"/>
      <c r="I18" s="207">
        <f t="shared" si="10"/>
        <v>21787.31</v>
      </c>
      <c r="J18" s="126">
        <v>12954.75</v>
      </c>
      <c r="K18" s="126">
        <v>6763.78</v>
      </c>
      <c r="L18" s="126">
        <v>2300.58</v>
      </c>
      <c r="M18" s="214">
        <f t="shared" si="11"/>
        <v>22019.11</v>
      </c>
      <c r="N18" s="215">
        <f t="shared" si="0"/>
        <v>22344.4064</v>
      </c>
      <c r="O18" s="197"/>
      <c r="P18" s="198">
        <f t="shared" si="3"/>
        <v>1669.9080000000001</v>
      </c>
      <c r="Q18" s="198">
        <f t="shared" si="4"/>
        <v>498.48</v>
      </c>
      <c r="R18" s="198">
        <f t="shared" si="1"/>
        <v>10542.852</v>
      </c>
      <c r="S18" s="199"/>
      <c r="T18" s="199"/>
      <c r="U18" s="199"/>
      <c r="V18" s="199"/>
      <c r="W18" s="198"/>
      <c r="X18" s="200">
        <f t="shared" si="8"/>
        <v>0</v>
      </c>
      <c r="Y18" s="200">
        <f t="shared" si="2"/>
        <v>12711.240000000002</v>
      </c>
      <c r="Z18" s="201"/>
      <c r="AA18" s="104">
        <f t="shared" si="5"/>
        <v>12711.240000000002</v>
      </c>
      <c r="AB18" s="107">
        <f t="shared" si="6"/>
        <v>9633.166399999998</v>
      </c>
      <c r="AC18" s="16">
        <f t="shared" si="7"/>
        <v>231.79999999999927</v>
      </c>
      <c r="AD18" s="174"/>
      <c r="AE18" s="175"/>
      <c r="AF18" s="3"/>
      <c r="AG18" s="3"/>
      <c r="AH18" s="1"/>
      <c r="AI18" s="1"/>
      <c r="AJ18" s="1"/>
      <c r="AK18" s="1"/>
      <c r="AL18" s="1"/>
      <c r="AM18" s="1"/>
      <c r="AN18" s="1"/>
      <c r="AO18" s="1"/>
    </row>
    <row r="19" spans="1:41" ht="12.75">
      <c r="A19" s="11" t="s">
        <v>35</v>
      </c>
      <c r="B19" s="121">
        <v>2492.4</v>
      </c>
      <c r="C19" s="122">
        <f t="shared" si="9"/>
        <v>21310.020000000004</v>
      </c>
      <c r="D19" s="161">
        <v>325.29639999999995</v>
      </c>
      <c r="E19" s="176">
        <v>13332.43</v>
      </c>
      <c r="F19" s="176">
        <v>6475.38</v>
      </c>
      <c r="G19" s="186">
        <v>2246.77</v>
      </c>
      <c r="H19" s="192"/>
      <c r="I19" s="207">
        <f t="shared" si="10"/>
        <v>22054.58</v>
      </c>
      <c r="J19" s="193">
        <v>11525.31</v>
      </c>
      <c r="K19" s="193">
        <v>5890.68</v>
      </c>
      <c r="L19" s="191">
        <v>2013.86</v>
      </c>
      <c r="M19" s="214">
        <f t="shared" si="11"/>
        <v>19429.85</v>
      </c>
      <c r="N19" s="215">
        <f t="shared" si="0"/>
        <v>19755.146399999998</v>
      </c>
      <c r="O19" s="197"/>
      <c r="P19" s="198">
        <f t="shared" si="3"/>
        <v>1669.9080000000001</v>
      </c>
      <c r="Q19" s="198">
        <f t="shared" si="4"/>
        <v>498.48</v>
      </c>
      <c r="R19" s="198">
        <f t="shared" si="1"/>
        <v>10542.852</v>
      </c>
      <c r="S19" s="199"/>
      <c r="T19" s="199">
        <v>10000</v>
      </c>
      <c r="V19" s="199"/>
      <c r="W19" s="198"/>
      <c r="X19" s="200">
        <f t="shared" si="8"/>
        <v>0</v>
      </c>
      <c r="Y19" s="200">
        <f t="shared" si="2"/>
        <v>22711.24</v>
      </c>
      <c r="Z19" s="201"/>
      <c r="AA19" s="104">
        <f t="shared" si="5"/>
        <v>22711.24</v>
      </c>
      <c r="AB19" s="107">
        <f t="shared" si="6"/>
        <v>-2956.093600000004</v>
      </c>
      <c r="AC19" s="16">
        <f t="shared" si="7"/>
        <v>-2624.730000000003</v>
      </c>
      <c r="AD19" s="174"/>
      <c r="AE19" s="175"/>
      <c r="AF19" s="3"/>
      <c r="AG19" s="3"/>
      <c r="AH19" s="1"/>
      <c r="AI19" s="1"/>
      <c r="AJ19" s="1"/>
      <c r="AK19" s="1"/>
      <c r="AL19" s="1"/>
      <c r="AM19" s="1"/>
      <c r="AN19" s="1"/>
      <c r="AO19" s="1"/>
    </row>
    <row r="20" spans="1:41" ht="12.75">
      <c r="A20" s="11" t="s">
        <v>36</v>
      </c>
      <c r="B20" s="121">
        <v>2492.4</v>
      </c>
      <c r="C20" s="122">
        <f t="shared" si="9"/>
        <v>21310.020000000004</v>
      </c>
      <c r="D20" s="161">
        <v>325.29639999999995</v>
      </c>
      <c r="E20" s="176">
        <v>13331.33</v>
      </c>
      <c r="F20" s="176">
        <v>6474.84</v>
      </c>
      <c r="G20" s="176">
        <v>2246.58</v>
      </c>
      <c r="H20" s="218"/>
      <c r="I20" s="207">
        <f t="shared" si="10"/>
        <v>22052.75</v>
      </c>
      <c r="J20" s="193">
        <v>11080.5</v>
      </c>
      <c r="K20" s="193">
        <v>5500.16</v>
      </c>
      <c r="L20" s="193">
        <v>1896.77</v>
      </c>
      <c r="M20" s="214">
        <f t="shared" si="11"/>
        <v>18477.43</v>
      </c>
      <c r="N20" s="215">
        <f t="shared" si="0"/>
        <v>18802.7264</v>
      </c>
      <c r="O20" s="197"/>
      <c r="P20" s="198">
        <f t="shared" si="3"/>
        <v>1669.9080000000001</v>
      </c>
      <c r="Q20" s="198">
        <f t="shared" si="4"/>
        <v>498.48</v>
      </c>
      <c r="R20" s="198">
        <f t="shared" si="1"/>
        <v>10542.852</v>
      </c>
      <c r="S20" s="199"/>
      <c r="T20" s="199"/>
      <c r="U20" s="199"/>
      <c r="V20" s="199"/>
      <c r="W20" s="198"/>
      <c r="X20" s="200">
        <f t="shared" si="8"/>
        <v>0</v>
      </c>
      <c r="Y20" s="200">
        <f t="shared" si="2"/>
        <v>12711.240000000002</v>
      </c>
      <c r="Z20" s="201"/>
      <c r="AA20" s="104">
        <f t="shared" si="5"/>
        <v>12711.240000000002</v>
      </c>
      <c r="AB20" s="107">
        <f t="shared" si="6"/>
        <v>6091.486399999998</v>
      </c>
      <c r="AC20" s="16">
        <f t="shared" si="7"/>
        <v>-3575.3199999999997</v>
      </c>
      <c r="AD20" s="174"/>
      <c r="AE20" s="175"/>
      <c r="AF20" s="3"/>
      <c r="AG20" s="3"/>
      <c r="AH20" s="1"/>
      <c r="AI20" s="1"/>
      <c r="AJ20" s="1"/>
      <c r="AK20" s="1"/>
      <c r="AL20" s="1"/>
      <c r="AM20" s="1"/>
      <c r="AN20" s="1"/>
      <c r="AO20" s="1"/>
    </row>
    <row r="21" spans="1:41" ht="13.5" thickBot="1">
      <c r="A21" s="32" t="s">
        <v>37</v>
      </c>
      <c r="B21" s="121">
        <v>2492.4</v>
      </c>
      <c r="C21" s="122">
        <f t="shared" si="9"/>
        <v>21310.020000000004</v>
      </c>
      <c r="D21" s="161">
        <v>325.29639999999995</v>
      </c>
      <c r="E21" s="212">
        <v>13322.15</v>
      </c>
      <c r="F21" s="212">
        <v>6470.33</v>
      </c>
      <c r="G21" s="212">
        <v>2244.95</v>
      </c>
      <c r="H21" s="219"/>
      <c r="I21" s="207">
        <f t="shared" si="10"/>
        <v>22037.43</v>
      </c>
      <c r="J21" s="208">
        <v>14293.15</v>
      </c>
      <c r="K21" s="208">
        <v>7283.68</v>
      </c>
      <c r="L21" s="206">
        <v>2491.98</v>
      </c>
      <c r="M21" s="214">
        <f t="shared" si="11"/>
        <v>24068.81</v>
      </c>
      <c r="N21" s="215">
        <f t="shared" si="0"/>
        <v>24394.1064</v>
      </c>
      <c r="O21" s="197"/>
      <c r="P21" s="198">
        <f t="shared" si="3"/>
        <v>1669.9080000000001</v>
      </c>
      <c r="Q21" s="198">
        <f t="shared" si="4"/>
        <v>498.48</v>
      </c>
      <c r="R21" s="198">
        <f t="shared" si="1"/>
        <v>10542.852</v>
      </c>
      <c r="S21" s="199"/>
      <c r="T21" s="199"/>
      <c r="U21" s="217"/>
      <c r="V21" s="217"/>
      <c r="W21" s="198"/>
      <c r="X21" s="200">
        <f t="shared" si="8"/>
        <v>0</v>
      </c>
      <c r="Y21" s="200">
        <f t="shared" si="2"/>
        <v>12711.240000000002</v>
      </c>
      <c r="Z21" s="201"/>
      <c r="AA21" s="104">
        <f t="shared" si="5"/>
        <v>12711.240000000002</v>
      </c>
      <c r="AB21" s="107">
        <f t="shared" si="6"/>
        <v>11682.866399999999</v>
      </c>
      <c r="AC21" s="16">
        <f t="shared" si="7"/>
        <v>2031.380000000001</v>
      </c>
      <c r="AD21" s="174"/>
      <c r="AE21" s="175"/>
      <c r="AF21" s="3"/>
      <c r="AG21" s="3"/>
      <c r="AH21" s="1"/>
      <c r="AI21" s="1"/>
      <c r="AJ21" s="1"/>
      <c r="AK21" s="1"/>
      <c r="AL21" s="1"/>
      <c r="AM21" s="1"/>
      <c r="AN21" s="1"/>
      <c r="AO21" s="1"/>
    </row>
    <row r="22" spans="1:37" ht="13.5" thickBot="1">
      <c r="A22" s="168" t="s">
        <v>5</v>
      </c>
      <c r="B22" s="162"/>
      <c r="C22" s="160">
        <f aca="true" t="shared" si="12" ref="C22:AB22">SUM(C10:C21)</f>
        <v>255744.1800000001</v>
      </c>
      <c r="D22" s="160">
        <f t="shared" si="12"/>
        <v>3903.556800000001</v>
      </c>
      <c r="E22" s="160">
        <f t="shared" si="12"/>
        <v>157502.4</v>
      </c>
      <c r="F22" s="160">
        <f t="shared" si="12"/>
        <v>76496.14</v>
      </c>
      <c r="G22" s="160">
        <f t="shared" si="12"/>
        <v>26541.470000000005</v>
      </c>
      <c r="H22" s="160">
        <f t="shared" si="12"/>
        <v>0</v>
      </c>
      <c r="I22" s="160">
        <f t="shared" si="12"/>
        <v>260540.01</v>
      </c>
      <c r="J22" s="160">
        <f t="shared" si="12"/>
        <v>122184.4</v>
      </c>
      <c r="K22" s="160">
        <f t="shared" si="12"/>
        <v>76829.16</v>
      </c>
      <c r="L22" s="160">
        <f t="shared" si="12"/>
        <v>24889.73</v>
      </c>
      <c r="M22" s="160">
        <f t="shared" si="12"/>
        <v>223903.29</v>
      </c>
      <c r="N22" s="160">
        <f t="shared" si="12"/>
        <v>227806.8468</v>
      </c>
      <c r="O22" s="160">
        <f t="shared" si="12"/>
        <v>0</v>
      </c>
      <c r="P22" s="160">
        <f t="shared" si="12"/>
        <v>20040.771999999997</v>
      </c>
      <c r="Q22" s="160">
        <f t="shared" si="12"/>
        <v>5982.32</v>
      </c>
      <c r="R22" s="160">
        <f t="shared" si="12"/>
        <v>126526.06800000001</v>
      </c>
      <c r="S22" s="160">
        <f t="shared" si="12"/>
        <v>5478.970000000001</v>
      </c>
      <c r="T22" s="160">
        <f t="shared" si="12"/>
        <v>13751</v>
      </c>
      <c r="U22" s="160">
        <f t="shared" si="12"/>
        <v>0</v>
      </c>
      <c r="V22" s="160">
        <f t="shared" si="12"/>
        <v>0</v>
      </c>
      <c r="W22" s="160">
        <f t="shared" si="12"/>
        <v>0</v>
      </c>
      <c r="X22" s="160">
        <f t="shared" si="12"/>
        <v>0</v>
      </c>
      <c r="Y22" s="160">
        <f t="shared" si="12"/>
        <v>171779.13</v>
      </c>
      <c r="Z22" s="160">
        <f t="shared" si="12"/>
        <v>0</v>
      </c>
      <c r="AA22" s="160">
        <f t="shared" si="12"/>
        <v>171779.13</v>
      </c>
      <c r="AB22" s="160">
        <f t="shared" si="12"/>
        <v>56027.716799999966</v>
      </c>
      <c r="AC22" s="160">
        <f>SUM(AC10:AC21)</f>
        <v>-36636.72</v>
      </c>
      <c r="AD22" s="1"/>
      <c r="AE22" s="1"/>
      <c r="AF22" s="1"/>
      <c r="AG22" s="1"/>
      <c r="AH22" s="1"/>
      <c r="AI22" s="1"/>
      <c r="AJ22" s="1"/>
      <c r="AK22" s="1"/>
    </row>
    <row r="23" spans="1:37" ht="13.5" thickBot="1">
      <c r="A23" s="159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"/>
      <c r="AE23" s="1"/>
      <c r="AF23" s="1"/>
      <c r="AG23" s="1"/>
      <c r="AH23" s="1"/>
      <c r="AI23" s="1"/>
      <c r="AJ23" s="1"/>
      <c r="AK23" s="1"/>
    </row>
    <row r="24" spans="1:37" ht="13.5" thickBot="1">
      <c r="A24" s="168" t="s">
        <v>95</v>
      </c>
      <c r="B24" s="162"/>
      <c r="C24" s="162"/>
      <c r="D24" s="169">
        <f aca="true" t="shared" si="13" ref="D24:AA24">D22+D8</f>
        <v>58384.36856753002</v>
      </c>
      <c r="E24" s="169">
        <f t="shared" si="13"/>
        <v>402417.65</v>
      </c>
      <c r="F24" s="169">
        <f t="shared" si="13"/>
        <v>249527.39</v>
      </c>
      <c r="G24" s="169">
        <f t="shared" si="13"/>
        <v>69098.76000000001</v>
      </c>
      <c r="H24" s="169">
        <f t="shared" si="13"/>
        <v>71944.81</v>
      </c>
      <c r="I24" s="169">
        <f t="shared" si="13"/>
        <v>721043.8</v>
      </c>
      <c r="J24" s="169">
        <f t="shared" si="13"/>
        <v>325582.45999999996</v>
      </c>
      <c r="K24" s="169">
        <f t="shared" si="13"/>
        <v>220439.27</v>
      </c>
      <c r="L24" s="169">
        <f t="shared" si="13"/>
        <v>60347.81</v>
      </c>
      <c r="M24" s="169">
        <f t="shared" si="13"/>
        <v>606369.54</v>
      </c>
      <c r="N24" s="169">
        <f t="shared" si="13"/>
        <v>736698.71856753</v>
      </c>
      <c r="O24" s="169">
        <f t="shared" si="13"/>
        <v>0</v>
      </c>
      <c r="P24" s="169">
        <f t="shared" si="13"/>
        <v>59835.352</v>
      </c>
      <c r="Q24" s="169">
        <f t="shared" si="13"/>
        <v>19317.337142</v>
      </c>
      <c r="R24" s="169">
        <f t="shared" si="13"/>
        <v>401917.260920937</v>
      </c>
      <c r="S24" s="169">
        <f t="shared" si="13"/>
        <v>81888.44</v>
      </c>
      <c r="T24" s="169">
        <f t="shared" si="13"/>
        <v>28516.6</v>
      </c>
      <c r="U24" s="169">
        <f t="shared" si="13"/>
        <v>6320.331</v>
      </c>
      <c r="V24" s="169">
        <f t="shared" si="13"/>
        <v>13471.92</v>
      </c>
      <c r="W24" s="169">
        <f t="shared" si="13"/>
        <v>0</v>
      </c>
      <c r="X24" s="169">
        <f t="shared" si="13"/>
        <v>0</v>
      </c>
      <c r="Y24" s="169">
        <f t="shared" si="13"/>
        <v>611267.241062937</v>
      </c>
      <c r="Z24" s="169">
        <f t="shared" si="13"/>
        <v>0</v>
      </c>
      <c r="AA24" s="169">
        <f t="shared" si="13"/>
        <v>611267.241062937</v>
      </c>
      <c r="AB24" s="169">
        <f>AB22+AB8</f>
        <v>125431.477504593</v>
      </c>
      <c r="AC24" s="160">
        <f>AC22+AC8</f>
        <v>-114674.25999999998</v>
      </c>
      <c r="AD24" s="1"/>
      <c r="AE24" s="1"/>
      <c r="AF24" s="1"/>
      <c r="AG24" s="1"/>
      <c r="AH24" s="1"/>
      <c r="AI24" s="1"/>
      <c r="AJ24" s="1"/>
      <c r="AK24" s="1"/>
    </row>
    <row r="25" spans="1:37" ht="12.75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"/>
      <c r="AE25" s="1"/>
      <c r="AF25" s="1"/>
      <c r="AG25" s="1"/>
      <c r="AH25" s="1"/>
      <c r="AI25" s="1"/>
      <c r="AJ25" s="1"/>
      <c r="AK25" s="1"/>
    </row>
    <row r="26" spans="1:3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2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</sheetData>
  <sheetProtection/>
  <mergeCells count="34">
    <mergeCell ref="N4:N7"/>
    <mergeCell ref="P4:Y5"/>
    <mergeCell ref="P6:P7"/>
    <mergeCell ref="Q6:Q7"/>
    <mergeCell ref="E4:G5"/>
    <mergeCell ref="I4:I7"/>
    <mergeCell ref="J4:L5"/>
    <mergeCell ref="AB4:AB7"/>
    <mergeCell ref="Z5:Z7"/>
    <mergeCell ref="AA5:AA7"/>
    <mergeCell ref="T6:T7"/>
    <mergeCell ref="U6:U7"/>
    <mergeCell ref="W6:W7"/>
    <mergeCell ref="V6:V7"/>
    <mergeCell ref="G6:G7"/>
    <mergeCell ref="J6:J7"/>
    <mergeCell ref="A1:O1"/>
    <mergeCell ref="O4:O7"/>
    <mergeCell ref="L6:L7"/>
    <mergeCell ref="Z4:AA4"/>
    <mergeCell ref="M4:M7"/>
    <mergeCell ref="R6:R7"/>
    <mergeCell ref="A4:A7"/>
    <mergeCell ref="H4:H7"/>
    <mergeCell ref="AC4:AC7"/>
    <mergeCell ref="B4:B7"/>
    <mergeCell ref="C4:C7"/>
    <mergeCell ref="D4:D7"/>
    <mergeCell ref="X6:X7"/>
    <mergeCell ref="Y6:Y7"/>
    <mergeCell ref="S6:S7"/>
    <mergeCell ref="E6:E7"/>
    <mergeCell ref="F6:F7"/>
    <mergeCell ref="K6:K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4"/>
  <sheetViews>
    <sheetView zoomScalePageLayoutView="0" workbookViewId="0" topLeftCell="A1">
      <pane xSplit="2" ySplit="7" topLeftCell="AH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M37" sqref="AM37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9.25390625" style="2" bestFit="1" customWidth="1"/>
    <col min="25" max="25" width="10.25390625" style="2" customWidth="1"/>
    <col min="26" max="30" width="9.25390625" style="2" bestFit="1" customWidth="1"/>
    <col min="31" max="31" width="10.125" style="2" bestFit="1" customWidth="1"/>
    <col min="32" max="34" width="9.25390625" style="2" bestFit="1" customWidth="1"/>
    <col min="35" max="36" width="9.25390625" style="2" customWidth="1"/>
    <col min="37" max="37" width="10.125" style="2" bestFit="1" customWidth="1"/>
    <col min="38" max="38" width="10.125" style="2" customWidth="1"/>
    <col min="39" max="39" width="9.25390625" style="2" bestFit="1" customWidth="1"/>
    <col min="40" max="41" width="9.25390625" style="2" customWidth="1"/>
    <col min="42" max="42" width="10.625" style="2" customWidth="1"/>
    <col min="43" max="44" width="10.125" style="2" bestFit="1" customWidth="1"/>
    <col min="45" max="46" width="10.375" style="2" customWidth="1"/>
    <col min="47" max="47" width="10.75390625" style="2" customWidth="1"/>
    <col min="48" max="48" width="14.00390625" style="2" customWidth="1"/>
    <col min="49" max="16384" width="9.125" style="2" customWidth="1"/>
  </cols>
  <sheetData>
    <row r="1" spans="1:14" ht="21" customHeight="1">
      <c r="A1" s="242" t="s">
        <v>82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8" ht="13.5" customHeight="1">
      <c r="A3" s="254" t="s">
        <v>0</v>
      </c>
      <c r="B3" s="282" t="s">
        <v>1</v>
      </c>
      <c r="C3" s="282" t="s">
        <v>2</v>
      </c>
      <c r="D3" s="282" t="s">
        <v>3</v>
      </c>
      <c r="E3" s="285" t="s">
        <v>4</v>
      </c>
      <c r="F3" s="285"/>
      <c r="G3" s="285"/>
      <c r="H3" s="285"/>
      <c r="I3" s="285"/>
      <c r="J3" s="285"/>
      <c r="K3" s="285"/>
      <c r="L3" s="285"/>
      <c r="M3" s="285"/>
      <c r="N3" s="285"/>
      <c r="O3" s="301" t="s">
        <v>5</v>
      </c>
      <c r="P3" s="301"/>
      <c r="Q3" s="302" t="s">
        <v>6</v>
      </c>
      <c r="R3" s="302"/>
      <c r="S3" s="302"/>
      <c r="T3" s="302"/>
      <c r="U3" s="302"/>
      <c r="V3" s="302"/>
      <c r="W3" s="261" t="s">
        <v>79</v>
      </c>
      <c r="X3" s="308" t="s">
        <v>67</v>
      </c>
      <c r="Y3" s="311" t="s">
        <v>8</v>
      </c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293" t="s">
        <v>68</v>
      </c>
      <c r="AU3" s="298" t="s">
        <v>9</v>
      </c>
      <c r="AV3" s="287" t="s">
        <v>10</v>
      </c>
    </row>
    <row r="4" spans="1:48" ht="36" customHeight="1" thickBot="1">
      <c r="A4" s="255"/>
      <c r="B4" s="283"/>
      <c r="C4" s="283"/>
      <c r="D4" s="283"/>
      <c r="E4" s="286" t="s">
        <v>11</v>
      </c>
      <c r="F4" s="286"/>
      <c r="G4" s="286" t="s">
        <v>12</v>
      </c>
      <c r="H4" s="286"/>
      <c r="I4" s="286" t="s">
        <v>13</v>
      </c>
      <c r="J4" s="286"/>
      <c r="K4" s="286" t="s">
        <v>14</v>
      </c>
      <c r="L4" s="286"/>
      <c r="M4" s="286" t="s">
        <v>15</v>
      </c>
      <c r="N4" s="286"/>
      <c r="O4" s="286"/>
      <c r="P4" s="286"/>
      <c r="Q4" s="303"/>
      <c r="R4" s="303"/>
      <c r="S4" s="303"/>
      <c r="T4" s="303"/>
      <c r="U4" s="303"/>
      <c r="V4" s="303"/>
      <c r="W4" s="262"/>
      <c r="X4" s="309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4"/>
      <c r="AU4" s="299"/>
      <c r="AV4" s="288"/>
    </row>
    <row r="5" spans="1:48" ht="29.25" customHeight="1" thickBot="1">
      <c r="A5" s="255"/>
      <c r="B5" s="283"/>
      <c r="C5" s="283"/>
      <c r="D5" s="283"/>
      <c r="E5" s="296" t="s">
        <v>16</v>
      </c>
      <c r="F5" s="296" t="s">
        <v>17</v>
      </c>
      <c r="G5" s="296" t="s">
        <v>16</v>
      </c>
      <c r="H5" s="296" t="s">
        <v>17</v>
      </c>
      <c r="I5" s="296" t="s">
        <v>16</v>
      </c>
      <c r="J5" s="296" t="s">
        <v>17</v>
      </c>
      <c r="K5" s="296" t="s">
        <v>16</v>
      </c>
      <c r="L5" s="296" t="s">
        <v>17</v>
      </c>
      <c r="M5" s="296" t="s">
        <v>16</v>
      </c>
      <c r="N5" s="296" t="s">
        <v>17</v>
      </c>
      <c r="O5" s="296" t="s">
        <v>16</v>
      </c>
      <c r="P5" s="296" t="s">
        <v>17</v>
      </c>
      <c r="Q5" s="305" t="s">
        <v>18</v>
      </c>
      <c r="R5" s="305" t="s">
        <v>19</v>
      </c>
      <c r="S5" s="305" t="s">
        <v>20</v>
      </c>
      <c r="T5" s="305" t="s">
        <v>21</v>
      </c>
      <c r="U5" s="305" t="s">
        <v>22</v>
      </c>
      <c r="V5" s="305" t="s">
        <v>23</v>
      </c>
      <c r="W5" s="262"/>
      <c r="X5" s="309"/>
      <c r="Y5" s="290" t="s">
        <v>24</v>
      </c>
      <c r="Z5" s="290" t="s">
        <v>25</v>
      </c>
      <c r="AA5" s="290" t="s">
        <v>26</v>
      </c>
      <c r="AB5" s="290" t="s">
        <v>27</v>
      </c>
      <c r="AC5" s="290" t="s">
        <v>28</v>
      </c>
      <c r="AD5" s="290" t="s">
        <v>27</v>
      </c>
      <c r="AE5" s="290" t="s">
        <v>29</v>
      </c>
      <c r="AF5" s="290" t="s">
        <v>27</v>
      </c>
      <c r="AG5" s="290" t="s">
        <v>30</v>
      </c>
      <c r="AH5" s="290" t="s">
        <v>27</v>
      </c>
      <c r="AI5" s="313" t="s">
        <v>72</v>
      </c>
      <c r="AJ5" s="315" t="s">
        <v>27</v>
      </c>
      <c r="AK5" s="234" t="s">
        <v>73</v>
      </c>
      <c r="AL5" s="248" t="s">
        <v>74</v>
      </c>
      <c r="AM5" s="248" t="s">
        <v>27</v>
      </c>
      <c r="AN5" s="244" t="s">
        <v>75</v>
      </c>
      <c r="AO5" s="312"/>
      <c r="AP5" s="245"/>
      <c r="AQ5" s="290" t="s">
        <v>32</v>
      </c>
      <c r="AR5" s="290" t="s">
        <v>27</v>
      </c>
      <c r="AS5" s="290" t="s">
        <v>33</v>
      </c>
      <c r="AT5" s="294"/>
      <c r="AU5" s="299"/>
      <c r="AV5" s="288"/>
    </row>
    <row r="6" spans="1:48" ht="54" customHeight="1" thickBot="1">
      <c r="A6" s="281"/>
      <c r="B6" s="284"/>
      <c r="C6" s="284"/>
      <c r="D6" s="284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306"/>
      <c r="R6" s="306"/>
      <c r="S6" s="306"/>
      <c r="T6" s="306"/>
      <c r="U6" s="306"/>
      <c r="V6" s="306"/>
      <c r="W6" s="304"/>
      <c r="X6" s="310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314"/>
      <c r="AJ6" s="316"/>
      <c r="AK6" s="292"/>
      <c r="AL6" s="307"/>
      <c r="AM6" s="307"/>
      <c r="AN6" s="102" t="s">
        <v>76</v>
      </c>
      <c r="AO6" s="102" t="s">
        <v>77</v>
      </c>
      <c r="AP6" s="102" t="s">
        <v>78</v>
      </c>
      <c r="AQ6" s="291"/>
      <c r="AR6" s="291"/>
      <c r="AS6" s="291"/>
      <c r="AT6" s="295"/>
      <c r="AU6" s="300"/>
      <c r="AV6" s="289"/>
    </row>
    <row r="7" spans="1:48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</row>
    <row r="8" spans="1:48" ht="12.75">
      <c r="A8" s="5" t="s">
        <v>34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51"/>
      <c r="R8" s="51"/>
      <c r="S8" s="51"/>
      <c r="T8" s="51"/>
      <c r="U8" s="51"/>
      <c r="V8" s="51"/>
      <c r="W8" s="51"/>
      <c r="X8" s="51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10"/>
    </row>
    <row r="9" spans="1:48" ht="12.75">
      <c r="A9" s="11" t="s">
        <v>35</v>
      </c>
      <c r="B9" s="121">
        <v>2493.5</v>
      </c>
      <c r="C9" s="130">
        <f>B9*8.65</f>
        <v>21568.775</v>
      </c>
      <c r="D9" s="155">
        <f>C9*0.24088-0.49</f>
        <v>5194.996522</v>
      </c>
      <c r="E9" s="131">
        <v>1790.58</v>
      </c>
      <c r="F9" s="96">
        <v>369</v>
      </c>
      <c r="G9" s="96">
        <v>2417.36</v>
      </c>
      <c r="H9" s="96">
        <v>498.14</v>
      </c>
      <c r="I9" s="96">
        <v>5819.46</v>
      </c>
      <c r="J9" s="96">
        <v>1199.25</v>
      </c>
      <c r="K9" s="96">
        <v>4028.87</v>
      </c>
      <c r="L9" s="96">
        <v>830.25</v>
      </c>
      <c r="M9" s="96">
        <v>1432.46</v>
      </c>
      <c r="N9" s="124">
        <v>295.21</v>
      </c>
      <c r="O9" s="85">
        <f>E9+G9+I9+K9+M9</f>
        <v>15488.73</v>
      </c>
      <c r="P9" s="97">
        <f>N9+L9+J9+H9+F9</f>
        <v>3191.85</v>
      </c>
      <c r="Q9" s="115">
        <v>0</v>
      </c>
      <c r="R9" s="115">
        <v>0</v>
      </c>
      <c r="S9" s="115">
        <v>0</v>
      </c>
      <c r="T9" s="115">
        <v>0</v>
      </c>
      <c r="U9" s="115">
        <v>0</v>
      </c>
      <c r="V9" s="113">
        <f>SUM(Q9:U9)</f>
        <v>0</v>
      </c>
      <c r="W9" s="116">
        <f>D9+P9+V9</f>
        <v>8386.846522</v>
      </c>
      <c r="X9" s="116"/>
      <c r="Y9" s="114">
        <f>0.6*B9</f>
        <v>1496.1</v>
      </c>
      <c r="Z9" s="114">
        <f>B9*0.2*1.05826</f>
        <v>527.754262</v>
      </c>
      <c r="AA9" s="114">
        <f>0.8476*B9-0.2</f>
        <v>2113.2906000000003</v>
      </c>
      <c r="AB9" s="114">
        <f>AA9*0.18</f>
        <v>380.392308</v>
      </c>
      <c r="AC9" s="114">
        <f>(1.04)*B9*0.75645-0.21</f>
        <v>1961.446398</v>
      </c>
      <c r="AD9" s="114">
        <f>AC9*0.18</f>
        <v>353.06035164</v>
      </c>
      <c r="AE9" s="114">
        <f>1.91*B9*0.75645</f>
        <v>3602.6574232499997</v>
      </c>
      <c r="AF9" s="114">
        <f>AE9*0.18</f>
        <v>648.4783361849999</v>
      </c>
      <c r="AG9" s="114">
        <v>0</v>
      </c>
      <c r="AH9" s="114">
        <f>AG9*0.18</f>
        <v>0</v>
      </c>
      <c r="AI9" s="140"/>
      <c r="AJ9" s="140"/>
      <c r="AK9" s="117">
        <f>4661.4+3049.68</f>
        <v>7711.08</v>
      </c>
      <c r="AL9" s="117"/>
      <c r="AM9" s="117">
        <f>AK9*0.18</f>
        <v>1387.9944</v>
      </c>
      <c r="AN9" s="118"/>
      <c r="AO9" s="119"/>
      <c r="AP9" s="114">
        <f>AN9*AO9*1.12*1.18</f>
        <v>0</v>
      </c>
      <c r="AQ9" s="120"/>
      <c r="AR9" s="120">
        <f>AQ9*0.18</f>
        <v>0</v>
      </c>
      <c r="AS9" s="120">
        <f>SUM(Y9:AM9)+AP9</f>
        <v>20182.254079075</v>
      </c>
      <c r="AT9" s="132"/>
      <c r="AU9" s="14">
        <f>W9-AS9</f>
        <v>-11795.407557075</v>
      </c>
      <c r="AV9" s="30">
        <f>V9-O9</f>
        <v>-15488.73</v>
      </c>
    </row>
    <row r="10" spans="1:48" ht="12.75">
      <c r="A10" s="11" t="s">
        <v>36</v>
      </c>
      <c r="B10" s="121">
        <v>2493.5</v>
      </c>
      <c r="C10" s="122">
        <f>B10*8.65</f>
        <v>21568.775</v>
      </c>
      <c r="D10" s="123">
        <f>C10*0.24088-0.49</f>
        <v>5194.996522</v>
      </c>
      <c r="E10" s="96">
        <v>1794.56</v>
      </c>
      <c r="F10" s="96">
        <v>369</v>
      </c>
      <c r="G10" s="96">
        <v>2422.72</v>
      </c>
      <c r="H10" s="96">
        <v>498.15</v>
      </c>
      <c r="I10" s="96">
        <v>5832.4</v>
      </c>
      <c r="J10" s="96">
        <v>1199.25</v>
      </c>
      <c r="K10" s="96">
        <v>4037.82</v>
      </c>
      <c r="L10" s="96">
        <v>830.25</v>
      </c>
      <c r="M10" s="96">
        <v>1435.65</v>
      </c>
      <c r="N10" s="124">
        <v>295.21</v>
      </c>
      <c r="O10" s="85">
        <f>E10+G10+I10+K10+M10</f>
        <v>15523.15</v>
      </c>
      <c r="P10" s="97">
        <f>N10+L10+J10+H10+F10</f>
        <v>3191.86</v>
      </c>
      <c r="Q10" s="125">
        <v>852.84</v>
      </c>
      <c r="R10" s="126">
        <v>1151.41</v>
      </c>
      <c r="S10" s="126">
        <v>2771.86</v>
      </c>
      <c r="T10" s="126">
        <v>1918.94</v>
      </c>
      <c r="U10" s="126">
        <v>682.27</v>
      </c>
      <c r="V10" s="121">
        <f>SUM(Q10:U10)</f>
        <v>7377.3200000000015</v>
      </c>
      <c r="W10" s="127">
        <f>D10+P10+V10</f>
        <v>15764.176522000002</v>
      </c>
      <c r="X10" s="98"/>
      <c r="Y10" s="16">
        <f>0.6*B10</f>
        <v>1496.1</v>
      </c>
      <c r="Z10" s="16">
        <f>B10*0.201</f>
        <v>501.19350000000003</v>
      </c>
      <c r="AA10" s="114">
        <f>0.8476*B10-0.2</f>
        <v>2113.2906000000003</v>
      </c>
      <c r="AB10" s="16">
        <f>AA10*0.18</f>
        <v>380.392308</v>
      </c>
      <c r="AC10" s="114">
        <f>(1.04)*B10*0.75645-0.21</f>
        <v>1961.446398</v>
      </c>
      <c r="AD10" s="114">
        <f>AC10*0.18</f>
        <v>353.06035164</v>
      </c>
      <c r="AE10" s="114">
        <f>1.91*B10*0.75645</f>
        <v>3602.6574232499997</v>
      </c>
      <c r="AF10" s="16">
        <f>AE10*0.18</f>
        <v>648.4783361849999</v>
      </c>
      <c r="AG10" s="16">
        <v>0</v>
      </c>
      <c r="AH10" s="16">
        <f>AG10*0.18</f>
        <v>0</v>
      </c>
      <c r="AI10" s="140"/>
      <c r="AJ10" s="140"/>
      <c r="AK10" s="128">
        <f>2399+2399</f>
        <v>4798</v>
      </c>
      <c r="AL10" s="128"/>
      <c r="AM10" s="128">
        <f>AK10*0.18</f>
        <v>863.64</v>
      </c>
      <c r="AN10" s="129"/>
      <c r="AO10" s="110"/>
      <c r="AP10" s="16">
        <f>AN10*AO10*1.12*1.18</f>
        <v>0</v>
      </c>
      <c r="AQ10" s="104"/>
      <c r="AR10" s="104">
        <f>AQ10*0.18</f>
        <v>0</v>
      </c>
      <c r="AS10" s="104">
        <f>SUM(Y10:AM10)+AP10</f>
        <v>16718.258917075</v>
      </c>
      <c r="AT10" s="107"/>
      <c r="AU10" s="14">
        <f>W10-AS10</f>
        <v>-954.0823950749982</v>
      </c>
      <c r="AV10" s="30">
        <f>V10-O10</f>
        <v>-8145.829999999998</v>
      </c>
    </row>
    <row r="11" spans="1:48" ht="12.75">
      <c r="A11" s="11" t="s">
        <v>37</v>
      </c>
      <c r="B11" s="121">
        <v>2493.5</v>
      </c>
      <c r="C11" s="122">
        <f>B11*8.65</f>
        <v>21568.775</v>
      </c>
      <c r="D11" s="123">
        <f>C11*0.24035</f>
        <v>5184.055071250001</v>
      </c>
      <c r="E11" s="96">
        <v>1792.02</v>
      </c>
      <c r="F11" s="96">
        <v>369</v>
      </c>
      <c r="G11" s="96">
        <v>2419.3</v>
      </c>
      <c r="H11" s="96">
        <v>498.15</v>
      </c>
      <c r="I11" s="96">
        <v>5824.17</v>
      </c>
      <c r="J11" s="96">
        <v>1199.25</v>
      </c>
      <c r="K11" s="96">
        <v>4032.13</v>
      </c>
      <c r="L11" s="96">
        <v>830.25</v>
      </c>
      <c r="M11" s="96">
        <v>1433.63</v>
      </c>
      <c r="N11" s="124">
        <v>295.21</v>
      </c>
      <c r="O11" s="85">
        <f>E11+G11+I11+K11+M11</f>
        <v>15501.25</v>
      </c>
      <c r="P11" s="97">
        <f>N11+L11+J11+H11+F11</f>
        <v>3191.86</v>
      </c>
      <c r="Q11" s="126">
        <v>1361.07</v>
      </c>
      <c r="R11" s="126">
        <v>1837.55</v>
      </c>
      <c r="S11" s="126">
        <v>4423.64</v>
      </c>
      <c r="T11" s="126">
        <v>3062.6</v>
      </c>
      <c r="U11" s="126">
        <v>1088.88</v>
      </c>
      <c r="V11" s="121">
        <f>SUM(Q11:U11)</f>
        <v>11773.740000000002</v>
      </c>
      <c r="W11" s="98">
        <f>D11+P11+V11</f>
        <v>20149.655071250003</v>
      </c>
      <c r="X11" s="98"/>
      <c r="Y11" s="16">
        <f>0.6*B11</f>
        <v>1496.1</v>
      </c>
      <c r="Z11" s="16">
        <f>B11*0.2*1.02524</f>
        <v>511.287188</v>
      </c>
      <c r="AA11" s="114">
        <f>0.8476*B11-0.2</f>
        <v>2113.2906000000003</v>
      </c>
      <c r="AB11" s="16">
        <f>AA11*0.18</f>
        <v>380.392308</v>
      </c>
      <c r="AC11" s="114">
        <f>(1.04)*B11*0.75645-0.21</f>
        <v>1961.446398</v>
      </c>
      <c r="AD11" s="114">
        <f>AC11*0.18</f>
        <v>353.06035164</v>
      </c>
      <c r="AE11" s="114">
        <f>1.91*B11*0.75645</f>
        <v>3602.6574232499997</v>
      </c>
      <c r="AF11" s="16">
        <f>AE11*0.18</f>
        <v>648.4783361849999</v>
      </c>
      <c r="AG11" s="16">
        <v>0</v>
      </c>
      <c r="AH11" s="16">
        <f>AG11*0.18</f>
        <v>0</v>
      </c>
      <c r="AI11" s="140"/>
      <c r="AJ11" s="140"/>
      <c r="AK11" s="128">
        <f>168.4+475.05+667.4+307.7+340.5+201.1+668.3+650.4+858.3+151.6+230.8</f>
        <v>4719.55</v>
      </c>
      <c r="AL11" s="128"/>
      <c r="AM11" s="128">
        <f>AK11*0.18</f>
        <v>849.519</v>
      </c>
      <c r="AN11" s="129"/>
      <c r="AO11" s="110"/>
      <c r="AP11" s="16">
        <f>AN11*AO11*1.12*1.18</f>
        <v>0</v>
      </c>
      <c r="AQ11" s="104"/>
      <c r="AR11" s="104">
        <f>AQ11*0.18</f>
        <v>0</v>
      </c>
      <c r="AS11" s="104">
        <f>SUM(Y11:AM11)+AP11</f>
        <v>16635.781605075</v>
      </c>
      <c r="AT11" s="107"/>
      <c r="AU11" s="14">
        <f>W11-AS11</f>
        <v>3513.8734661750022</v>
      </c>
      <c r="AV11" s="30">
        <f>V11-O11</f>
        <v>-3727.5099999999984</v>
      </c>
    </row>
    <row r="12" spans="1:48" s="20" customFormat="1" ht="15" customHeight="1">
      <c r="A12" s="17" t="s">
        <v>5</v>
      </c>
      <c r="B12" s="60"/>
      <c r="C12" s="60">
        <f aca="true" t="shared" si="0" ref="C12:AV12">SUM(C9:C11)</f>
        <v>64706.325000000004</v>
      </c>
      <c r="D12" s="60">
        <f t="shared" si="0"/>
        <v>15574.048115250002</v>
      </c>
      <c r="E12" s="57">
        <f>SUM(E9:E11)</f>
        <v>5377.16</v>
      </c>
      <c r="F12" s="57">
        <f t="shared" si="0"/>
        <v>1107</v>
      </c>
      <c r="G12" s="57">
        <f t="shared" si="0"/>
        <v>7259.38</v>
      </c>
      <c r="H12" s="57">
        <f t="shared" si="0"/>
        <v>1494.44</v>
      </c>
      <c r="I12" s="57">
        <f t="shared" si="0"/>
        <v>17476.03</v>
      </c>
      <c r="J12" s="57">
        <f t="shared" si="0"/>
        <v>3597.75</v>
      </c>
      <c r="K12" s="57">
        <f t="shared" si="0"/>
        <v>12098.82</v>
      </c>
      <c r="L12" s="57">
        <f t="shared" si="0"/>
        <v>2490.75</v>
      </c>
      <c r="M12" s="57">
        <f t="shared" si="0"/>
        <v>4301.74</v>
      </c>
      <c r="N12" s="57">
        <f t="shared" si="0"/>
        <v>885.6299999999999</v>
      </c>
      <c r="O12" s="57">
        <f t="shared" si="0"/>
        <v>46513.13</v>
      </c>
      <c r="P12" s="57">
        <f t="shared" si="0"/>
        <v>9575.57</v>
      </c>
      <c r="Q12" s="61">
        <f t="shared" si="0"/>
        <v>2213.91</v>
      </c>
      <c r="R12" s="61">
        <f t="shared" si="0"/>
        <v>2988.96</v>
      </c>
      <c r="S12" s="61">
        <f t="shared" si="0"/>
        <v>7195.5</v>
      </c>
      <c r="T12" s="61">
        <f t="shared" si="0"/>
        <v>4981.54</v>
      </c>
      <c r="U12" s="61">
        <f t="shared" si="0"/>
        <v>1771.15</v>
      </c>
      <c r="V12" s="61">
        <f t="shared" si="0"/>
        <v>19151.060000000005</v>
      </c>
      <c r="W12" s="61">
        <f t="shared" si="0"/>
        <v>44300.678115250004</v>
      </c>
      <c r="X12" s="91">
        <f t="shared" si="0"/>
        <v>0</v>
      </c>
      <c r="Y12" s="18">
        <f t="shared" si="0"/>
        <v>4488.299999999999</v>
      </c>
      <c r="Z12" s="18">
        <f t="shared" si="0"/>
        <v>1540.23495</v>
      </c>
      <c r="AA12" s="18">
        <f t="shared" si="0"/>
        <v>6339.871800000001</v>
      </c>
      <c r="AB12" s="18">
        <f t="shared" si="0"/>
        <v>1141.176924</v>
      </c>
      <c r="AC12" s="18">
        <f t="shared" si="0"/>
        <v>5884.339194</v>
      </c>
      <c r="AD12" s="18">
        <f t="shared" si="0"/>
        <v>1059.18105492</v>
      </c>
      <c r="AE12" s="18">
        <f>SUM(AE9:AE11)</f>
        <v>10807.97226975</v>
      </c>
      <c r="AF12" s="18">
        <f>SUM(AF9:AF11)</f>
        <v>1945.4350085549995</v>
      </c>
      <c r="AG12" s="18">
        <f t="shared" si="0"/>
        <v>0</v>
      </c>
      <c r="AH12" s="18">
        <f t="shared" si="0"/>
        <v>0</v>
      </c>
      <c r="AI12" s="18">
        <f>SUM(AI9:AI11)</f>
        <v>0</v>
      </c>
      <c r="AJ12" s="18">
        <f>SUM(AJ9:AJ11)</f>
        <v>0</v>
      </c>
      <c r="AK12" s="18">
        <f>SUM(AK9:AK11)</f>
        <v>17228.63</v>
      </c>
      <c r="AL12" s="18">
        <f>SUM(AL9:AL11)</f>
        <v>0</v>
      </c>
      <c r="AM12" s="18">
        <f>SUM(AM9:AM11)</f>
        <v>3101.1534</v>
      </c>
      <c r="AN12" s="18"/>
      <c r="AO12" s="18"/>
      <c r="AP12" s="18">
        <f t="shared" si="0"/>
        <v>0</v>
      </c>
      <c r="AQ12" s="18">
        <f t="shared" si="0"/>
        <v>0</v>
      </c>
      <c r="AR12" s="18">
        <f t="shared" si="0"/>
        <v>0</v>
      </c>
      <c r="AS12" s="18">
        <f t="shared" si="0"/>
        <v>53536.294601225</v>
      </c>
      <c r="AT12" s="18">
        <f t="shared" si="0"/>
        <v>0</v>
      </c>
      <c r="AU12" s="18">
        <f t="shared" si="0"/>
        <v>-9235.616485974995</v>
      </c>
      <c r="AV12" s="19">
        <f t="shared" si="0"/>
        <v>-27362.069999999996</v>
      </c>
    </row>
    <row r="13" spans="1:48" ht="15" customHeight="1">
      <c r="A13" s="5" t="s">
        <v>38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5"/>
      <c r="P13" s="55"/>
      <c r="Q13" s="62"/>
      <c r="R13" s="62"/>
      <c r="S13" s="62"/>
      <c r="T13" s="62"/>
      <c r="U13" s="62"/>
      <c r="V13" s="54"/>
      <c r="W13" s="89"/>
      <c r="X13" s="90"/>
      <c r="Y13" s="14"/>
      <c r="Z13" s="14"/>
      <c r="AA13" s="14"/>
      <c r="AB13" s="14"/>
      <c r="AC13" s="14"/>
      <c r="AD13" s="14"/>
      <c r="AE13" s="14"/>
      <c r="AF13" s="14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14"/>
      <c r="AS13" s="14"/>
      <c r="AT13" s="14"/>
      <c r="AU13" s="14"/>
      <c r="AV13" s="30"/>
    </row>
    <row r="14" spans="1:48" ht="12.75">
      <c r="A14" s="11" t="s">
        <v>39</v>
      </c>
      <c r="B14" s="133">
        <v>2493.5</v>
      </c>
      <c r="C14" s="134">
        <f aca="true" t="shared" si="1" ref="C14:C25">B14*8.65</f>
        <v>21568.775</v>
      </c>
      <c r="D14" s="135">
        <f>C14*0.125</f>
        <v>2696.096875</v>
      </c>
      <c r="E14" s="96">
        <v>1786.51</v>
      </c>
      <c r="F14" s="96">
        <v>374.11</v>
      </c>
      <c r="G14" s="96">
        <v>2411.85</v>
      </c>
      <c r="H14" s="96">
        <v>505.05</v>
      </c>
      <c r="I14" s="96">
        <v>5806.23</v>
      </c>
      <c r="J14" s="96">
        <v>1215.86</v>
      </c>
      <c r="K14" s="96">
        <v>4019.71</v>
      </c>
      <c r="L14" s="96">
        <v>841.75</v>
      </c>
      <c r="M14" s="96">
        <v>1429.21</v>
      </c>
      <c r="N14" s="124">
        <v>299.3</v>
      </c>
      <c r="O14" s="85">
        <f aca="true" t="shared" si="2" ref="O14:O25">E14+G14+I14+K14+M14</f>
        <v>15453.509999999998</v>
      </c>
      <c r="P14" s="97">
        <f aca="true" t="shared" si="3" ref="P14:P25">N14+L14+J14+H14+F14</f>
        <v>3236.07</v>
      </c>
      <c r="Q14" s="136">
        <v>1170.27</v>
      </c>
      <c r="R14" s="137">
        <v>1579.86</v>
      </c>
      <c r="S14" s="137">
        <v>3803.37</v>
      </c>
      <c r="T14" s="137">
        <v>2633.11</v>
      </c>
      <c r="U14" s="137">
        <v>936.21</v>
      </c>
      <c r="V14" s="138">
        <f aca="true" t="shared" si="4" ref="V14:V25">SUM(Q14:U14)</f>
        <v>10122.82</v>
      </c>
      <c r="W14" s="139">
        <f>D14+P14+V14</f>
        <v>16054.986875</v>
      </c>
      <c r="X14" s="116"/>
      <c r="Y14" s="114">
        <f>0.6*B14*0.9</f>
        <v>1346.49</v>
      </c>
      <c r="Z14" s="114">
        <f>B14*0.2*0.8913+0.01</f>
        <v>444.50131000000005</v>
      </c>
      <c r="AA14" s="114">
        <f>0.85*B14*0.8852+0.02</f>
        <v>1876.1792699999999</v>
      </c>
      <c r="AB14" s="114">
        <f>AA14*0.18</f>
        <v>337.71226859999996</v>
      </c>
      <c r="AC14" s="114">
        <f>0.83*B14*0.8871</f>
        <v>1835.9465955</v>
      </c>
      <c r="AD14" s="114">
        <f>AC14*0.18</f>
        <v>330.47038719</v>
      </c>
      <c r="AE14" s="114">
        <f>(1.91)*B14*0.887</f>
        <v>4224.412895</v>
      </c>
      <c r="AF14" s="114">
        <f>AE14*0.18</f>
        <v>760.3943211000001</v>
      </c>
      <c r="AG14" s="114">
        <v>0</v>
      </c>
      <c r="AH14" s="114">
        <f>AG14*0.18</f>
        <v>0</v>
      </c>
      <c r="AI14" s="140"/>
      <c r="AJ14" s="140"/>
      <c r="AK14" s="55">
        <v>1200</v>
      </c>
      <c r="AL14" s="55"/>
      <c r="AM14" s="55">
        <f>AK14*0.18</f>
        <v>216</v>
      </c>
      <c r="AN14" s="118">
        <v>508</v>
      </c>
      <c r="AO14" s="119">
        <v>1.125</v>
      </c>
      <c r="AP14" s="114">
        <f aca="true" t="shared" si="5" ref="AP14:AP22">AN14*AO14*1.12*1.18</f>
        <v>755.2944</v>
      </c>
      <c r="AQ14" s="120"/>
      <c r="AR14" s="120">
        <f>AQ14*0.18</f>
        <v>0</v>
      </c>
      <c r="AS14" s="120">
        <f>SUM(Y14:AM14)</f>
        <v>12572.10704739</v>
      </c>
      <c r="AT14" s="132"/>
      <c r="AU14" s="14">
        <f aca="true" t="shared" si="6" ref="AU14:AU25">W14+X14-AS14-AT14</f>
        <v>3482.8798276100006</v>
      </c>
      <c r="AV14" s="30">
        <f aca="true" t="shared" si="7" ref="AV14:AV25">V14-O14</f>
        <v>-5330.689999999999</v>
      </c>
    </row>
    <row r="15" spans="1:48" ht="12.75">
      <c r="A15" s="11" t="s">
        <v>40</v>
      </c>
      <c r="B15" s="121">
        <v>2493.5</v>
      </c>
      <c r="C15" s="108">
        <f t="shared" si="1"/>
        <v>21568.775</v>
      </c>
      <c r="D15" s="135">
        <f>C15*0.125</f>
        <v>2696.096875</v>
      </c>
      <c r="E15" s="96">
        <v>1790.18</v>
      </c>
      <c r="F15" s="96">
        <v>370.44</v>
      </c>
      <c r="G15" s="96">
        <v>2416.81</v>
      </c>
      <c r="H15" s="96">
        <v>500.09</v>
      </c>
      <c r="I15" s="96">
        <v>5818.16</v>
      </c>
      <c r="J15" s="96">
        <v>1203.93</v>
      </c>
      <c r="K15" s="96">
        <v>4027.97</v>
      </c>
      <c r="L15" s="96">
        <v>833.49</v>
      </c>
      <c r="M15" s="96">
        <v>1432.15</v>
      </c>
      <c r="N15" s="124">
        <v>296.36</v>
      </c>
      <c r="O15" s="85">
        <f t="shared" si="2"/>
        <v>15485.269999999999</v>
      </c>
      <c r="P15" s="97">
        <f t="shared" si="3"/>
        <v>3204.31</v>
      </c>
      <c r="Q15" s="126">
        <v>1513.61</v>
      </c>
      <c r="R15" s="126">
        <v>2043.41</v>
      </c>
      <c r="S15" s="126">
        <v>4919.38</v>
      </c>
      <c r="T15" s="126">
        <v>3405.7</v>
      </c>
      <c r="U15" s="126">
        <v>1210.9</v>
      </c>
      <c r="V15" s="121">
        <f t="shared" si="4"/>
        <v>13092.999999999998</v>
      </c>
      <c r="W15" s="116">
        <f>D15+P15+V15</f>
        <v>18993.406875</v>
      </c>
      <c r="X15" s="116"/>
      <c r="Y15" s="114">
        <f>0.6*B15*0.9</f>
        <v>1346.49</v>
      </c>
      <c r="Z15" s="114">
        <f>B15*0.2*0.9152</f>
        <v>456.41024000000004</v>
      </c>
      <c r="AA15" s="114">
        <f>0.85*B15*0.8853</f>
        <v>1876.3712174999998</v>
      </c>
      <c r="AB15" s="114">
        <f aca="true" t="shared" si="8" ref="AB15:AB25">AA15*0.18</f>
        <v>337.74681914999996</v>
      </c>
      <c r="AC15" s="114">
        <f>0.83*B15*0.9</f>
        <v>1862.6445</v>
      </c>
      <c r="AD15" s="114">
        <f aca="true" t="shared" si="9" ref="AD15:AD25">AC15*0.18</f>
        <v>335.27601</v>
      </c>
      <c r="AE15" s="114">
        <f>(2.25/1.18)*B15*0.9+0.01</f>
        <v>4279.109576271187</v>
      </c>
      <c r="AF15" s="114">
        <f aca="true" t="shared" si="10" ref="AF15:AF25">AE15*0.18</f>
        <v>770.2397237288136</v>
      </c>
      <c r="AG15" s="114">
        <v>0</v>
      </c>
      <c r="AH15" s="114">
        <f aca="true" t="shared" si="11" ref="AH15:AJ25">AG15*0.18</f>
        <v>0</v>
      </c>
      <c r="AI15" s="140"/>
      <c r="AJ15" s="140"/>
      <c r="AK15" s="55">
        <f>540+1075+197.5+282</f>
        <v>2094.5</v>
      </c>
      <c r="AL15" s="55"/>
      <c r="AM15" s="88">
        <f>(AK15+AL15)*0.18</f>
        <v>377.01</v>
      </c>
      <c r="AN15" s="118">
        <v>407</v>
      </c>
      <c r="AO15" s="119">
        <v>1.125</v>
      </c>
      <c r="AP15" s="114">
        <f t="shared" si="5"/>
        <v>605.1276</v>
      </c>
      <c r="AQ15" s="120"/>
      <c r="AR15" s="120">
        <f>AQ15*0.18</f>
        <v>0</v>
      </c>
      <c r="AS15" s="120">
        <f>SUM(Y15:AM15)</f>
        <v>13735.79808665</v>
      </c>
      <c r="AT15" s="132"/>
      <c r="AU15" s="14">
        <f t="shared" si="6"/>
        <v>5257.60878835</v>
      </c>
      <c r="AV15" s="30">
        <f t="shared" si="7"/>
        <v>-2392.2700000000004</v>
      </c>
    </row>
    <row r="16" spans="1:48" ht="12.75">
      <c r="A16" s="11" t="s">
        <v>41</v>
      </c>
      <c r="B16" s="121">
        <v>2493.5</v>
      </c>
      <c r="C16" s="108">
        <f t="shared" si="1"/>
        <v>21568.775</v>
      </c>
      <c r="D16" s="141">
        <f>C16*0.125</f>
        <v>2696.096875</v>
      </c>
      <c r="E16" s="96">
        <v>1788.83</v>
      </c>
      <c r="F16" s="96">
        <v>370.44</v>
      </c>
      <c r="G16" s="96">
        <v>2414.99</v>
      </c>
      <c r="H16" s="96">
        <v>500.09</v>
      </c>
      <c r="I16" s="96">
        <v>5813.77</v>
      </c>
      <c r="J16" s="96">
        <v>1203.93</v>
      </c>
      <c r="K16" s="96">
        <v>4024.93</v>
      </c>
      <c r="L16" s="96">
        <v>833.19</v>
      </c>
      <c r="M16" s="96">
        <v>1431.06</v>
      </c>
      <c r="N16" s="124">
        <v>296.36</v>
      </c>
      <c r="O16" s="85">
        <f t="shared" si="2"/>
        <v>15473.58</v>
      </c>
      <c r="P16" s="97">
        <f t="shared" si="3"/>
        <v>3204.0100000000007</v>
      </c>
      <c r="Q16" s="126">
        <v>1088.28</v>
      </c>
      <c r="R16" s="126">
        <v>1469.2</v>
      </c>
      <c r="S16" s="126">
        <v>3536.87</v>
      </c>
      <c r="T16" s="126">
        <v>2448.61</v>
      </c>
      <c r="U16" s="126">
        <v>870.59</v>
      </c>
      <c r="V16" s="121">
        <f t="shared" si="4"/>
        <v>9413.550000000001</v>
      </c>
      <c r="W16" s="116">
        <f aca="true" t="shared" si="12" ref="W16:W25">D16+P16+V16</f>
        <v>15313.656875000002</v>
      </c>
      <c r="X16" s="116"/>
      <c r="Y16" s="114">
        <f>0.6*B16*0.9</f>
        <v>1346.49</v>
      </c>
      <c r="Z16" s="114">
        <f>B16*0.2*0.9081</f>
        <v>452.86947000000004</v>
      </c>
      <c r="AA16" s="114">
        <f>0.85*B16*0.8909</f>
        <v>1888.2402775</v>
      </c>
      <c r="AB16" s="114">
        <f t="shared" si="8"/>
        <v>339.88324995</v>
      </c>
      <c r="AC16" s="114">
        <f>(0.83*B16)*0.8927</f>
        <v>1847.5363835</v>
      </c>
      <c r="AD16" s="114">
        <f t="shared" si="9"/>
        <v>332.55654903</v>
      </c>
      <c r="AE16" s="114">
        <f>1.91*B16*0.8927</f>
        <v>4251.5596295000005</v>
      </c>
      <c r="AF16" s="114">
        <f t="shared" si="10"/>
        <v>765.2807333100001</v>
      </c>
      <c r="AG16" s="114">
        <v>0</v>
      </c>
      <c r="AH16" s="114">
        <f t="shared" si="11"/>
        <v>0</v>
      </c>
      <c r="AI16" s="140"/>
      <c r="AJ16" s="140">
        <f t="shared" si="11"/>
        <v>0</v>
      </c>
      <c r="AK16" s="117">
        <f>540+140</f>
        <v>680</v>
      </c>
      <c r="AL16" s="117"/>
      <c r="AM16" s="88">
        <f>(AK16+AL16)*0.18</f>
        <v>122.39999999999999</v>
      </c>
      <c r="AN16" s="118">
        <v>383</v>
      </c>
      <c r="AO16" s="119">
        <v>1.125</v>
      </c>
      <c r="AP16" s="114">
        <f t="shared" si="5"/>
        <v>569.4444</v>
      </c>
      <c r="AQ16" s="120"/>
      <c r="AR16" s="120">
        <f>AQ16*0.18</f>
        <v>0</v>
      </c>
      <c r="AS16" s="120">
        <f>SUM(Y16:AM16)</f>
        <v>12026.816292790001</v>
      </c>
      <c r="AT16" s="132"/>
      <c r="AU16" s="14">
        <f t="shared" si="6"/>
        <v>3286.8405822100012</v>
      </c>
      <c r="AV16" s="30">
        <f t="shared" si="7"/>
        <v>-6060.029999999999</v>
      </c>
    </row>
    <row r="17" spans="1:48" ht="12.75">
      <c r="A17" s="11" t="s">
        <v>42</v>
      </c>
      <c r="B17" s="121">
        <v>2493.5</v>
      </c>
      <c r="C17" s="122">
        <f t="shared" si="1"/>
        <v>21568.775</v>
      </c>
      <c r="D17" s="141">
        <f>C17*0.125</f>
        <v>2696.096875</v>
      </c>
      <c r="E17" s="96">
        <v>1783.08</v>
      </c>
      <c r="F17" s="96">
        <v>370.44</v>
      </c>
      <c r="G17" s="96">
        <v>2407.22</v>
      </c>
      <c r="H17" s="96">
        <v>500.09</v>
      </c>
      <c r="I17" s="96">
        <v>5795.09</v>
      </c>
      <c r="J17" s="96">
        <v>1203.93</v>
      </c>
      <c r="K17" s="96">
        <v>4011.99</v>
      </c>
      <c r="L17" s="96">
        <v>833.49</v>
      </c>
      <c r="M17" s="96">
        <v>1426.47</v>
      </c>
      <c r="N17" s="124">
        <v>296.36</v>
      </c>
      <c r="O17" s="86">
        <f t="shared" si="2"/>
        <v>15423.849999999999</v>
      </c>
      <c r="P17" s="97">
        <f t="shared" si="3"/>
        <v>3204.31</v>
      </c>
      <c r="Q17" s="125">
        <v>1651.65</v>
      </c>
      <c r="R17" s="126">
        <v>2229.83</v>
      </c>
      <c r="S17" s="126">
        <v>5367.93</v>
      </c>
      <c r="T17" s="126">
        <v>3716.29</v>
      </c>
      <c r="U17" s="126">
        <v>1321.3</v>
      </c>
      <c r="V17" s="121">
        <f t="shared" si="4"/>
        <v>14287</v>
      </c>
      <c r="W17" s="142">
        <f t="shared" si="12"/>
        <v>20187.406875</v>
      </c>
      <c r="X17" s="116"/>
      <c r="Y17" s="114">
        <f>0.6*B17*0.9</f>
        <v>1346.49</v>
      </c>
      <c r="Z17" s="114">
        <f>B17*0.2*0.9234</f>
        <v>460.49958000000004</v>
      </c>
      <c r="AA17" s="114">
        <f>0.85*B17*0.8909</f>
        <v>1888.2402775</v>
      </c>
      <c r="AB17" s="114">
        <f t="shared" si="8"/>
        <v>339.88324995</v>
      </c>
      <c r="AC17" s="114">
        <f>(0.83*B17)*0.8927</f>
        <v>1847.5363835</v>
      </c>
      <c r="AD17" s="114">
        <f t="shared" si="9"/>
        <v>332.55654903</v>
      </c>
      <c r="AE17" s="114">
        <f>1.91*B17*0.8927</f>
        <v>4251.5596295000005</v>
      </c>
      <c r="AF17" s="114">
        <f t="shared" si="10"/>
        <v>765.2807333100001</v>
      </c>
      <c r="AG17" s="114">
        <v>0</v>
      </c>
      <c r="AH17" s="114">
        <f t="shared" si="11"/>
        <v>0</v>
      </c>
      <c r="AI17" s="140"/>
      <c r="AJ17" s="100">
        <f t="shared" si="11"/>
        <v>0</v>
      </c>
      <c r="AK17" s="117">
        <f>80+133+1800</f>
        <v>2013</v>
      </c>
      <c r="AL17" s="117"/>
      <c r="AM17" s="88">
        <f>(AK17+AL17)*0.18</f>
        <v>362.34</v>
      </c>
      <c r="AN17" s="101">
        <v>307</v>
      </c>
      <c r="AO17" s="119">
        <v>1.125</v>
      </c>
      <c r="AP17" s="114">
        <f t="shared" si="5"/>
        <v>456.4476</v>
      </c>
      <c r="AQ17" s="103"/>
      <c r="AR17" s="112">
        <f aca="true" t="shared" si="13" ref="AR17:AR25">AQ17*0.18</f>
        <v>0</v>
      </c>
      <c r="AS17" s="104">
        <f>SUM(Y17:AM17)+AP17+AP14+AP15+AP16</f>
        <v>15993.70040279</v>
      </c>
      <c r="AT17" s="107"/>
      <c r="AU17" s="14">
        <f t="shared" si="6"/>
        <v>4193.70647221</v>
      </c>
      <c r="AV17" s="30">
        <f t="shared" si="7"/>
        <v>-1136.8499999999985</v>
      </c>
    </row>
    <row r="18" spans="1:48" ht="12.75">
      <c r="A18" s="11" t="s">
        <v>43</v>
      </c>
      <c r="B18" s="121">
        <v>2493.5</v>
      </c>
      <c r="C18" s="122">
        <f t="shared" si="1"/>
        <v>21568.775</v>
      </c>
      <c r="D18" s="141">
        <f>C18-E18-F18-G18-H18-I18-J18-K18-L18-M18-N18</f>
        <v>1533.9350000000006</v>
      </c>
      <c r="E18" s="105">
        <v>1911.69</v>
      </c>
      <c r="F18" s="105">
        <v>412.72</v>
      </c>
      <c r="G18" s="105">
        <v>2512.68</v>
      </c>
      <c r="H18" s="105">
        <v>536.93</v>
      </c>
      <c r="I18" s="105">
        <v>6219.27</v>
      </c>
      <c r="J18" s="105">
        <v>1343.58</v>
      </c>
      <c r="K18" s="105">
        <v>4307.53</v>
      </c>
      <c r="L18" s="105">
        <v>930.9</v>
      </c>
      <c r="M18" s="105">
        <v>1529.38</v>
      </c>
      <c r="N18" s="106">
        <v>330.16</v>
      </c>
      <c r="O18" s="143">
        <f t="shared" si="2"/>
        <v>16480.55</v>
      </c>
      <c r="P18" s="144">
        <f t="shared" si="3"/>
        <v>3554.29</v>
      </c>
      <c r="Q18" s="126">
        <v>1329.64</v>
      </c>
      <c r="R18" s="126">
        <v>1795.19</v>
      </c>
      <c r="S18" s="126">
        <v>4321.44</v>
      </c>
      <c r="T18" s="126">
        <v>2991.81</v>
      </c>
      <c r="U18" s="126">
        <v>1063.75</v>
      </c>
      <c r="V18" s="121">
        <f t="shared" si="4"/>
        <v>11501.83</v>
      </c>
      <c r="W18" s="116">
        <f t="shared" si="12"/>
        <v>16590.055</v>
      </c>
      <c r="X18" s="116"/>
      <c r="Y18" s="114">
        <f aca="true" t="shared" si="14" ref="Y18:Y25">0.6*B18</f>
        <v>1496.1</v>
      </c>
      <c r="Z18" s="114">
        <f>B18*0.2*1.011</f>
        <v>504.1857</v>
      </c>
      <c r="AA18" s="114">
        <f>0.85*B18*0.9899</f>
        <v>2098.0683025</v>
      </c>
      <c r="AB18" s="114">
        <f t="shared" si="8"/>
        <v>377.65229444999994</v>
      </c>
      <c r="AC18" s="114">
        <f>(0.83*B18)*0.991</f>
        <v>2050.978555</v>
      </c>
      <c r="AD18" s="114">
        <f t="shared" si="9"/>
        <v>369.1761399</v>
      </c>
      <c r="AE18" s="114">
        <f>1.91*B18*0.992</f>
        <v>4724.48432</v>
      </c>
      <c r="AF18" s="114">
        <f t="shared" si="10"/>
        <v>850.4071775999998</v>
      </c>
      <c r="AG18" s="114">
        <v>0</v>
      </c>
      <c r="AH18" s="114">
        <f t="shared" si="11"/>
        <v>0</v>
      </c>
      <c r="AI18" s="140"/>
      <c r="AJ18" s="100">
        <f t="shared" si="11"/>
        <v>0</v>
      </c>
      <c r="AK18" s="117"/>
      <c r="AL18" s="117"/>
      <c r="AM18" s="88">
        <f>(AK18+AL18)*0.18</f>
        <v>0</v>
      </c>
      <c r="AN18" s="101">
        <v>263</v>
      </c>
      <c r="AO18" s="119">
        <v>1.125</v>
      </c>
      <c r="AP18" s="114">
        <f t="shared" si="5"/>
        <v>391.02840000000003</v>
      </c>
      <c r="AQ18" s="120"/>
      <c r="AR18" s="120">
        <f t="shared" si="13"/>
        <v>0</v>
      </c>
      <c r="AS18" s="120">
        <f aca="true" t="shared" si="15" ref="AS18:AS25">SUM(Y18:AM18)+AP18</f>
        <v>12862.080889449999</v>
      </c>
      <c r="AT18" s="132"/>
      <c r="AU18" s="14">
        <f t="shared" si="6"/>
        <v>3727.9741105500016</v>
      </c>
      <c r="AV18" s="30">
        <f t="shared" si="7"/>
        <v>-4978.719999999999</v>
      </c>
    </row>
    <row r="19" spans="1:48" ht="12.75">
      <c r="A19" s="11" t="s">
        <v>44</v>
      </c>
      <c r="B19" s="121">
        <v>2493.5</v>
      </c>
      <c r="C19" s="122">
        <f t="shared" si="1"/>
        <v>21568.775</v>
      </c>
      <c r="D19" s="141">
        <f>C19-E19-F19-G19-H19-I19-J19-K19-L19-M19-N19</f>
        <v>1475.4450000000033</v>
      </c>
      <c r="E19" s="105">
        <v>1915.32</v>
      </c>
      <c r="F19" s="105">
        <v>404.57</v>
      </c>
      <c r="G19" s="105">
        <v>2592.21</v>
      </c>
      <c r="H19" s="105">
        <v>548.41</v>
      </c>
      <c r="I19" s="105">
        <v>6231.35</v>
      </c>
      <c r="J19" s="105">
        <v>1317.05</v>
      </c>
      <c r="K19" s="105">
        <v>4315.97</v>
      </c>
      <c r="L19" s="105">
        <v>912.52</v>
      </c>
      <c r="M19" s="105">
        <v>1532.29</v>
      </c>
      <c r="N19" s="145">
        <v>323.64</v>
      </c>
      <c r="O19" s="86">
        <f t="shared" si="2"/>
        <v>16587.140000000003</v>
      </c>
      <c r="P19" s="97">
        <f t="shared" si="3"/>
        <v>3506.19</v>
      </c>
      <c r="Q19" s="126">
        <v>1484.68</v>
      </c>
      <c r="R19" s="126">
        <v>2008.44</v>
      </c>
      <c r="S19" s="126">
        <v>4829.75</v>
      </c>
      <c r="T19" s="126">
        <v>3344.78</v>
      </c>
      <c r="U19" s="126">
        <v>1187.87</v>
      </c>
      <c r="V19" s="121">
        <f t="shared" si="4"/>
        <v>12855.52</v>
      </c>
      <c r="W19" s="116">
        <f t="shared" si="12"/>
        <v>17837.155000000006</v>
      </c>
      <c r="X19" s="116"/>
      <c r="Y19" s="114">
        <f t="shared" si="14"/>
        <v>1496.1</v>
      </c>
      <c r="Z19" s="114">
        <f>B19*0.2*1.01045</f>
        <v>503.9114150000001</v>
      </c>
      <c r="AA19" s="114">
        <f>0.85*B19*0.98824+0.01</f>
        <v>2094.5599740000002</v>
      </c>
      <c r="AB19" s="114">
        <f t="shared" si="8"/>
        <v>377.02079532000005</v>
      </c>
      <c r="AC19" s="114">
        <f>(0.83*B19)*0.99023</f>
        <v>2049.38495915</v>
      </c>
      <c r="AD19" s="114">
        <f t="shared" si="9"/>
        <v>368.88929264700005</v>
      </c>
      <c r="AE19" s="114">
        <f>(1.91)*B19*0.99023-0.01</f>
        <v>4716.04454455</v>
      </c>
      <c r="AF19" s="114">
        <f t="shared" si="10"/>
        <v>848.888018019</v>
      </c>
      <c r="AG19" s="114">
        <v>0</v>
      </c>
      <c r="AH19" s="114">
        <f t="shared" si="11"/>
        <v>0</v>
      </c>
      <c r="AI19" s="140"/>
      <c r="AJ19" s="140">
        <f t="shared" si="11"/>
        <v>0</v>
      </c>
      <c r="AK19" s="117"/>
      <c r="AL19" s="117"/>
      <c r="AM19" s="88">
        <f>(AK19+AL19)*0.18</f>
        <v>0</v>
      </c>
      <c r="AN19" s="101">
        <v>233</v>
      </c>
      <c r="AO19" s="119">
        <v>1.125</v>
      </c>
      <c r="AP19" s="114">
        <f t="shared" si="5"/>
        <v>346.42440000000005</v>
      </c>
      <c r="AQ19" s="120"/>
      <c r="AR19" s="120">
        <f t="shared" si="13"/>
        <v>0</v>
      </c>
      <c r="AS19" s="120">
        <f t="shared" si="15"/>
        <v>12801.223398686001</v>
      </c>
      <c r="AT19" s="132"/>
      <c r="AU19" s="14">
        <f t="shared" si="6"/>
        <v>5035.931601314005</v>
      </c>
      <c r="AV19" s="30">
        <f t="shared" si="7"/>
        <v>-3731.6200000000026</v>
      </c>
    </row>
    <row r="20" spans="1:48" ht="12.75">
      <c r="A20" s="11" t="s">
        <v>45</v>
      </c>
      <c r="B20" s="121">
        <v>2493.5</v>
      </c>
      <c r="C20" s="122">
        <f t="shared" si="1"/>
        <v>21568.775</v>
      </c>
      <c r="D20" s="141">
        <f>C20-E20-F20-G20-H20-I20-J20-K20-L20-M20-N20</f>
        <v>1475.4550000000036</v>
      </c>
      <c r="E20" s="105">
        <v>1915.32</v>
      </c>
      <c r="F20" s="105">
        <v>404.57</v>
      </c>
      <c r="G20" s="105">
        <v>2592.21</v>
      </c>
      <c r="H20" s="105">
        <v>548.41</v>
      </c>
      <c r="I20" s="105">
        <v>6231.33</v>
      </c>
      <c r="J20" s="105">
        <v>1317.06</v>
      </c>
      <c r="K20" s="105">
        <v>4315.97</v>
      </c>
      <c r="L20" s="105">
        <v>912.52</v>
      </c>
      <c r="M20" s="105">
        <v>1532.29</v>
      </c>
      <c r="N20" s="145">
        <v>323.64</v>
      </c>
      <c r="O20" s="86">
        <f t="shared" si="2"/>
        <v>16587.120000000003</v>
      </c>
      <c r="P20" s="97">
        <f t="shared" si="3"/>
        <v>3506.2</v>
      </c>
      <c r="Q20" s="126">
        <v>1845.87</v>
      </c>
      <c r="R20" s="126">
        <v>2496.44</v>
      </c>
      <c r="S20" s="126">
        <v>6003.81</v>
      </c>
      <c r="T20" s="126">
        <v>4157.86</v>
      </c>
      <c r="U20" s="126">
        <v>1476.78</v>
      </c>
      <c r="V20" s="121">
        <f t="shared" si="4"/>
        <v>15980.76</v>
      </c>
      <c r="W20" s="116">
        <f t="shared" si="12"/>
        <v>20962.415000000005</v>
      </c>
      <c r="X20" s="116"/>
      <c r="Y20" s="114">
        <f t="shared" si="14"/>
        <v>1496.1</v>
      </c>
      <c r="Z20" s="114">
        <f>B20*0.2*0.99426</f>
        <v>495.8374620000001</v>
      </c>
      <c r="AA20" s="114">
        <f>0.85*B20*0.98824+0.01</f>
        <v>2094.5599740000002</v>
      </c>
      <c r="AB20" s="114">
        <f t="shared" si="8"/>
        <v>377.02079532000005</v>
      </c>
      <c r="AC20" s="114">
        <f>0.83*B20*0.99023</f>
        <v>2049.38495915</v>
      </c>
      <c r="AD20" s="114">
        <f t="shared" si="9"/>
        <v>368.88929264700005</v>
      </c>
      <c r="AE20" s="114">
        <f>1.91*B20*0.99023</f>
        <v>4716.05454455</v>
      </c>
      <c r="AF20" s="114">
        <f t="shared" si="10"/>
        <v>848.889818019</v>
      </c>
      <c r="AG20" s="114">
        <v>0</v>
      </c>
      <c r="AH20" s="114">
        <f t="shared" si="11"/>
        <v>0</v>
      </c>
      <c r="AI20" s="140"/>
      <c r="AJ20" s="100">
        <f t="shared" si="11"/>
        <v>0</v>
      </c>
      <c r="AK20" s="117"/>
      <c r="AL20" s="117"/>
      <c r="AM20" s="117">
        <f>AK20*0.18</f>
        <v>0</v>
      </c>
      <c r="AN20" s="111">
        <v>248</v>
      </c>
      <c r="AO20" s="119">
        <v>1.125</v>
      </c>
      <c r="AP20" s="114">
        <f t="shared" si="5"/>
        <v>368.7264</v>
      </c>
      <c r="AQ20" s="120"/>
      <c r="AR20" s="120">
        <f t="shared" si="13"/>
        <v>0</v>
      </c>
      <c r="AS20" s="120">
        <f t="shared" si="15"/>
        <v>12815.463245686002</v>
      </c>
      <c r="AT20" s="132"/>
      <c r="AU20" s="14">
        <f t="shared" si="6"/>
        <v>8146.951754314003</v>
      </c>
      <c r="AV20" s="30">
        <f t="shared" si="7"/>
        <v>-606.3600000000024</v>
      </c>
    </row>
    <row r="21" spans="1:48" ht="12.75">
      <c r="A21" s="11" t="s">
        <v>46</v>
      </c>
      <c r="B21" s="121">
        <v>2493.5</v>
      </c>
      <c r="C21" s="122">
        <f t="shared" si="1"/>
        <v>21568.775</v>
      </c>
      <c r="D21" s="141">
        <f>C21-E21-F21-G21-H21-I21-J21-K21-L21-M21-N21</f>
        <v>1475.454999999998</v>
      </c>
      <c r="E21" s="105">
        <v>1915.33</v>
      </c>
      <c r="F21" s="105">
        <v>404.56</v>
      </c>
      <c r="G21" s="105">
        <v>2592.22</v>
      </c>
      <c r="H21" s="105">
        <v>548.4</v>
      </c>
      <c r="I21" s="105">
        <v>6231.32</v>
      </c>
      <c r="J21" s="105">
        <v>1317.07</v>
      </c>
      <c r="K21" s="105">
        <v>4315.97</v>
      </c>
      <c r="L21" s="105">
        <v>912.52</v>
      </c>
      <c r="M21" s="105">
        <v>1532.29</v>
      </c>
      <c r="N21" s="145">
        <v>323.64</v>
      </c>
      <c r="O21" s="86">
        <f t="shared" si="2"/>
        <v>16587.13</v>
      </c>
      <c r="P21" s="97">
        <f t="shared" si="3"/>
        <v>3506.1899999999996</v>
      </c>
      <c r="Q21" s="126">
        <v>1561.59</v>
      </c>
      <c r="R21" s="126">
        <v>2112.44</v>
      </c>
      <c r="S21" s="126">
        <v>5079.35</v>
      </c>
      <c r="T21" s="126">
        <v>3517.81</v>
      </c>
      <c r="U21" s="126">
        <v>1249.22</v>
      </c>
      <c r="V21" s="121">
        <f t="shared" si="4"/>
        <v>13520.41</v>
      </c>
      <c r="W21" s="116">
        <f t="shared" si="12"/>
        <v>18502.054999999997</v>
      </c>
      <c r="X21" s="116"/>
      <c r="Y21" s="114">
        <f t="shared" si="14"/>
        <v>1496.1</v>
      </c>
      <c r="Z21" s="114">
        <f>B21*0.2*0.99875</f>
        <v>498.07662500000004</v>
      </c>
      <c r="AA21" s="114">
        <f>0.85*B21*0.9882</f>
        <v>2094.4651949999998</v>
      </c>
      <c r="AB21" s="114">
        <f t="shared" si="8"/>
        <v>377.0037351</v>
      </c>
      <c r="AC21" s="114">
        <f>0.83*B21*0.9903</f>
        <v>2049.5298315</v>
      </c>
      <c r="AD21" s="114">
        <f t="shared" si="9"/>
        <v>368.91536966999996</v>
      </c>
      <c r="AE21" s="114">
        <f>1.91*B21*0.9902</f>
        <v>4715.911667</v>
      </c>
      <c r="AF21" s="114">
        <f t="shared" si="10"/>
        <v>848.86410006</v>
      </c>
      <c r="AG21" s="114">
        <v>0</v>
      </c>
      <c r="AH21" s="114">
        <f t="shared" si="11"/>
        <v>0</v>
      </c>
      <c r="AI21" s="140"/>
      <c r="AJ21" s="100">
        <f t="shared" si="11"/>
        <v>0</v>
      </c>
      <c r="AK21" s="117"/>
      <c r="AL21" s="117"/>
      <c r="AM21" s="88">
        <f>(AK21+AL21)*0.18</f>
        <v>0</v>
      </c>
      <c r="AN21" s="111">
        <v>293</v>
      </c>
      <c r="AO21" s="119">
        <v>1.125</v>
      </c>
      <c r="AP21" s="114">
        <f t="shared" si="5"/>
        <v>435.63239999999996</v>
      </c>
      <c r="AQ21" s="120"/>
      <c r="AR21" s="120">
        <f t="shared" si="13"/>
        <v>0</v>
      </c>
      <c r="AS21" s="120">
        <f t="shared" si="15"/>
        <v>12884.49892333</v>
      </c>
      <c r="AT21" s="132"/>
      <c r="AU21" s="14">
        <f t="shared" si="6"/>
        <v>5617.556076669996</v>
      </c>
      <c r="AV21" s="30">
        <f t="shared" si="7"/>
        <v>-3066.720000000001</v>
      </c>
    </row>
    <row r="22" spans="1:48" ht="12.75">
      <c r="A22" s="11" t="s">
        <v>47</v>
      </c>
      <c r="B22" s="121">
        <v>2493.5</v>
      </c>
      <c r="C22" s="122">
        <f t="shared" si="1"/>
        <v>21568.775</v>
      </c>
      <c r="D22" s="141">
        <f>C22-E22-F22-G22-H22-I22-J22-K22-L22-M22-N22</f>
        <v>1475.4550000000038</v>
      </c>
      <c r="E22" s="96">
        <v>1907.01</v>
      </c>
      <c r="F22" s="96">
        <v>412.88</v>
      </c>
      <c r="G22" s="96">
        <v>2580.96</v>
      </c>
      <c r="H22" s="96">
        <v>559.66</v>
      </c>
      <c r="I22" s="96">
        <v>6204.28</v>
      </c>
      <c r="J22" s="96">
        <v>1344.11</v>
      </c>
      <c r="K22" s="96">
        <v>4297.23</v>
      </c>
      <c r="L22" s="96">
        <v>931.26</v>
      </c>
      <c r="M22" s="96">
        <v>1525.65</v>
      </c>
      <c r="N22" s="124">
        <v>330.28</v>
      </c>
      <c r="O22" s="86">
        <f t="shared" si="2"/>
        <v>16515.13</v>
      </c>
      <c r="P22" s="97">
        <f t="shared" si="3"/>
        <v>3578.1899999999996</v>
      </c>
      <c r="Q22" s="126">
        <v>1558.73</v>
      </c>
      <c r="R22" s="126">
        <v>2108.68</v>
      </c>
      <c r="S22" s="126">
        <v>5061.96</v>
      </c>
      <c r="T22" s="126">
        <v>3511.39</v>
      </c>
      <c r="U22" s="126">
        <v>1385.59</v>
      </c>
      <c r="V22" s="121">
        <f t="shared" si="4"/>
        <v>13626.349999999999</v>
      </c>
      <c r="W22" s="116">
        <f t="shared" si="12"/>
        <v>18679.995000000003</v>
      </c>
      <c r="X22" s="116"/>
      <c r="Y22" s="114">
        <f t="shared" si="14"/>
        <v>1496.1</v>
      </c>
      <c r="Z22" s="114">
        <f>B22*0.2*0.9997</f>
        <v>498.55039000000005</v>
      </c>
      <c r="AA22" s="114">
        <f>0.85*B22*0.9882</f>
        <v>2094.4651949999998</v>
      </c>
      <c r="AB22" s="114">
        <f t="shared" si="8"/>
        <v>377.0037351</v>
      </c>
      <c r="AC22" s="114">
        <f>(0.83*B22)*0.9902</f>
        <v>2049.322871</v>
      </c>
      <c r="AD22" s="114">
        <f t="shared" si="9"/>
        <v>368.87811677999997</v>
      </c>
      <c r="AE22" s="114">
        <f>1.91*B22*0.9902</f>
        <v>4715.911667</v>
      </c>
      <c r="AF22" s="114">
        <f t="shared" si="10"/>
        <v>848.86410006</v>
      </c>
      <c r="AG22" s="114">
        <v>0</v>
      </c>
      <c r="AH22" s="114">
        <f t="shared" si="11"/>
        <v>0</v>
      </c>
      <c r="AI22" s="140"/>
      <c r="AJ22" s="100">
        <f t="shared" si="11"/>
        <v>0</v>
      </c>
      <c r="AK22" s="117"/>
      <c r="AL22" s="117"/>
      <c r="AM22" s="88">
        <f>(AK22+AL22)*0.18</f>
        <v>0</v>
      </c>
      <c r="AN22" s="111">
        <v>349</v>
      </c>
      <c r="AO22" s="119">
        <v>1.125</v>
      </c>
      <c r="AP22" s="114">
        <f t="shared" si="5"/>
        <v>518.8932000000001</v>
      </c>
      <c r="AQ22" s="120"/>
      <c r="AR22" s="120">
        <f t="shared" si="13"/>
        <v>0</v>
      </c>
      <c r="AS22" s="120">
        <f t="shared" si="15"/>
        <v>12967.98927494</v>
      </c>
      <c r="AT22" s="132"/>
      <c r="AU22" s="14">
        <f t="shared" si="6"/>
        <v>5712.005725060002</v>
      </c>
      <c r="AV22" s="30">
        <f t="shared" si="7"/>
        <v>-2888.7800000000025</v>
      </c>
    </row>
    <row r="23" spans="1:48" ht="12.75">
      <c r="A23" s="11" t="s">
        <v>35</v>
      </c>
      <c r="B23" s="151">
        <v>2493.5</v>
      </c>
      <c r="C23" s="95">
        <f t="shared" si="1"/>
        <v>21568.775</v>
      </c>
      <c r="D23" s="141">
        <f>C23-O23-P23</f>
        <v>1501.6450000000018</v>
      </c>
      <c r="E23" s="96">
        <v>1903.94</v>
      </c>
      <c r="F23" s="96">
        <v>412.86</v>
      </c>
      <c r="G23" s="96">
        <v>2576.95</v>
      </c>
      <c r="H23" s="96">
        <v>559.64</v>
      </c>
      <c r="I23" s="96">
        <v>6194.43</v>
      </c>
      <c r="J23" s="96">
        <v>1344.13</v>
      </c>
      <c r="K23" s="96">
        <v>4290.47</v>
      </c>
      <c r="L23" s="96">
        <v>931.23</v>
      </c>
      <c r="M23" s="96">
        <v>1523.19</v>
      </c>
      <c r="N23" s="99">
        <v>330.29</v>
      </c>
      <c r="O23" s="146">
        <f t="shared" si="2"/>
        <v>16488.98</v>
      </c>
      <c r="P23" s="147">
        <f t="shared" si="3"/>
        <v>3578.15</v>
      </c>
      <c r="Q23" s="126">
        <v>1626.25</v>
      </c>
      <c r="R23" s="126">
        <v>2200.38</v>
      </c>
      <c r="S23" s="126">
        <v>5290.24</v>
      </c>
      <c r="T23" s="126">
        <v>3664.01</v>
      </c>
      <c r="U23" s="126">
        <v>1301.02</v>
      </c>
      <c r="V23" s="99">
        <f t="shared" si="4"/>
        <v>14081.9</v>
      </c>
      <c r="W23" s="98">
        <f t="shared" si="12"/>
        <v>19161.695</v>
      </c>
      <c r="X23" s="93"/>
      <c r="Y23" s="148">
        <f t="shared" si="14"/>
        <v>1496.1</v>
      </c>
      <c r="Z23" s="16">
        <f>B23*0.2</f>
        <v>498.70000000000005</v>
      </c>
      <c r="AA23" s="16">
        <f>0.85*B23</f>
        <v>2119.475</v>
      </c>
      <c r="AB23" s="16">
        <f t="shared" si="8"/>
        <v>381.5055</v>
      </c>
      <c r="AC23" s="16">
        <f>(0.83*B23)</f>
        <v>2069.605</v>
      </c>
      <c r="AD23" s="16">
        <f t="shared" si="9"/>
        <v>372.52889999999996</v>
      </c>
      <c r="AE23" s="16">
        <f>1.91*B23</f>
        <v>4762.585</v>
      </c>
      <c r="AF23" s="16">
        <f t="shared" si="10"/>
        <v>857.2653</v>
      </c>
      <c r="AG23" s="16">
        <v>0</v>
      </c>
      <c r="AH23" s="16">
        <f t="shared" si="11"/>
        <v>0</v>
      </c>
      <c r="AI23" s="140"/>
      <c r="AJ23" s="100">
        <f t="shared" si="11"/>
        <v>0</v>
      </c>
      <c r="AK23" s="88">
        <v>5079.92</v>
      </c>
      <c r="AL23" s="88"/>
      <c r="AM23" s="88">
        <f>(AK23+AL23)*0.18</f>
        <v>914.3856</v>
      </c>
      <c r="AN23" s="129">
        <v>425</v>
      </c>
      <c r="AO23" s="110">
        <v>1.125</v>
      </c>
      <c r="AP23" s="16">
        <f>AN23*AO23*1.12*1.18</f>
        <v>631.89</v>
      </c>
      <c r="AQ23" s="104"/>
      <c r="AR23" s="104">
        <f t="shared" si="13"/>
        <v>0</v>
      </c>
      <c r="AS23" s="149">
        <f t="shared" si="15"/>
        <v>19183.9603</v>
      </c>
      <c r="AT23" s="150"/>
      <c r="AU23" s="14">
        <f t="shared" si="6"/>
        <v>-22.265299999999115</v>
      </c>
      <c r="AV23" s="30">
        <f t="shared" si="7"/>
        <v>-2407.08</v>
      </c>
    </row>
    <row r="24" spans="1:48" ht="12.75">
      <c r="A24" s="11" t="s">
        <v>36</v>
      </c>
      <c r="B24" s="151">
        <v>2493.5</v>
      </c>
      <c r="C24" s="95">
        <f t="shared" si="1"/>
        <v>21568.775</v>
      </c>
      <c r="D24" s="141">
        <f>C24-O24-P24</f>
        <v>1502.4850000000033</v>
      </c>
      <c r="E24" s="96">
        <v>1903.83</v>
      </c>
      <c r="F24" s="96">
        <v>412.88</v>
      </c>
      <c r="G24" s="96">
        <v>2576.83</v>
      </c>
      <c r="H24" s="96">
        <v>559.66</v>
      </c>
      <c r="I24" s="96">
        <v>6194.1</v>
      </c>
      <c r="J24" s="96">
        <v>1344.11</v>
      </c>
      <c r="K24" s="96">
        <v>4290.23</v>
      </c>
      <c r="L24" s="96">
        <v>931.26</v>
      </c>
      <c r="M24" s="96">
        <v>1523.11</v>
      </c>
      <c r="N24" s="124">
        <v>330.28</v>
      </c>
      <c r="O24" s="146">
        <f t="shared" si="2"/>
        <v>16488.1</v>
      </c>
      <c r="P24" s="147">
        <f t="shared" si="3"/>
        <v>3578.1899999999996</v>
      </c>
      <c r="Q24" s="152">
        <v>1443.77</v>
      </c>
      <c r="R24" s="152">
        <v>1875.44</v>
      </c>
      <c r="S24" s="152">
        <v>4508.83</v>
      </c>
      <c r="T24" s="152">
        <v>3122.8</v>
      </c>
      <c r="U24" s="152">
        <v>1103.24</v>
      </c>
      <c r="V24" s="99">
        <f t="shared" si="4"/>
        <v>12054.08</v>
      </c>
      <c r="W24" s="98">
        <f t="shared" si="12"/>
        <v>17134.755000000005</v>
      </c>
      <c r="X24" s="98"/>
      <c r="Y24" s="16">
        <f t="shared" si="14"/>
        <v>1496.1</v>
      </c>
      <c r="Z24" s="16">
        <f>B24*0.2</f>
        <v>498.70000000000005</v>
      </c>
      <c r="AA24" s="16">
        <f>0.85*B24</f>
        <v>2119.475</v>
      </c>
      <c r="AB24" s="16">
        <f t="shared" si="8"/>
        <v>381.5055</v>
      </c>
      <c r="AC24" s="16">
        <f>(0.83*B24)</f>
        <v>2069.605</v>
      </c>
      <c r="AD24" s="16">
        <f t="shared" si="9"/>
        <v>372.52889999999996</v>
      </c>
      <c r="AE24" s="16">
        <f>1.91*B24</f>
        <v>4762.585</v>
      </c>
      <c r="AF24" s="16">
        <f t="shared" si="10"/>
        <v>857.2653</v>
      </c>
      <c r="AG24" s="16">
        <v>0</v>
      </c>
      <c r="AH24" s="16">
        <f t="shared" si="11"/>
        <v>0</v>
      </c>
      <c r="AI24" s="140"/>
      <c r="AJ24" s="100">
        <f t="shared" si="11"/>
        <v>0</v>
      </c>
      <c r="AK24" s="88">
        <v>6099.1</v>
      </c>
      <c r="AL24" s="88"/>
      <c r="AM24" s="88">
        <f>AK24*0.18</f>
        <v>1097.838</v>
      </c>
      <c r="AN24" s="129">
        <v>470</v>
      </c>
      <c r="AO24" s="110">
        <v>1.125</v>
      </c>
      <c r="AP24" s="16">
        <f>AN24*AO24*1.12*1.18</f>
        <v>698.796</v>
      </c>
      <c r="AQ24" s="104"/>
      <c r="AR24" s="104">
        <f t="shared" si="13"/>
        <v>0</v>
      </c>
      <c r="AS24" s="104">
        <f t="shared" si="15"/>
        <v>20453.498699999996</v>
      </c>
      <c r="AT24" s="107"/>
      <c r="AU24" s="14">
        <f t="shared" si="6"/>
        <v>-3318.743699999992</v>
      </c>
      <c r="AV24" s="30">
        <f t="shared" si="7"/>
        <v>-4434.019999999999</v>
      </c>
    </row>
    <row r="25" spans="1:48" ht="12.75">
      <c r="A25" s="11" t="s">
        <v>37</v>
      </c>
      <c r="B25" s="153">
        <v>2493.5</v>
      </c>
      <c r="C25" s="122">
        <f t="shared" si="1"/>
        <v>21568.775</v>
      </c>
      <c r="D25" s="123">
        <f>C25-E25-F25-G25-H25-I25-J25-K25-L25-M25-N25</f>
        <v>1502.4850000000001</v>
      </c>
      <c r="E25" s="154">
        <v>1903.83</v>
      </c>
      <c r="F25" s="154">
        <v>412.88</v>
      </c>
      <c r="G25" s="154">
        <v>2576.83</v>
      </c>
      <c r="H25" s="154">
        <v>559.66</v>
      </c>
      <c r="I25" s="154">
        <v>6194.1</v>
      </c>
      <c r="J25" s="154">
        <v>1344.11</v>
      </c>
      <c r="K25" s="154">
        <v>4290.23</v>
      </c>
      <c r="L25" s="154">
        <v>931.26</v>
      </c>
      <c r="M25" s="154">
        <v>1523.11</v>
      </c>
      <c r="N25" s="154">
        <v>330.28</v>
      </c>
      <c r="O25" s="85">
        <f t="shared" si="2"/>
        <v>16488.1</v>
      </c>
      <c r="P25" s="97">
        <f t="shared" si="3"/>
        <v>3578.1899999999996</v>
      </c>
      <c r="Q25" s="126">
        <v>3186.95</v>
      </c>
      <c r="R25" s="126">
        <v>4311.4</v>
      </c>
      <c r="S25" s="126">
        <v>10366.26</v>
      </c>
      <c r="T25" s="126">
        <v>7179.35</v>
      </c>
      <c r="U25" s="126">
        <v>2549.61</v>
      </c>
      <c r="V25" s="99">
        <f t="shared" si="4"/>
        <v>27593.57</v>
      </c>
      <c r="W25" s="98">
        <f t="shared" si="12"/>
        <v>32674.245</v>
      </c>
      <c r="X25" s="98"/>
      <c r="Y25" s="16">
        <f t="shared" si="14"/>
        <v>1496.1</v>
      </c>
      <c r="Z25" s="16">
        <f>B25*0.2</f>
        <v>498.70000000000005</v>
      </c>
      <c r="AA25" s="16">
        <f>0.85*B25</f>
        <v>2119.475</v>
      </c>
      <c r="AB25" s="16">
        <f t="shared" si="8"/>
        <v>381.5055</v>
      </c>
      <c r="AC25" s="16">
        <f>(0.83*B25)</f>
        <v>2069.605</v>
      </c>
      <c r="AD25" s="16">
        <f t="shared" si="9"/>
        <v>372.52889999999996</v>
      </c>
      <c r="AE25" s="16">
        <f>1.91*B25</f>
        <v>4762.585</v>
      </c>
      <c r="AF25" s="16">
        <f t="shared" si="10"/>
        <v>857.2653</v>
      </c>
      <c r="AG25" s="16">
        <v>0</v>
      </c>
      <c r="AH25" s="16">
        <f t="shared" si="11"/>
        <v>0</v>
      </c>
      <c r="AI25" s="140"/>
      <c r="AJ25" s="100">
        <f t="shared" si="11"/>
        <v>0</v>
      </c>
      <c r="AK25" s="88"/>
      <c r="AL25" s="88"/>
      <c r="AM25" s="88">
        <f>AK25*0.18</f>
        <v>0</v>
      </c>
      <c r="AN25" s="129">
        <v>514</v>
      </c>
      <c r="AO25" s="110">
        <v>1.125</v>
      </c>
      <c r="AP25" s="16">
        <f>AN25*AO25*1.12*1.18</f>
        <v>764.2152000000001</v>
      </c>
      <c r="AQ25" s="104"/>
      <c r="AR25" s="104">
        <f t="shared" si="13"/>
        <v>0</v>
      </c>
      <c r="AS25" s="104">
        <f t="shared" si="15"/>
        <v>13321.9799</v>
      </c>
      <c r="AT25" s="107"/>
      <c r="AU25" s="14">
        <f t="shared" si="6"/>
        <v>19352.265099999997</v>
      </c>
      <c r="AV25" s="30">
        <f t="shared" si="7"/>
        <v>11105.470000000001</v>
      </c>
    </row>
    <row r="26" spans="1:48" s="20" customFormat="1" ht="12.75">
      <c r="A26" s="17" t="s">
        <v>5</v>
      </c>
      <c r="B26" s="60"/>
      <c r="C26" s="60">
        <f aca="true" t="shared" si="16" ref="C26:AT26">SUM(C14:C25)</f>
        <v>258825.29999999996</v>
      </c>
      <c r="D26" s="60">
        <f t="shared" si="16"/>
        <v>22726.747500000016</v>
      </c>
      <c r="E26" s="57">
        <f t="shared" si="16"/>
        <v>22424.870000000003</v>
      </c>
      <c r="F26" s="57">
        <f t="shared" si="16"/>
        <v>4763.35</v>
      </c>
      <c r="G26" s="57">
        <f t="shared" si="16"/>
        <v>30251.760000000002</v>
      </c>
      <c r="H26" s="57">
        <f t="shared" si="16"/>
        <v>6426.089999999999</v>
      </c>
      <c r="I26" s="57">
        <f t="shared" si="16"/>
        <v>72933.43000000001</v>
      </c>
      <c r="J26" s="57">
        <f t="shared" si="16"/>
        <v>15498.870000000003</v>
      </c>
      <c r="K26" s="57">
        <f t="shared" si="16"/>
        <v>50508.2</v>
      </c>
      <c r="L26" s="57">
        <f t="shared" si="16"/>
        <v>10735.390000000001</v>
      </c>
      <c r="M26" s="57">
        <f t="shared" si="16"/>
        <v>17940.200000000004</v>
      </c>
      <c r="N26" s="57">
        <f t="shared" si="16"/>
        <v>3810.5899999999992</v>
      </c>
      <c r="O26" s="57">
        <f t="shared" si="16"/>
        <v>194058.46000000002</v>
      </c>
      <c r="P26" s="57">
        <f t="shared" si="16"/>
        <v>41234.29</v>
      </c>
      <c r="Q26" s="61">
        <f t="shared" si="16"/>
        <v>19461.29</v>
      </c>
      <c r="R26" s="61">
        <f t="shared" si="16"/>
        <v>26230.71</v>
      </c>
      <c r="S26" s="61">
        <f t="shared" si="16"/>
        <v>63089.189999999995</v>
      </c>
      <c r="T26" s="61">
        <f t="shared" si="16"/>
        <v>43693.520000000004</v>
      </c>
      <c r="U26" s="61">
        <f t="shared" si="16"/>
        <v>15656.08</v>
      </c>
      <c r="V26" s="61">
        <f t="shared" si="16"/>
        <v>168130.78999999998</v>
      </c>
      <c r="W26" s="61">
        <f t="shared" si="16"/>
        <v>232091.8275</v>
      </c>
      <c r="X26" s="91">
        <f t="shared" si="16"/>
        <v>0</v>
      </c>
      <c r="Y26" s="18">
        <f t="shared" si="16"/>
        <v>17354.760000000002</v>
      </c>
      <c r="Z26" s="18">
        <f t="shared" si="16"/>
        <v>5810.9421919999995</v>
      </c>
      <c r="AA26" s="18">
        <f t="shared" si="16"/>
        <v>24363.574682999995</v>
      </c>
      <c r="AB26" s="18">
        <f t="shared" si="16"/>
        <v>4385.443442940001</v>
      </c>
      <c r="AC26" s="18">
        <f t="shared" si="16"/>
        <v>23851.0800383</v>
      </c>
      <c r="AD26" s="18">
        <f t="shared" si="16"/>
        <v>4293.194406893999</v>
      </c>
      <c r="AE26" s="18">
        <f t="shared" si="16"/>
        <v>54882.80347337118</v>
      </c>
      <c r="AF26" s="18">
        <f t="shared" si="16"/>
        <v>9878.904625206815</v>
      </c>
      <c r="AG26" s="18">
        <f t="shared" si="16"/>
        <v>0</v>
      </c>
      <c r="AH26" s="18">
        <f t="shared" si="16"/>
        <v>0</v>
      </c>
      <c r="AI26" s="18">
        <f>SUM(AI14:AI25)</f>
        <v>0</v>
      </c>
      <c r="AJ26" s="18">
        <f>SUM(AJ14:AJ25)</f>
        <v>0</v>
      </c>
      <c r="AK26" s="18">
        <f>SUM(AK14:AK25)</f>
        <v>17166.52</v>
      </c>
      <c r="AL26" s="18">
        <f>SUM(AL14:AL25)</f>
        <v>0</v>
      </c>
      <c r="AM26" s="18">
        <f>SUM(AM14:AM25)</f>
        <v>3089.9736000000003</v>
      </c>
      <c r="AN26" s="18"/>
      <c r="AO26" s="18"/>
      <c r="AP26" s="18">
        <f t="shared" si="16"/>
        <v>6541.92</v>
      </c>
      <c r="AQ26" s="18">
        <f t="shared" si="16"/>
        <v>0</v>
      </c>
      <c r="AR26" s="18">
        <f t="shared" si="16"/>
        <v>0</v>
      </c>
      <c r="AS26" s="18">
        <f t="shared" si="16"/>
        <v>171619.116461712</v>
      </c>
      <c r="AT26" s="18">
        <f t="shared" si="16"/>
        <v>0</v>
      </c>
      <c r="AU26" s="18">
        <f>SUM(AU14:AU25)</f>
        <v>60472.71103828802</v>
      </c>
      <c r="AV26" s="19">
        <f>SUM(AV14:AV25)</f>
        <v>-25927.67</v>
      </c>
    </row>
    <row r="27" spans="1:48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8"/>
      <c r="P27" s="48"/>
      <c r="Q27" s="52"/>
      <c r="R27" s="52"/>
      <c r="S27" s="52"/>
      <c r="T27" s="52"/>
      <c r="U27" s="52"/>
      <c r="V27" s="52"/>
      <c r="W27" s="92"/>
      <c r="X27" s="93"/>
      <c r="Y27" s="16"/>
      <c r="Z27" s="16"/>
      <c r="AA27" s="16"/>
      <c r="AB27" s="16"/>
      <c r="AC27" s="16"/>
      <c r="AD27" s="16"/>
      <c r="AE27" s="16"/>
      <c r="AF27" s="16"/>
      <c r="AG27" s="15"/>
      <c r="AH27" s="15"/>
      <c r="AI27" s="15"/>
      <c r="AJ27" s="15"/>
      <c r="AK27" s="87"/>
      <c r="AL27" s="87"/>
      <c r="AM27" s="88"/>
      <c r="AN27" s="88"/>
      <c r="AO27" s="88"/>
      <c r="AP27" s="21"/>
      <c r="AQ27" s="15"/>
      <c r="AR27" s="16"/>
      <c r="AS27" s="16"/>
      <c r="AT27" s="16"/>
      <c r="AU27" s="16"/>
      <c r="AV27" s="10"/>
    </row>
    <row r="28" spans="1:48" s="20" customFormat="1" ht="13.5" thickBot="1">
      <c r="A28" s="22" t="s">
        <v>48</v>
      </c>
      <c r="B28" s="23"/>
      <c r="C28" s="23">
        <f>C12+C26</f>
        <v>323531.62499999994</v>
      </c>
      <c r="D28" s="23">
        <f>D12+D26</f>
        <v>38300.79561525002</v>
      </c>
      <c r="E28" s="50">
        <f aca="true" t="shared" si="17" ref="E28:AT28">E12+E26</f>
        <v>27802.030000000002</v>
      </c>
      <c r="F28" s="50">
        <f t="shared" si="17"/>
        <v>5870.35</v>
      </c>
      <c r="G28" s="50">
        <f t="shared" si="17"/>
        <v>37511.14</v>
      </c>
      <c r="H28" s="50">
        <f t="shared" si="17"/>
        <v>7920.529999999999</v>
      </c>
      <c r="I28" s="50">
        <f t="shared" si="17"/>
        <v>90409.46</v>
      </c>
      <c r="J28" s="50">
        <f t="shared" si="17"/>
        <v>19096.620000000003</v>
      </c>
      <c r="K28" s="50">
        <f t="shared" si="17"/>
        <v>62607.02</v>
      </c>
      <c r="L28" s="50">
        <f t="shared" si="17"/>
        <v>13226.140000000001</v>
      </c>
      <c r="M28" s="50">
        <f t="shared" si="17"/>
        <v>22241.940000000002</v>
      </c>
      <c r="N28" s="50">
        <f>N12+N26</f>
        <v>4696.219999999999</v>
      </c>
      <c r="O28" s="50">
        <f t="shared" si="17"/>
        <v>240571.59000000003</v>
      </c>
      <c r="P28" s="50">
        <f t="shared" si="17"/>
        <v>50809.86</v>
      </c>
      <c r="Q28" s="53">
        <f t="shared" si="17"/>
        <v>21675.2</v>
      </c>
      <c r="R28" s="53">
        <f t="shared" si="17"/>
        <v>29219.67</v>
      </c>
      <c r="S28" s="53">
        <f t="shared" si="17"/>
        <v>70284.69</v>
      </c>
      <c r="T28" s="53">
        <f t="shared" si="17"/>
        <v>48675.060000000005</v>
      </c>
      <c r="U28" s="53">
        <f t="shared" si="17"/>
        <v>17427.23</v>
      </c>
      <c r="V28" s="53">
        <f t="shared" si="17"/>
        <v>187281.84999999998</v>
      </c>
      <c r="W28" s="53">
        <f t="shared" si="17"/>
        <v>276392.50561525003</v>
      </c>
      <c r="X28" s="53">
        <f t="shared" si="17"/>
        <v>0</v>
      </c>
      <c r="Y28" s="23">
        <f t="shared" si="17"/>
        <v>21843.06</v>
      </c>
      <c r="Z28" s="23">
        <f t="shared" si="17"/>
        <v>7351.177142</v>
      </c>
      <c r="AA28" s="23">
        <f t="shared" si="17"/>
        <v>30703.446482999996</v>
      </c>
      <c r="AB28" s="23">
        <f t="shared" si="17"/>
        <v>5526.620366940001</v>
      </c>
      <c r="AC28" s="23">
        <f t="shared" si="17"/>
        <v>29735.4192323</v>
      </c>
      <c r="AD28" s="23">
        <f t="shared" si="17"/>
        <v>5352.375461813999</v>
      </c>
      <c r="AE28" s="23">
        <f t="shared" si="17"/>
        <v>65690.77574312118</v>
      </c>
      <c r="AF28" s="23">
        <f t="shared" si="17"/>
        <v>11824.339633761814</v>
      </c>
      <c r="AG28" s="23">
        <f t="shared" si="17"/>
        <v>0</v>
      </c>
      <c r="AH28" s="23">
        <f t="shared" si="17"/>
        <v>0</v>
      </c>
      <c r="AI28" s="23">
        <f t="shared" si="17"/>
        <v>0</v>
      </c>
      <c r="AJ28" s="23">
        <f t="shared" si="17"/>
        <v>0</v>
      </c>
      <c r="AK28" s="23">
        <f t="shared" si="17"/>
        <v>34395.15</v>
      </c>
      <c r="AL28" s="23">
        <f t="shared" si="17"/>
        <v>0</v>
      </c>
      <c r="AM28" s="23">
        <f t="shared" si="17"/>
        <v>6191.127</v>
      </c>
      <c r="AN28" s="23"/>
      <c r="AO28" s="23"/>
      <c r="AP28" s="23">
        <f t="shared" si="17"/>
        <v>6541.92</v>
      </c>
      <c r="AQ28" s="23">
        <f t="shared" si="17"/>
        <v>0</v>
      </c>
      <c r="AR28" s="23">
        <f t="shared" si="17"/>
        <v>0</v>
      </c>
      <c r="AS28" s="23">
        <f t="shared" si="17"/>
        <v>225155.411062937</v>
      </c>
      <c r="AT28" s="23">
        <f t="shared" si="17"/>
        <v>0</v>
      </c>
      <c r="AU28" s="23">
        <f>AU12+AU26</f>
        <v>51237.09455231302</v>
      </c>
      <c r="AV28" s="24">
        <f>AV12+AV26</f>
        <v>-53289.73999999999</v>
      </c>
    </row>
    <row r="29" spans="1:48" ht="15" customHeight="1">
      <c r="A29" s="5" t="s">
        <v>84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/>
      <c r="P29" s="55"/>
      <c r="Q29" s="62"/>
      <c r="R29" s="62"/>
      <c r="S29" s="62"/>
      <c r="T29" s="62"/>
      <c r="U29" s="62"/>
      <c r="V29" s="54"/>
      <c r="W29" s="89"/>
      <c r="X29" s="90"/>
      <c r="Y29" s="14"/>
      <c r="Z29" s="14"/>
      <c r="AA29" s="14"/>
      <c r="AB29" s="14"/>
      <c r="AC29" s="14"/>
      <c r="AD29" s="14"/>
      <c r="AE29" s="14"/>
      <c r="AF29" s="14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14"/>
      <c r="AS29" s="14"/>
      <c r="AT29" s="14"/>
      <c r="AU29" s="14"/>
      <c r="AV29" s="30"/>
    </row>
    <row r="30" spans="1:48" ht="12.75">
      <c r="A30" s="11" t="s">
        <v>39</v>
      </c>
      <c r="B30" s="153">
        <v>2493.5</v>
      </c>
      <c r="C30" s="122">
        <f aca="true" t="shared" si="18" ref="C30:C41">B30*8.65</f>
        <v>21568.775</v>
      </c>
      <c r="D30" s="123">
        <f>C30-E30-F30-G30-H30-I30-J30-K30-L30-M30-N30</f>
        <v>1502.4850000000001</v>
      </c>
      <c r="E30" s="96">
        <v>1903.83</v>
      </c>
      <c r="F30" s="96">
        <v>412.88</v>
      </c>
      <c r="G30" s="96">
        <v>2576.83</v>
      </c>
      <c r="H30" s="96">
        <v>559.66</v>
      </c>
      <c r="I30" s="96">
        <v>6194.1</v>
      </c>
      <c r="J30" s="96">
        <v>1344.11</v>
      </c>
      <c r="K30" s="96">
        <v>4290.23</v>
      </c>
      <c r="L30" s="96">
        <v>931.26</v>
      </c>
      <c r="M30" s="96">
        <v>1523.11</v>
      </c>
      <c r="N30" s="124">
        <v>330.28</v>
      </c>
      <c r="O30" s="85">
        <f aca="true" t="shared" si="19" ref="O30:O41">E30+G30+I30+K30+M30</f>
        <v>16488.1</v>
      </c>
      <c r="P30" s="156">
        <f aca="true" t="shared" si="20" ref="P30:P41">N30+L30+J30+H30+F30</f>
        <v>3578.1899999999996</v>
      </c>
      <c r="Q30" s="125">
        <v>1710.74</v>
      </c>
      <c r="R30" s="126">
        <v>2314.75</v>
      </c>
      <c r="S30" s="126">
        <v>5565.19</v>
      </c>
      <c r="T30" s="126">
        <v>3854.41</v>
      </c>
      <c r="U30" s="126">
        <v>1368.68</v>
      </c>
      <c r="V30" s="121">
        <f>SUM(Q30:U30)</f>
        <v>14813.77</v>
      </c>
      <c r="W30" s="127">
        <f aca="true" t="shared" si="21" ref="W30:W41">D30+P30+V30</f>
        <v>19894.445</v>
      </c>
      <c r="X30" s="98"/>
      <c r="Y30" s="16">
        <f aca="true" t="shared" si="22" ref="Y30:Y41">0.6*B30</f>
        <v>1496.1</v>
      </c>
      <c r="Z30" s="16">
        <f aca="true" t="shared" si="23" ref="Z30:Z41">B30*0.2</f>
        <v>498.70000000000005</v>
      </c>
      <c r="AA30" s="16">
        <f aca="true" t="shared" si="24" ref="AA30:AA41">1*B30</f>
        <v>2493.5</v>
      </c>
      <c r="AB30" s="16">
        <v>0</v>
      </c>
      <c r="AC30" s="16">
        <f>0.98*B30</f>
        <v>2443.63</v>
      </c>
      <c r="AD30" s="16">
        <v>0</v>
      </c>
      <c r="AE30" s="16">
        <f aca="true" t="shared" si="25" ref="AE30:AE41">2.25*B30</f>
        <v>5610.375</v>
      </c>
      <c r="AF30" s="16">
        <v>0</v>
      </c>
      <c r="AG30" s="16">
        <v>0</v>
      </c>
      <c r="AH30" s="16">
        <f>AG30*0.18</f>
        <v>0</v>
      </c>
      <c r="AI30" s="100"/>
      <c r="AJ30" s="100"/>
      <c r="AK30" s="88">
        <v>12355.32</v>
      </c>
      <c r="AL30" s="88"/>
      <c r="AM30" s="88"/>
      <c r="AN30" s="129">
        <v>508</v>
      </c>
      <c r="AO30" s="110">
        <v>1.125</v>
      </c>
      <c r="AP30" s="16">
        <f aca="true" t="shared" si="26" ref="AP30:AP41">AN30*AO30*1.4</f>
        <v>800.0999999999999</v>
      </c>
      <c r="AQ30" s="104"/>
      <c r="AR30" s="104">
        <f aca="true" t="shared" si="27" ref="AR30:AR41">AQ30*0.18</f>
        <v>0</v>
      </c>
      <c r="AS30" s="104">
        <f>SUM(Y30:AR30)-AN30-AO30</f>
        <v>25697.725</v>
      </c>
      <c r="AT30" s="107"/>
      <c r="AU30" s="14">
        <f aca="true" t="shared" si="28" ref="AU30:AU41">W30+X30-AS30-AT30</f>
        <v>-5803.279999999999</v>
      </c>
      <c r="AV30" s="30">
        <f aca="true" t="shared" si="29" ref="AV30:AV41">V30-O30</f>
        <v>-1674.329999999998</v>
      </c>
    </row>
    <row r="31" spans="1:48" ht="12.75">
      <c r="A31" s="11" t="s">
        <v>40</v>
      </c>
      <c r="B31" s="153">
        <v>2493.5</v>
      </c>
      <c r="C31" s="122">
        <f t="shared" si="18"/>
        <v>21568.775</v>
      </c>
      <c r="D31" s="123">
        <f>C31-E31-F31-G31-H31-I31-J31-K31-L31-M31-N31</f>
        <v>1520.6249999999975</v>
      </c>
      <c r="E31" s="96">
        <v>1897.99</v>
      </c>
      <c r="F31" s="96">
        <v>416.59</v>
      </c>
      <c r="G31" s="96">
        <v>2569.02</v>
      </c>
      <c r="H31" s="96">
        <v>564.69</v>
      </c>
      <c r="I31" s="96">
        <v>6175.18</v>
      </c>
      <c r="J31" s="96">
        <v>1356.2</v>
      </c>
      <c r="K31" s="96">
        <v>4277.17</v>
      </c>
      <c r="L31" s="96">
        <v>939.63</v>
      </c>
      <c r="M31" s="96">
        <v>1518.43</v>
      </c>
      <c r="N31" s="124">
        <v>333.25</v>
      </c>
      <c r="O31" s="85">
        <f t="shared" si="19"/>
        <v>16437.79</v>
      </c>
      <c r="P31" s="97">
        <f t="shared" si="20"/>
        <v>3610.36</v>
      </c>
      <c r="Q31" s="126">
        <v>1380.18</v>
      </c>
      <c r="R31" s="126">
        <v>1867.39</v>
      </c>
      <c r="S31" s="126">
        <v>4489.85</v>
      </c>
      <c r="T31" s="126">
        <v>3109.57</v>
      </c>
      <c r="U31" s="126">
        <v>1104.21</v>
      </c>
      <c r="V31" s="121">
        <f>SUM(Q31:U31)</f>
        <v>11951.2</v>
      </c>
      <c r="W31" s="98">
        <f t="shared" si="21"/>
        <v>17082.184999999998</v>
      </c>
      <c r="X31" s="98"/>
      <c r="Y31" s="16">
        <f t="shared" si="22"/>
        <v>1496.1</v>
      </c>
      <c r="Z31" s="16">
        <f t="shared" si="23"/>
        <v>498.70000000000005</v>
      </c>
      <c r="AA31" s="16">
        <f t="shared" si="24"/>
        <v>2493.5</v>
      </c>
      <c r="AB31" s="16">
        <v>0</v>
      </c>
      <c r="AC31" s="16">
        <f>0.98*B31</f>
        <v>2443.63</v>
      </c>
      <c r="AD31" s="16">
        <v>0</v>
      </c>
      <c r="AE31" s="16">
        <f t="shared" si="25"/>
        <v>5610.375</v>
      </c>
      <c r="AF31" s="16">
        <v>0</v>
      </c>
      <c r="AG31" s="16">
        <v>0</v>
      </c>
      <c r="AH31" s="16">
        <f>AG31*0.18</f>
        <v>0</v>
      </c>
      <c r="AI31" s="100"/>
      <c r="AJ31" s="100"/>
      <c r="AK31" s="88"/>
      <c r="AL31" s="88"/>
      <c r="AM31" s="88"/>
      <c r="AN31" s="129">
        <v>407</v>
      </c>
      <c r="AO31" s="110">
        <v>1.125</v>
      </c>
      <c r="AP31" s="16">
        <f t="shared" si="26"/>
        <v>641.025</v>
      </c>
      <c r="AQ31" s="104"/>
      <c r="AR31" s="104">
        <f t="shared" si="27"/>
        <v>0</v>
      </c>
      <c r="AS31" s="104">
        <f>SUM(Y31:AR31)-AN31-AO31</f>
        <v>13183.33</v>
      </c>
      <c r="AT31" s="107"/>
      <c r="AU31" s="14">
        <f t="shared" si="28"/>
        <v>3898.8549999999977</v>
      </c>
      <c r="AV31" s="30">
        <f t="shared" si="29"/>
        <v>-4486.59</v>
      </c>
    </row>
    <row r="32" spans="1:48" ht="12.75">
      <c r="A32" s="11" t="s">
        <v>41</v>
      </c>
      <c r="B32" s="153">
        <v>2493.5</v>
      </c>
      <c r="C32" s="122">
        <f t="shared" si="18"/>
        <v>21568.775</v>
      </c>
      <c r="D32" s="123">
        <f>C32-E32-F32-G32-H32-I32-J32-K32-L32-M32-N32</f>
        <v>1492.2649999999994</v>
      </c>
      <c r="E32" s="96">
        <v>1917.58</v>
      </c>
      <c r="F32" s="96">
        <v>400.33</v>
      </c>
      <c r="G32" s="96">
        <v>2595.41</v>
      </c>
      <c r="H32" s="96">
        <v>542.65</v>
      </c>
      <c r="I32" s="96">
        <v>6238.82</v>
      </c>
      <c r="J32" s="96">
        <v>1303.23</v>
      </c>
      <c r="K32" s="96">
        <v>4321.21</v>
      </c>
      <c r="L32" s="96">
        <v>902.93</v>
      </c>
      <c r="M32" s="96">
        <v>1534.11</v>
      </c>
      <c r="N32" s="124">
        <v>320.24</v>
      </c>
      <c r="O32" s="85">
        <f t="shared" si="19"/>
        <v>16607.13</v>
      </c>
      <c r="P32" s="97">
        <f t="shared" si="20"/>
        <v>3469.38</v>
      </c>
      <c r="Q32" s="126">
        <v>1533.28</v>
      </c>
      <c r="R32" s="126">
        <v>2075.15</v>
      </c>
      <c r="S32" s="126">
        <v>4988.32</v>
      </c>
      <c r="T32" s="126">
        <v>3455.05</v>
      </c>
      <c r="U32" s="126">
        <v>1226.62</v>
      </c>
      <c r="V32" s="121">
        <f>SUM(Q32:U32)</f>
        <v>13278.419999999998</v>
      </c>
      <c r="W32" s="98">
        <f t="shared" si="21"/>
        <v>18240.065</v>
      </c>
      <c r="X32" s="98"/>
      <c r="Y32" s="16">
        <f t="shared" si="22"/>
        <v>1496.1</v>
      </c>
      <c r="Z32" s="16">
        <f t="shared" si="23"/>
        <v>498.70000000000005</v>
      </c>
      <c r="AA32" s="16">
        <f t="shared" si="24"/>
        <v>2493.5</v>
      </c>
      <c r="AB32" s="16">
        <v>0</v>
      </c>
      <c r="AC32" s="16">
        <f>0.98*B32</f>
        <v>2443.63</v>
      </c>
      <c r="AD32" s="16">
        <v>0</v>
      </c>
      <c r="AE32" s="16">
        <f t="shared" si="25"/>
        <v>5610.375</v>
      </c>
      <c r="AF32" s="16">
        <v>0</v>
      </c>
      <c r="AG32" s="16"/>
      <c r="AH32" s="16"/>
      <c r="AI32" s="100"/>
      <c r="AJ32" s="100"/>
      <c r="AK32" s="88"/>
      <c r="AL32" s="88"/>
      <c r="AM32" s="88"/>
      <c r="AN32" s="129">
        <v>383</v>
      </c>
      <c r="AO32" s="110">
        <v>1.125</v>
      </c>
      <c r="AP32" s="16">
        <f t="shared" si="26"/>
        <v>603.2249999999999</v>
      </c>
      <c r="AQ32" s="104"/>
      <c r="AR32" s="104">
        <f t="shared" si="27"/>
        <v>0</v>
      </c>
      <c r="AS32" s="104">
        <f>SUM(Y32:AR32)-AN32-AO32</f>
        <v>13145.53</v>
      </c>
      <c r="AT32" s="107"/>
      <c r="AU32" s="14">
        <f t="shared" si="28"/>
        <v>5094.534999999998</v>
      </c>
      <c r="AV32" s="30">
        <f t="shared" si="29"/>
        <v>-3328.7100000000028</v>
      </c>
    </row>
    <row r="33" spans="1:48" ht="12.75">
      <c r="A33" s="11" t="s">
        <v>42</v>
      </c>
      <c r="B33" s="153">
        <v>2493.5</v>
      </c>
      <c r="C33" s="122">
        <f t="shared" si="18"/>
        <v>21568.775</v>
      </c>
      <c r="D33" s="123">
        <f>C33-E33-F33-G33-H33-I33-J33-K33-L33-M33-N33</f>
        <v>1497.295000000001</v>
      </c>
      <c r="E33" s="96">
        <v>1914.35</v>
      </c>
      <c r="F33" s="96">
        <v>402.97</v>
      </c>
      <c r="G33" s="96">
        <v>2591.05</v>
      </c>
      <c r="H33" s="96">
        <v>546.24</v>
      </c>
      <c r="I33" s="96">
        <v>6228.3</v>
      </c>
      <c r="J33" s="96">
        <v>1311.86</v>
      </c>
      <c r="K33" s="96">
        <v>4313.91</v>
      </c>
      <c r="L33" s="96">
        <v>908.92</v>
      </c>
      <c r="M33" s="96">
        <v>1531.52</v>
      </c>
      <c r="N33" s="124">
        <v>322.36</v>
      </c>
      <c r="O33" s="85">
        <f t="shared" si="19"/>
        <v>16579.13</v>
      </c>
      <c r="P33" s="97">
        <f t="shared" si="20"/>
        <v>3492.3500000000004</v>
      </c>
      <c r="Q33" s="126">
        <v>1839.03</v>
      </c>
      <c r="R33" s="126">
        <v>2488.09</v>
      </c>
      <c r="S33" s="126">
        <v>5982.51</v>
      </c>
      <c r="T33" s="126">
        <v>4143.28</v>
      </c>
      <c r="U33" s="126">
        <v>1471.35</v>
      </c>
      <c r="V33" s="121">
        <f aca="true" t="shared" si="30" ref="V33:V41">SUM(Q33:U33)</f>
        <v>15924.26</v>
      </c>
      <c r="W33" s="98">
        <f t="shared" si="21"/>
        <v>20913.905000000002</v>
      </c>
      <c r="X33" s="98"/>
      <c r="Y33" s="16">
        <f t="shared" si="22"/>
        <v>1496.1</v>
      </c>
      <c r="Z33" s="16">
        <f t="shared" si="23"/>
        <v>498.70000000000005</v>
      </c>
      <c r="AA33" s="16">
        <f t="shared" si="24"/>
        <v>2493.5</v>
      </c>
      <c r="AB33" s="16">
        <v>0</v>
      </c>
      <c r="AC33" s="16">
        <f aca="true" t="shared" si="31" ref="AC33:AC41">(0.98*B33)</f>
        <v>2443.63</v>
      </c>
      <c r="AD33" s="16">
        <v>0</v>
      </c>
      <c r="AE33" s="16">
        <f t="shared" si="25"/>
        <v>5610.375</v>
      </c>
      <c r="AF33" s="16">
        <v>0</v>
      </c>
      <c r="AG33" s="16"/>
      <c r="AH33" s="16"/>
      <c r="AI33" s="100"/>
      <c r="AJ33" s="100"/>
      <c r="AK33" s="88"/>
      <c r="AL33" s="88"/>
      <c r="AM33" s="88"/>
      <c r="AN33" s="129">
        <v>307</v>
      </c>
      <c r="AO33" s="110">
        <v>1.125</v>
      </c>
      <c r="AP33" s="16">
        <f t="shared" si="26"/>
        <v>483.525</v>
      </c>
      <c r="AQ33" s="104"/>
      <c r="AR33" s="104">
        <f t="shared" si="27"/>
        <v>0</v>
      </c>
      <c r="AS33" s="104">
        <f>SUM(Y33:AR33)-AN33-AO33</f>
        <v>13025.83</v>
      </c>
      <c r="AT33" s="107"/>
      <c r="AU33" s="14">
        <f t="shared" si="28"/>
        <v>7888.075000000003</v>
      </c>
      <c r="AV33" s="30">
        <f t="shared" si="29"/>
        <v>-654.8700000000008</v>
      </c>
    </row>
    <row r="34" spans="1:48" ht="12.75">
      <c r="A34" s="11" t="s">
        <v>43</v>
      </c>
      <c r="B34" s="121">
        <v>2493.5</v>
      </c>
      <c r="C34" s="122">
        <f t="shared" si="18"/>
        <v>21568.775</v>
      </c>
      <c r="D34" s="123">
        <f>C34-E34-F34-G34-H34-I34-J34-K34-L34-M34-N34</f>
        <v>1497.2750000000024</v>
      </c>
      <c r="E34" s="96">
        <v>1914.35</v>
      </c>
      <c r="F34" s="96">
        <v>402.97</v>
      </c>
      <c r="G34" s="96">
        <v>2591.05</v>
      </c>
      <c r="H34" s="96">
        <v>546.24</v>
      </c>
      <c r="I34" s="96">
        <v>6228.31</v>
      </c>
      <c r="J34" s="96">
        <v>1311.86</v>
      </c>
      <c r="K34" s="96">
        <v>4313.92</v>
      </c>
      <c r="L34" s="96">
        <v>908.92</v>
      </c>
      <c r="M34" s="96">
        <v>1531.53</v>
      </c>
      <c r="N34" s="124">
        <v>322.35</v>
      </c>
      <c r="O34" s="85">
        <f t="shared" si="19"/>
        <v>16579.16</v>
      </c>
      <c r="P34" s="97">
        <f t="shared" si="20"/>
        <v>3492.34</v>
      </c>
      <c r="Q34" s="126">
        <v>1511.54</v>
      </c>
      <c r="R34" s="126">
        <v>2046.19</v>
      </c>
      <c r="S34" s="126">
        <v>4918.03</v>
      </c>
      <c r="T34" s="126">
        <v>3406.49</v>
      </c>
      <c r="U34" s="126">
        <v>1209.29</v>
      </c>
      <c r="V34" s="121">
        <f t="shared" si="30"/>
        <v>13091.54</v>
      </c>
      <c r="W34" s="98">
        <f t="shared" si="21"/>
        <v>18081.155000000002</v>
      </c>
      <c r="X34" s="98"/>
      <c r="Y34" s="16">
        <f t="shared" si="22"/>
        <v>1496.1</v>
      </c>
      <c r="Z34" s="16">
        <f t="shared" si="23"/>
        <v>498.70000000000005</v>
      </c>
      <c r="AA34" s="16">
        <f t="shared" si="24"/>
        <v>2493.5</v>
      </c>
      <c r="AB34" s="16">
        <v>0</v>
      </c>
      <c r="AC34" s="16">
        <f t="shared" si="31"/>
        <v>2443.63</v>
      </c>
      <c r="AD34" s="16">
        <v>0</v>
      </c>
      <c r="AE34" s="16">
        <f t="shared" si="25"/>
        <v>5610.375</v>
      </c>
      <c r="AF34" s="16">
        <v>0</v>
      </c>
      <c r="AG34" s="16"/>
      <c r="AH34" s="16"/>
      <c r="AI34" s="100"/>
      <c r="AJ34" s="100"/>
      <c r="AK34" s="88"/>
      <c r="AL34" s="88"/>
      <c r="AM34" s="88"/>
      <c r="AN34" s="129">
        <v>263</v>
      </c>
      <c r="AO34" s="110">
        <v>1.125</v>
      </c>
      <c r="AP34" s="16">
        <f t="shared" si="26"/>
        <v>414.22499999999997</v>
      </c>
      <c r="AQ34" s="104"/>
      <c r="AR34" s="104">
        <f t="shared" si="27"/>
        <v>0</v>
      </c>
      <c r="AS34" s="104">
        <f>SUM(Y34:AR34)-AN34-AO34</f>
        <v>12956.53</v>
      </c>
      <c r="AT34" s="107"/>
      <c r="AU34" s="14">
        <f t="shared" si="28"/>
        <v>5124.625000000002</v>
      </c>
      <c r="AV34" s="30">
        <f t="shared" si="29"/>
        <v>-3487.619999999999</v>
      </c>
    </row>
    <row r="35" spans="1:48" ht="12.75">
      <c r="A35" s="11" t="s">
        <v>44</v>
      </c>
      <c r="B35" s="121">
        <v>2493.5</v>
      </c>
      <c r="C35" s="122">
        <f t="shared" si="18"/>
        <v>21568.775</v>
      </c>
      <c r="D35" s="123">
        <f>(C35-E35-F35-G35-H35-I35-J35-K35-L35-M35-N35)*0.80125+0.01</f>
        <v>1199.6935812500017</v>
      </c>
      <c r="E35" s="96">
        <v>1914.35</v>
      </c>
      <c r="F35" s="96">
        <v>402.97</v>
      </c>
      <c r="G35" s="96">
        <v>2591.05</v>
      </c>
      <c r="H35" s="96">
        <v>546.24</v>
      </c>
      <c r="I35" s="96">
        <v>6228.33</v>
      </c>
      <c r="J35" s="96">
        <v>1311.85</v>
      </c>
      <c r="K35" s="96">
        <v>4313.92</v>
      </c>
      <c r="L35" s="96">
        <v>908.92</v>
      </c>
      <c r="M35" s="96">
        <v>1531.53</v>
      </c>
      <c r="N35" s="124">
        <v>322.35</v>
      </c>
      <c r="O35" s="85">
        <f t="shared" si="19"/>
        <v>16579.18</v>
      </c>
      <c r="P35" s="97">
        <f t="shared" si="20"/>
        <v>3492.33</v>
      </c>
      <c r="Q35" s="126">
        <v>1465.95</v>
      </c>
      <c r="R35" s="126">
        <v>1984.28</v>
      </c>
      <c r="S35" s="126">
        <v>4769.65</v>
      </c>
      <c r="T35" s="126">
        <v>3303.64</v>
      </c>
      <c r="U35" s="126">
        <v>1172.87</v>
      </c>
      <c r="V35" s="121">
        <f t="shared" si="30"/>
        <v>12696.39</v>
      </c>
      <c r="W35" s="98">
        <f t="shared" si="21"/>
        <v>17388.413581250003</v>
      </c>
      <c r="X35" s="98"/>
      <c r="Y35" s="16">
        <f t="shared" si="22"/>
        <v>1496.1</v>
      </c>
      <c r="Z35" s="16">
        <f t="shared" si="23"/>
        <v>498.70000000000005</v>
      </c>
      <c r="AA35" s="16">
        <f t="shared" si="24"/>
        <v>2493.5</v>
      </c>
      <c r="AB35" s="16">
        <v>0</v>
      </c>
      <c r="AC35" s="16">
        <f t="shared" si="31"/>
        <v>2443.63</v>
      </c>
      <c r="AD35" s="16">
        <v>0</v>
      </c>
      <c r="AE35" s="16">
        <f t="shared" si="25"/>
        <v>5610.375</v>
      </c>
      <c r="AF35" s="16">
        <v>0</v>
      </c>
      <c r="AG35" s="16"/>
      <c r="AH35" s="16"/>
      <c r="AI35" s="100"/>
      <c r="AJ35" s="100"/>
      <c r="AK35" s="88"/>
      <c r="AL35" s="88"/>
      <c r="AM35" s="88"/>
      <c r="AN35" s="129">
        <v>233</v>
      </c>
      <c r="AO35" s="110">
        <v>1.125</v>
      </c>
      <c r="AP35" s="16">
        <f t="shared" si="26"/>
        <v>366.97499999999997</v>
      </c>
      <c r="AQ35" s="104"/>
      <c r="AR35" s="104">
        <f t="shared" si="27"/>
        <v>0</v>
      </c>
      <c r="AS35" s="104">
        <f aca="true" t="shared" si="32" ref="AS35:AS40">SUM(Y35:AM35)+AP35</f>
        <v>12909.28</v>
      </c>
      <c r="AT35" s="107"/>
      <c r="AU35" s="14">
        <f t="shared" si="28"/>
        <v>4479.133581250002</v>
      </c>
      <c r="AV35" s="30">
        <f t="shared" si="29"/>
        <v>-3882.790000000001</v>
      </c>
    </row>
    <row r="36" spans="1:48" ht="12.75">
      <c r="A36" s="11" t="s">
        <v>45</v>
      </c>
      <c r="B36" s="157">
        <v>2493.5</v>
      </c>
      <c r="C36" s="122">
        <f t="shared" si="18"/>
        <v>21568.775</v>
      </c>
      <c r="D36" s="123">
        <f>(C36-E36-F36-G36-H36-I36-J36-K36-L36-M36-N36)*0.805915</f>
        <v>1158.8533855250012</v>
      </c>
      <c r="E36" s="96">
        <v>2324.3</v>
      </c>
      <c r="F36" s="96">
        <v>0</v>
      </c>
      <c r="G36" s="96">
        <v>3146.36</v>
      </c>
      <c r="H36" s="96">
        <v>0</v>
      </c>
      <c r="I36" s="96">
        <v>7562.52</v>
      </c>
      <c r="J36" s="96">
        <v>0</v>
      </c>
      <c r="K36" s="96">
        <v>5238.2</v>
      </c>
      <c r="L36" s="96">
        <v>0</v>
      </c>
      <c r="M36" s="96">
        <v>1859.46</v>
      </c>
      <c r="N36" s="124">
        <v>0</v>
      </c>
      <c r="O36" s="85">
        <f t="shared" si="19"/>
        <v>20130.84</v>
      </c>
      <c r="P36" s="97">
        <f t="shared" si="20"/>
        <v>0</v>
      </c>
      <c r="Q36" s="126">
        <v>1468.89</v>
      </c>
      <c r="R36" s="126">
        <v>1987.24</v>
      </c>
      <c r="S36" s="126">
        <v>4778.2</v>
      </c>
      <c r="T36" s="126">
        <v>3309.27</v>
      </c>
      <c r="U36" s="126">
        <v>1175.13</v>
      </c>
      <c r="V36" s="121">
        <f t="shared" si="30"/>
        <v>12718.73</v>
      </c>
      <c r="W36" s="98">
        <f t="shared" si="21"/>
        <v>13877.583385525</v>
      </c>
      <c r="X36" s="98"/>
      <c r="Y36" s="16">
        <f t="shared" si="22"/>
        <v>1496.1</v>
      </c>
      <c r="Z36" s="16">
        <f t="shared" si="23"/>
        <v>498.70000000000005</v>
      </c>
      <c r="AA36" s="16">
        <f t="shared" si="24"/>
        <v>2493.5</v>
      </c>
      <c r="AB36" s="16">
        <v>0</v>
      </c>
      <c r="AC36" s="16">
        <f t="shared" si="31"/>
        <v>2443.63</v>
      </c>
      <c r="AD36" s="16">
        <v>0</v>
      </c>
      <c r="AE36" s="16">
        <f t="shared" si="25"/>
        <v>5610.375</v>
      </c>
      <c r="AF36" s="16">
        <v>0</v>
      </c>
      <c r="AG36" s="16"/>
      <c r="AH36" s="16"/>
      <c r="AI36" s="100"/>
      <c r="AJ36" s="100"/>
      <c r="AK36" s="88">
        <f>13345</f>
        <v>13345</v>
      </c>
      <c r="AL36" s="88"/>
      <c r="AM36" s="88"/>
      <c r="AN36" s="129">
        <v>248</v>
      </c>
      <c r="AO36" s="110">
        <v>1.125</v>
      </c>
      <c r="AP36" s="16">
        <f t="shared" si="26"/>
        <v>390.59999999999997</v>
      </c>
      <c r="AQ36" s="104"/>
      <c r="AR36" s="104">
        <f t="shared" si="27"/>
        <v>0</v>
      </c>
      <c r="AS36" s="104">
        <f t="shared" si="32"/>
        <v>26277.905</v>
      </c>
      <c r="AT36" s="107"/>
      <c r="AU36" s="14">
        <f t="shared" si="28"/>
        <v>-12400.321614474999</v>
      </c>
      <c r="AV36" s="30">
        <f t="shared" si="29"/>
        <v>-7412.110000000001</v>
      </c>
    </row>
    <row r="37" spans="1:48" ht="12.75">
      <c r="A37" s="11" t="s">
        <v>46</v>
      </c>
      <c r="B37" s="121">
        <v>2493.5</v>
      </c>
      <c r="C37" s="122">
        <f t="shared" si="18"/>
        <v>21568.775</v>
      </c>
      <c r="D37" s="123">
        <f>(C37-E37-F37-G37-H37-I37-J37-K37-L37-M37-N37)*0.857717</f>
        <v>1240.9406670149992</v>
      </c>
      <c r="E37" s="96">
        <v>2323.26</v>
      </c>
      <c r="F37" s="96">
        <v>0</v>
      </c>
      <c r="G37" s="96">
        <v>3144.99</v>
      </c>
      <c r="H37" s="96">
        <v>0</v>
      </c>
      <c r="I37" s="96">
        <v>7559.19</v>
      </c>
      <c r="J37" s="96">
        <v>0</v>
      </c>
      <c r="K37" s="96">
        <v>5235.92</v>
      </c>
      <c r="L37" s="96">
        <v>0</v>
      </c>
      <c r="M37" s="96">
        <v>1858.62</v>
      </c>
      <c r="N37" s="124">
        <v>0</v>
      </c>
      <c r="O37" s="85">
        <f t="shared" si="19"/>
        <v>20121.98</v>
      </c>
      <c r="P37" s="97">
        <f t="shared" si="20"/>
        <v>0</v>
      </c>
      <c r="Q37" s="126">
        <v>2160.24</v>
      </c>
      <c r="R37" s="126">
        <v>2924.05</v>
      </c>
      <c r="S37" s="126">
        <v>7028.49</v>
      </c>
      <c r="T37" s="126">
        <v>4868.16</v>
      </c>
      <c r="U37" s="126">
        <v>1728.23</v>
      </c>
      <c r="V37" s="121">
        <f t="shared" si="30"/>
        <v>18709.17</v>
      </c>
      <c r="W37" s="98">
        <f t="shared" si="21"/>
        <v>19950.110667014997</v>
      </c>
      <c r="X37" s="98"/>
      <c r="Y37" s="16">
        <f t="shared" si="22"/>
        <v>1496.1</v>
      </c>
      <c r="Z37" s="16">
        <f t="shared" si="23"/>
        <v>498.70000000000005</v>
      </c>
      <c r="AA37" s="16">
        <f t="shared" si="24"/>
        <v>2493.5</v>
      </c>
      <c r="AB37" s="16">
        <v>0</v>
      </c>
      <c r="AC37" s="16">
        <f t="shared" si="31"/>
        <v>2443.63</v>
      </c>
      <c r="AD37" s="16">
        <v>0</v>
      </c>
      <c r="AE37" s="16">
        <f t="shared" si="25"/>
        <v>5610.375</v>
      </c>
      <c r="AF37" s="16">
        <v>0</v>
      </c>
      <c r="AG37" s="16"/>
      <c r="AH37" s="16"/>
      <c r="AI37" s="100"/>
      <c r="AJ37" s="100"/>
      <c r="AK37" s="88"/>
      <c r="AL37" s="88">
        <f>47.8</f>
        <v>47.8</v>
      </c>
      <c r="AM37" s="88"/>
      <c r="AN37" s="129">
        <v>293</v>
      </c>
      <c r="AO37" s="110">
        <v>1.125</v>
      </c>
      <c r="AP37" s="16">
        <f t="shared" si="26"/>
        <v>461.47499999999997</v>
      </c>
      <c r="AQ37" s="104"/>
      <c r="AR37" s="104">
        <f t="shared" si="27"/>
        <v>0</v>
      </c>
      <c r="AS37" s="104">
        <f t="shared" si="32"/>
        <v>13051.58</v>
      </c>
      <c r="AT37" s="107"/>
      <c r="AU37" s="14">
        <f t="shared" si="28"/>
        <v>6898.530667014997</v>
      </c>
      <c r="AV37" s="30">
        <f t="shared" si="29"/>
        <v>-1412.8100000000013</v>
      </c>
    </row>
    <row r="38" spans="1:48" ht="12.75">
      <c r="A38" s="11" t="s">
        <v>47</v>
      </c>
      <c r="B38" s="158">
        <v>2492.8</v>
      </c>
      <c r="C38" s="122">
        <f t="shared" si="18"/>
        <v>21562.72</v>
      </c>
      <c r="D38" s="123">
        <f>(C38-E38-F38-G38-H38-I38-J38-K38-L38-M38-N38)*0.87553</f>
        <v>1279.4820314000026</v>
      </c>
      <c r="E38" s="96">
        <v>2320.85</v>
      </c>
      <c r="F38" s="96">
        <v>0</v>
      </c>
      <c r="G38" s="96">
        <v>3141.81</v>
      </c>
      <c r="H38" s="96">
        <v>0</v>
      </c>
      <c r="I38" s="96">
        <v>7551.43</v>
      </c>
      <c r="J38" s="96">
        <v>0</v>
      </c>
      <c r="K38" s="96">
        <v>5230.58</v>
      </c>
      <c r="L38" s="96">
        <v>0</v>
      </c>
      <c r="M38" s="96">
        <v>1856.67</v>
      </c>
      <c r="N38" s="124">
        <v>0</v>
      </c>
      <c r="O38" s="85">
        <f t="shared" si="19"/>
        <v>20101.339999999997</v>
      </c>
      <c r="P38" s="97">
        <f t="shared" si="20"/>
        <v>0</v>
      </c>
      <c r="Q38" s="126">
        <v>2667.63</v>
      </c>
      <c r="R38" s="126">
        <v>3611.66</v>
      </c>
      <c r="S38" s="126">
        <v>8680</v>
      </c>
      <c r="T38" s="126">
        <v>6012.45</v>
      </c>
      <c r="U38" s="126">
        <v>2134.06</v>
      </c>
      <c r="V38" s="121">
        <f t="shared" si="30"/>
        <v>23105.800000000003</v>
      </c>
      <c r="W38" s="98">
        <f t="shared" si="21"/>
        <v>24385.282031400006</v>
      </c>
      <c r="X38" s="98"/>
      <c r="Y38" s="16">
        <f t="shared" si="22"/>
        <v>1495.68</v>
      </c>
      <c r="Z38" s="16">
        <f t="shared" si="23"/>
        <v>498.56000000000006</v>
      </c>
      <c r="AA38" s="16">
        <f t="shared" si="24"/>
        <v>2492.8</v>
      </c>
      <c r="AB38" s="16">
        <v>0</v>
      </c>
      <c r="AC38" s="16">
        <f t="shared" si="31"/>
        <v>2442.944</v>
      </c>
      <c r="AD38" s="16">
        <v>0</v>
      </c>
      <c r="AE38" s="16">
        <f t="shared" si="25"/>
        <v>5608.8</v>
      </c>
      <c r="AF38" s="16">
        <v>0</v>
      </c>
      <c r="AG38" s="16"/>
      <c r="AH38" s="16"/>
      <c r="AI38" s="100"/>
      <c r="AJ38" s="100"/>
      <c r="AK38" s="88"/>
      <c r="AL38" s="88">
        <v>717.8</v>
      </c>
      <c r="AM38" s="88">
        <f>AL38*0.18</f>
        <v>129.20399999999998</v>
      </c>
      <c r="AN38" s="129">
        <v>349</v>
      </c>
      <c r="AO38" s="110">
        <v>1.125</v>
      </c>
      <c r="AP38" s="16">
        <f t="shared" si="26"/>
        <v>549.675</v>
      </c>
      <c r="AQ38" s="104"/>
      <c r="AR38" s="104">
        <f t="shared" si="27"/>
        <v>0</v>
      </c>
      <c r="AS38" s="104">
        <f t="shared" si="32"/>
        <v>13935.462999999998</v>
      </c>
      <c r="AT38" s="107"/>
      <c r="AU38" s="14">
        <f t="shared" si="28"/>
        <v>10449.819031400008</v>
      </c>
      <c r="AV38" s="30">
        <f t="shared" si="29"/>
        <v>3004.4600000000064</v>
      </c>
    </row>
    <row r="39" spans="1:48" ht="12.75">
      <c r="A39" s="11" t="s">
        <v>35</v>
      </c>
      <c r="B39" s="121">
        <v>2492.8</v>
      </c>
      <c r="C39" s="122">
        <f t="shared" si="18"/>
        <v>21562.72</v>
      </c>
      <c r="D39" s="123">
        <f>(C39-E39-F39-G39-H39-I39-J39-K39-L39-M39-N39)*0.81132</f>
        <v>1193.4192672</v>
      </c>
      <c r="E39" s="96">
        <v>2319.72</v>
      </c>
      <c r="F39" s="96">
        <v>0</v>
      </c>
      <c r="G39" s="96">
        <v>3140.35</v>
      </c>
      <c r="H39" s="96">
        <v>0</v>
      </c>
      <c r="I39" s="96">
        <v>7547.82</v>
      </c>
      <c r="J39" s="96">
        <v>0</v>
      </c>
      <c r="K39" s="96">
        <v>5228.09</v>
      </c>
      <c r="L39" s="96">
        <v>0</v>
      </c>
      <c r="M39" s="96">
        <v>1855.78</v>
      </c>
      <c r="N39" s="124">
        <v>0</v>
      </c>
      <c r="O39" s="85">
        <f t="shared" si="19"/>
        <v>20091.76</v>
      </c>
      <c r="P39" s="97">
        <f t="shared" si="20"/>
        <v>0</v>
      </c>
      <c r="Q39" s="126">
        <v>2016.81</v>
      </c>
      <c r="R39" s="126">
        <v>2729.58</v>
      </c>
      <c r="S39" s="126">
        <v>6561.6</v>
      </c>
      <c r="T39" s="126">
        <v>4544.72</v>
      </c>
      <c r="U39" s="126">
        <v>1613.52</v>
      </c>
      <c r="V39" s="121">
        <f t="shared" si="30"/>
        <v>17466.23</v>
      </c>
      <c r="W39" s="98">
        <f t="shared" si="21"/>
        <v>18659.6492672</v>
      </c>
      <c r="X39" s="98"/>
      <c r="Y39" s="16">
        <f t="shared" si="22"/>
        <v>1495.68</v>
      </c>
      <c r="Z39" s="16">
        <f t="shared" si="23"/>
        <v>498.56000000000006</v>
      </c>
      <c r="AA39" s="16">
        <f t="shared" si="24"/>
        <v>2492.8</v>
      </c>
      <c r="AB39" s="16">
        <v>0</v>
      </c>
      <c r="AC39" s="16">
        <f t="shared" si="31"/>
        <v>2442.944</v>
      </c>
      <c r="AD39" s="16">
        <v>0</v>
      </c>
      <c r="AE39" s="16">
        <f t="shared" si="25"/>
        <v>5608.8</v>
      </c>
      <c r="AF39" s="16">
        <v>0</v>
      </c>
      <c r="AG39" s="16"/>
      <c r="AH39" s="16"/>
      <c r="AI39" s="100"/>
      <c r="AJ39" s="100"/>
      <c r="AK39" s="88"/>
      <c r="AL39" s="88">
        <v>14000</v>
      </c>
      <c r="AM39" s="88"/>
      <c r="AN39" s="129">
        <v>425</v>
      </c>
      <c r="AO39" s="110">
        <v>1.125</v>
      </c>
      <c r="AP39" s="16">
        <f t="shared" si="26"/>
        <v>669.375</v>
      </c>
      <c r="AQ39" s="104"/>
      <c r="AR39" s="104">
        <f t="shared" si="27"/>
        <v>0</v>
      </c>
      <c r="AS39" s="104">
        <f t="shared" si="32"/>
        <v>27208.159</v>
      </c>
      <c r="AT39" s="107"/>
      <c r="AU39" s="14">
        <f t="shared" si="28"/>
        <v>-8548.509732800001</v>
      </c>
      <c r="AV39" s="30">
        <f t="shared" si="29"/>
        <v>-2625.529999999999</v>
      </c>
    </row>
    <row r="40" spans="1:48" ht="12.75">
      <c r="A40" s="11" t="s">
        <v>36</v>
      </c>
      <c r="B40" s="121">
        <v>2492.8</v>
      </c>
      <c r="C40" s="122">
        <f t="shared" si="18"/>
        <v>21562.72</v>
      </c>
      <c r="D40" s="123">
        <f>(C40-E40-F40-G40-H40-I40-J40-K40-L40-M40-N40)*0.870679</f>
        <v>1268.8492134899984</v>
      </c>
      <c r="E40" s="96">
        <v>2321.33</v>
      </c>
      <c r="F40" s="96">
        <v>0</v>
      </c>
      <c r="G40" s="96">
        <v>3142.44</v>
      </c>
      <c r="H40" s="96">
        <v>0</v>
      </c>
      <c r="I40" s="96">
        <v>7552.96</v>
      </c>
      <c r="J40" s="96">
        <v>0</v>
      </c>
      <c r="K40" s="96">
        <v>5231.62</v>
      </c>
      <c r="L40" s="96">
        <v>0</v>
      </c>
      <c r="M40" s="96">
        <v>1857.06</v>
      </c>
      <c r="N40" s="124">
        <v>0</v>
      </c>
      <c r="O40" s="85">
        <f t="shared" si="19"/>
        <v>20105.41</v>
      </c>
      <c r="P40" s="97">
        <f t="shared" si="20"/>
        <v>0</v>
      </c>
      <c r="Q40" s="126">
        <v>2145.67</v>
      </c>
      <c r="R40" s="126">
        <v>2904.78</v>
      </c>
      <c r="S40" s="126">
        <v>6981.59</v>
      </c>
      <c r="T40" s="126">
        <v>4835.94</v>
      </c>
      <c r="U40" s="126">
        <v>1716.63</v>
      </c>
      <c r="V40" s="121">
        <f t="shared" si="30"/>
        <v>18584.61</v>
      </c>
      <c r="W40" s="98">
        <f t="shared" si="21"/>
        <v>19853.459213489998</v>
      </c>
      <c r="X40" s="98"/>
      <c r="Y40" s="16">
        <f t="shared" si="22"/>
        <v>1495.68</v>
      </c>
      <c r="Z40" s="16">
        <f t="shared" si="23"/>
        <v>498.56000000000006</v>
      </c>
      <c r="AA40" s="16">
        <f t="shared" si="24"/>
        <v>2492.8</v>
      </c>
      <c r="AB40" s="16">
        <v>0</v>
      </c>
      <c r="AC40" s="16">
        <f t="shared" si="31"/>
        <v>2442.944</v>
      </c>
      <c r="AD40" s="16">
        <v>0</v>
      </c>
      <c r="AE40" s="16">
        <f t="shared" si="25"/>
        <v>5608.8</v>
      </c>
      <c r="AF40" s="16">
        <v>0</v>
      </c>
      <c r="AG40" s="16"/>
      <c r="AH40" s="16"/>
      <c r="AI40" s="100"/>
      <c r="AJ40" s="100"/>
      <c r="AK40" s="88"/>
      <c r="AL40" s="88"/>
      <c r="AM40" s="88"/>
      <c r="AN40" s="129">
        <v>470</v>
      </c>
      <c r="AO40" s="110">
        <v>1.125</v>
      </c>
      <c r="AP40" s="16">
        <f t="shared" si="26"/>
        <v>740.25</v>
      </c>
      <c r="AQ40" s="104"/>
      <c r="AR40" s="104">
        <f t="shared" si="27"/>
        <v>0</v>
      </c>
      <c r="AS40" s="104">
        <f t="shared" si="32"/>
        <v>13279.034</v>
      </c>
      <c r="AT40" s="107"/>
      <c r="AU40" s="14">
        <f t="shared" si="28"/>
        <v>6574.425213489998</v>
      </c>
      <c r="AV40" s="30">
        <f t="shared" si="29"/>
        <v>-1520.7999999999993</v>
      </c>
    </row>
    <row r="41" spans="1:48" ht="12.75">
      <c r="A41" s="11" t="s">
        <v>37</v>
      </c>
      <c r="B41" s="121">
        <v>2492.8</v>
      </c>
      <c r="C41" s="122">
        <f t="shared" si="18"/>
        <v>21562.72</v>
      </c>
      <c r="D41" s="123">
        <f>(C41-E41-F41-G41-H41-I41-J41-K41-L41-M41-N41)*0.91496</f>
        <v>1328.8330064000008</v>
      </c>
      <c r="E41" s="96">
        <v>2321.91</v>
      </c>
      <c r="F41" s="96">
        <v>0</v>
      </c>
      <c r="G41" s="96">
        <v>3143.2</v>
      </c>
      <c r="H41" s="96">
        <v>0</v>
      </c>
      <c r="I41" s="96">
        <v>7554.83</v>
      </c>
      <c r="J41" s="96">
        <v>0</v>
      </c>
      <c r="K41" s="96">
        <v>5232.91</v>
      </c>
      <c r="L41" s="96">
        <v>0</v>
      </c>
      <c r="M41" s="96">
        <v>1857.53</v>
      </c>
      <c r="N41" s="124">
        <v>0</v>
      </c>
      <c r="O41" s="85">
        <f t="shared" si="19"/>
        <v>20110.379999999997</v>
      </c>
      <c r="P41" s="97">
        <f t="shared" si="20"/>
        <v>0</v>
      </c>
      <c r="Q41" s="126">
        <v>2637.81</v>
      </c>
      <c r="R41" s="126">
        <v>3570.12</v>
      </c>
      <c r="S41" s="126">
        <v>8581.99</v>
      </c>
      <c r="T41" s="126">
        <v>5944.1</v>
      </c>
      <c r="U41" s="126">
        <v>2110.26</v>
      </c>
      <c r="V41" s="121">
        <f t="shared" si="30"/>
        <v>22844.28</v>
      </c>
      <c r="W41" s="98">
        <f t="shared" si="21"/>
        <v>24173.1130064</v>
      </c>
      <c r="X41" s="98"/>
      <c r="Y41" s="16">
        <f t="shared" si="22"/>
        <v>1495.68</v>
      </c>
      <c r="Z41" s="16">
        <f t="shared" si="23"/>
        <v>498.56000000000006</v>
      </c>
      <c r="AA41" s="16">
        <f t="shared" si="24"/>
        <v>2492.8</v>
      </c>
      <c r="AB41" s="16">
        <v>0</v>
      </c>
      <c r="AC41" s="16">
        <f t="shared" si="31"/>
        <v>2442.944</v>
      </c>
      <c r="AD41" s="16">
        <v>0</v>
      </c>
      <c r="AE41" s="16">
        <f t="shared" si="25"/>
        <v>5608.8</v>
      </c>
      <c r="AF41" s="16">
        <v>0</v>
      </c>
      <c r="AG41" s="16"/>
      <c r="AH41" s="16"/>
      <c r="AI41" s="100"/>
      <c r="AJ41" s="100"/>
      <c r="AK41" s="88">
        <f>16314.01-0.01</f>
        <v>16314</v>
      </c>
      <c r="AL41" s="88"/>
      <c r="AM41" s="88"/>
      <c r="AN41" s="129">
        <v>514</v>
      </c>
      <c r="AO41" s="110">
        <v>1.125</v>
      </c>
      <c r="AP41" s="16">
        <f t="shared" si="26"/>
        <v>809.55</v>
      </c>
      <c r="AQ41" s="104"/>
      <c r="AR41" s="104">
        <f t="shared" si="27"/>
        <v>0</v>
      </c>
      <c r="AS41" s="104">
        <f>SUM(Y41:AM41)+AP41</f>
        <v>29662.334</v>
      </c>
      <c r="AT41" s="107"/>
      <c r="AU41" s="14">
        <f t="shared" si="28"/>
        <v>-5489.2209936</v>
      </c>
      <c r="AV41" s="30">
        <f t="shared" si="29"/>
        <v>2733.9000000000015</v>
      </c>
    </row>
    <row r="42" spans="1:48" s="20" customFormat="1" ht="12.75">
      <c r="A42" s="17" t="s">
        <v>5</v>
      </c>
      <c r="B42" s="60"/>
      <c r="C42" s="60">
        <f aca="true" t="shared" si="33" ref="C42:AM42">SUM(C30:C41)</f>
        <v>258801.08</v>
      </c>
      <c r="D42" s="60">
        <f t="shared" si="33"/>
        <v>16180.016152280003</v>
      </c>
      <c r="E42" s="57">
        <f t="shared" si="33"/>
        <v>25393.820000000003</v>
      </c>
      <c r="F42" s="57">
        <f t="shared" si="33"/>
        <v>2438.71</v>
      </c>
      <c r="G42" s="57">
        <f t="shared" si="33"/>
        <v>34373.56</v>
      </c>
      <c r="H42" s="57">
        <f t="shared" si="33"/>
        <v>3305.7199999999993</v>
      </c>
      <c r="I42" s="57">
        <f t="shared" si="33"/>
        <v>82621.79000000001</v>
      </c>
      <c r="J42" s="57">
        <f t="shared" si="33"/>
        <v>7939.109999999999</v>
      </c>
      <c r="K42" s="57">
        <f t="shared" si="33"/>
        <v>57227.68000000001</v>
      </c>
      <c r="L42" s="57">
        <f t="shared" si="33"/>
        <v>5500.58</v>
      </c>
      <c r="M42" s="57">
        <f t="shared" si="33"/>
        <v>20315.35</v>
      </c>
      <c r="N42" s="57">
        <f t="shared" si="33"/>
        <v>1950.83</v>
      </c>
      <c r="O42" s="57">
        <f t="shared" si="33"/>
        <v>219932.20000000004</v>
      </c>
      <c r="P42" s="57">
        <f t="shared" si="33"/>
        <v>21134.950000000004</v>
      </c>
      <c r="Q42" s="61">
        <f t="shared" si="33"/>
        <v>22537.77</v>
      </c>
      <c r="R42" s="61">
        <f t="shared" si="33"/>
        <v>30503.280000000002</v>
      </c>
      <c r="S42" s="61">
        <f t="shared" si="33"/>
        <v>73325.42</v>
      </c>
      <c r="T42" s="61">
        <f t="shared" si="33"/>
        <v>50787.079999999994</v>
      </c>
      <c r="U42" s="61">
        <f t="shared" si="33"/>
        <v>18030.85</v>
      </c>
      <c r="V42" s="61">
        <f t="shared" si="33"/>
        <v>195184.4</v>
      </c>
      <c r="W42" s="61">
        <f t="shared" si="33"/>
        <v>232499.36615227998</v>
      </c>
      <c r="X42" s="91">
        <f t="shared" si="33"/>
        <v>0</v>
      </c>
      <c r="Y42" s="18">
        <f t="shared" si="33"/>
        <v>17951.52</v>
      </c>
      <c r="Z42" s="18">
        <f t="shared" si="33"/>
        <v>5983.840000000001</v>
      </c>
      <c r="AA42" s="18">
        <f t="shared" si="33"/>
        <v>29919.199999999997</v>
      </c>
      <c r="AB42" s="18">
        <f t="shared" si="33"/>
        <v>0</v>
      </c>
      <c r="AC42" s="18">
        <f t="shared" si="33"/>
        <v>29320.816000000003</v>
      </c>
      <c r="AD42" s="18">
        <f t="shared" si="33"/>
        <v>0</v>
      </c>
      <c r="AE42" s="18">
        <f t="shared" si="33"/>
        <v>67318.20000000001</v>
      </c>
      <c r="AF42" s="18">
        <f t="shared" si="33"/>
        <v>0</v>
      </c>
      <c r="AG42" s="18">
        <f t="shared" si="33"/>
        <v>0</v>
      </c>
      <c r="AH42" s="18">
        <f t="shared" si="33"/>
        <v>0</v>
      </c>
      <c r="AI42" s="18">
        <f t="shared" si="33"/>
        <v>0</v>
      </c>
      <c r="AJ42" s="18">
        <f t="shared" si="33"/>
        <v>0</v>
      </c>
      <c r="AK42" s="18">
        <f t="shared" si="33"/>
        <v>42014.32</v>
      </c>
      <c r="AL42" s="18">
        <f t="shared" si="33"/>
        <v>14765.6</v>
      </c>
      <c r="AM42" s="18">
        <f t="shared" si="33"/>
        <v>129.20399999999998</v>
      </c>
      <c r="AN42" s="18"/>
      <c r="AO42" s="18"/>
      <c r="AP42" s="18">
        <f aca="true" t="shared" si="34" ref="AP42:AV42">SUM(AP30:AP41)</f>
        <v>6930</v>
      </c>
      <c r="AQ42" s="18">
        <f t="shared" si="34"/>
        <v>0</v>
      </c>
      <c r="AR42" s="18">
        <f t="shared" si="34"/>
        <v>0</v>
      </c>
      <c r="AS42" s="18">
        <f t="shared" si="34"/>
        <v>214332.69999999998</v>
      </c>
      <c r="AT42" s="18">
        <f t="shared" si="34"/>
        <v>0</v>
      </c>
      <c r="AU42" s="18">
        <f t="shared" si="34"/>
        <v>18166.666152280006</v>
      </c>
      <c r="AV42" s="19">
        <f t="shared" si="34"/>
        <v>-24747.799999999996</v>
      </c>
    </row>
    <row r="43" spans="1:48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8"/>
      <c r="P43" s="48"/>
      <c r="Q43" s="52"/>
      <c r="R43" s="52"/>
      <c r="S43" s="52"/>
      <c r="T43" s="52"/>
      <c r="U43" s="52"/>
      <c r="V43" s="52"/>
      <c r="W43" s="92"/>
      <c r="X43" s="93"/>
      <c r="Y43" s="16"/>
      <c r="Z43" s="16"/>
      <c r="AA43" s="16"/>
      <c r="AB43" s="16"/>
      <c r="AC43" s="16"/>
      <c r="AD43" s="16"/>
      <c r="AE43" s="16"/>
      <c r="AF43" s="16"/>
      <c r="AG43" s="15"/>
      <c r="AH43" s="15"/>
      <c r="AI43" s="15"/>
      <c r="AJ43" s="15"/>
      <c r="AK43" s="87"/>
      <c r="AL43" s="87"/>
      <c r="AM43" s="88"/>
      <c r="AN43" s="88"/>
      <c r="AO43" s="88"/>
      <c r="AP43" s="21"/>
      <c r="AQ43" s="15"/>
      <c r="AR43" s="16"/>
      <c r="AS43" s="16"/>
      <c r="AT43" s="16"/>
      <c r="AU43" s="16"/>
      <c r="AV43" s="10"/>
    </row>
    <row r="44" spans="1:48" s="20" customFormat="1" ht="13.5" thickBot="1">
      <c r="A44" s="22" t="s">
        <v>48</v>
      </c>
      <c r="B44" s="23"/>
      <c r="C44" s="23">
        <f aca="true" t="shared" si="35" ref="C44:N44">C28+C42</f>
        <v>582332.705</v>
      </c>
      <c r="D44" s="23">
        <f t="shared" si="35"/>
        <v>54480.811767530024</v>
      </c>
      <c r="E44" s="50">
        <f t="shared" si="35"/>
        <v>53195.850000000006</v>
      </c>
      <c r="F44" s="50">
        <f t="shared" si="35"/>
        <v>8309.060000000001</v>
      </c>
      <c r="G44" s="50">
        <f t="shared" si="35"/>
        <v>71884.7</v>
      </c>
      <c r="H44" s="50">
        <f t="shared" si="35"/>
        <v>11226.249999999998</v>
      </c>
      <c r="I44" s="50">
        <f t="shared" si="35"/>
        <v>173031.25</v>
      </c>
      <c r="J44" s="50">
        <f t="shared" si="35"/>
        <v>27035.730000000003</v>
      </c>
      <c r="K44" s="50">
        <f t="shared" si="35"/>
        <v>119834.70000000001</v>
      </c>
      <c r="L44" s="50">
        <f t="shared" si="35"/>
        <v>18726.72</v>
      </c>
      <c r="M44" s="50">
        <f t="shared" si="35"/>
        <v>42557.29</v>
      </c>
      <c r="N44" s="50">
        <f t="shared" si="35"/>
        <v>6647.049999999999</v>
      </c>
      <c r="O44" s="50">
        <f aca="true" t="shared" si="36" ref="O44:AM44">O28+O42</f>
        <v>460503.79000000004</v>
      </c>
      <c r="P44" s="50">
        <f t="shared" si="36"/>
        <v>71944.81</v>
      </c>
      <c r="Q44" s="53">
        <f t="shared" si="36"/>
        <v>44212.97</v>
      </c>
      <c r="R44" s="53">
        <f t="shared" si="36"/>
        <v>59722.95</v>
      </c>
      <c r="S44" s="53">
        <f t="shared" si="36"/>
        <v>143610.11</v>
      </c>
      <c r="T44" s="53">
        <f t="shared" si="36"/>
        <v>99462.14</v>
      </c>
      <c r="U44" s="53">
        <f t="shared" si="36"/>
        <v>35458.08</v>
      </c>
      <c r="V44" s="53">
        <f t="shared" si="36"/>
        <v>382466.25</v>
      </c>
      <c r="W44" s="53">
        <f t="shared" si="36"/>
        <v>508891.87176753</v>
      </c>
      <c r="X44" s="53">
        <f t="shared" si="36"/>
        <v>0</v>
      </c>
      <c r="Y44" s="23">
        <f t="shared" si="36"/>
        <v>39794.58</v>
      </c>
      <c r="Z44" s="23">
        <f t="shared" si="36"/>
        <v>13335.017142</v>
      </c>
      <c r="AA44" s="23">
        <f t="shared" si="36"/>
        <v>60622.64648299999</v>
      </c>
      <c r="AB44" s="23">
        <f t="shared" si="36"/>
        <v>5526.620366940001</v>
      </c>
      <c r="AC44" s="23">
        <f t="shared" si="36"/>
        <v>59056.2352323</v>
      </c>
      <c r="AD44" s="23">
        <f t="shared" si="36"/>
        <v>5352.375461813999</v>
      </c>
      <c r="AE44" s="23">
        <f t="shared" si="36"/>
        <v>133008.97574312118</v>
      </c>
      <c r="AF44" s="23">
        <f t="shared" si="36"/>
        <v>11824.339633761814</v>
      </c>
      <c r="AG44" s="23">
        <f t="shared" si="36"/>
        <v>0</v>
      </c>
      <c r="AH44" s="23">
        <f t="shared" si="36"/>
        <v>0</v>
      </c>
      <c r="AI44" s="23">
        <f t="shared" si="36"/>
        <v>0</v>
      </c>
      <c r="AJ44" s="23">
        <f t="shared" si="36"/>
        <v>0</v>
      </c>
      <c r="AK44" s="23">
        <f t="shared" si="36"/>
        <v>76409.47</v>
      </c>
      <c r="AL44" s="23">
        <f t="shared" si="36"/>
        <v>14765.6</v>
      </c>
      <c r="AM44" s="23">
        <f t="shared" si="36"/>
        <v>6320.331</v>
      </c>
      <c r="AN44" s="23"/>
      <c r="AO44" s="23"/>
      <c r="AP44" s="23">
        <f aca="true" t="shared" si="37" ref="AP44:AV44">AP28+AP42</f>
        <v>13471.92</v>
      </c>
      <c r="AQ44" s="23">
        <f t="shared" si="37"/>
        <v>0</v>
      </c>
      <c r="AR44" s="23">
        <f t="shared" si="37"/>
        <v>0</v>
      </c>
      <c r="AS44" s="23">
        <f t="shared" si="37"/>
        <v>439488.11106293695</v>
      </c>
      <c r="AT44" s="23">
        <f t="shared" si="37"/>
        <v>0</v>
      </c>
      <c r="AU44" s="23">
        <f t="shared" si="37"/>
        <v>69403.76070459303</v>
      </c>
      <c r="AV44" s="24">
        <f t="shared" si="37"/>
        <v>-78037.53999999998</v>
      </c>
    </row>
  </sheetData>
  <sheetProtection/>
  <mergeCells count="56">
    <mergeCell ref="AI5:AI6"/>
    <mergeCell ref="AJ5:AJ6"/>
    <mergeCell ref="AL5:AL6"/>
    <mergeCell ref="AQ5:AQ6"/>
    <mergeCell ref="U5:U6"/>
    <mergeCell ref="O5:O6"/>
    <mergeCell ref="R5:R6"/>
    <mergeCell ref="S5:S6"/>
    <mergeCell ref="T5:T6"/>
    <mergeCell ref="V5:V6"/>
    <mergeCell ref="N5:N6"/>
    <mergeCell ref="AS5:AS6"/>
    <mergeCell ref="AM5:AM6"/>
    <mergeCell ref="Y5:Y6"/>
    <mergeCell ref="X3:X6"/>
    <mergeCell ref="Y3:AS4"/>
    <mergeCell ref="AF5:AF6"/>
    <mergeCell ref="AG5:AG6"/>
    <mergeCell ref="AN5:AP5"/>
    <mergeCell ref="AR5:AR6"/>
    <mergeCell ref="E5:E6"/>
    <mergeCell ref="F5:F6"/>
    <mergeCell ref="G5:G6"/>
    <mergeCell ref="H5:H6"/>
    <mergeCell ref="I5:I6"/>
    <mergeCell ref="J5:J6"/>
    <mergeCell ref="K5:K6"/>
    <mergeCell ref="AU3:AU6"/>
    <mergeCell ref="O3:P4"/>
    <mergeCell ref="Q3:V4"/>
    <mergeCell ref="W3:W6"/>
    <mergeCell ref="P5:P6"/>
    <mergeCell ref="Q5:Q6"/>
    <mergeCell ref="M4:N4"/>
    <mergeCell ref="L5:L6"/>
    <mergeCell ref="M5:M6"/>
    <mergeCell ref="AV3:AV6"/>
    <mergeCell ref="Z5:Z6"/>
    <mergeCell ref="AA5:AA6"/>
    <mergeCell ref="AB5:AB6"/>
    <mergeCell ref="AC5:AC6"/>
    <mergeCell ref="AD5:AD6"/>
    <mergeCell ref="AE5:AE6"/>
    <mergeCell ref="AH5:AH6"/>
    <mergeCell ref="AK5:AK6"/>
    <mergeCell ref="AT3:AT6"/>
    <mergeCell ref="A1:N1"/>
    <mergeCell ref="A3:A6"/>
    <mergeCell ref="B3:B6"/>
    <mergeCell ref="C3:C6"/>
    <mergeCell ref="D3:D6"/>
    <mergeCell ref="E3:N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3">
      <selection activeCell="C59" sqref="C59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317" t="s">
        <v>49</v>
      </c>
      <c r="C1" s="317"/>
      <c r="D1" s="317"/>
      <c r="E1" s="317"/>
      <c r="F1" s="317"/>
      <c r="G1" s="317"/>
      <c r="H1" s="317"/>
    </row>
    <row r="2" spans="2:8" ht="21" customHeight="1">
      <c r="B2" s="317" t="s">
        <v>50</v>
      </c>
      <c r="C2" s="317"/>
      <c r="D2" s="317"/>
      <c r="E2" s="317"/>
      <c r="F2" s="317"/>
      <c r="G2" s="317"/>
      <c r="H2" s="317"/>
    </row>
    <row r="5" spans="1:15" ht="12.75">
      <c r="A5" s="319" t="s">
        <v>81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</row>
    <row r="6" spans="1:15" ht="12.75">
      <c r="A6" s="320" t="s">
        <v>85</v>
      </c>
      <c r="B6" s="320"/>
      <c r="C6" s="320"/>
      <c r="D6" s="320"/>
      <c r="E6" s="320"/>
      <c r="F6" s="320"/>
      <c r="G6" s="320"/>
      <c r="H6" s="94"/>
      <c r="I6" s="94"/>
      <c r="J6" s="94"/>
      <c r="K6" s="94"/>
      <c r="L6" s="94"/>
      <c r="M6" s="94"/>
      <c r="N6" s="94"/>
      <c r="O6" s="94"/>
    </row>
    <row r="7" spans="1:6" ht="13.5" thickBot="1">
      <c r="A7" s="318" t="s">
        <v>51</v>
      </c>
      <c r="B7" s="318"/>
      <c r="C7" s="318"/>
      <c r="D7" s="318"/>
      <c r="E7" s="318">
        <v>8.65</v>
      </c>
      <c r="F7" s="318"/>
    </row>
    <row r="8" spans="1:16" ht="12.75" customHeight="1">
      <c r="A8" s="254" t="s">
        <v>52</v>
      </c>
      <c r="B8" s="339" t="s">
        <v>1</v>
      </c>
      <c r="C8" s="342" t="s">
        <v>53</v>
      </c>
      <c r="D8" s="345" t="s">
        <v>3</v>
      </c>
      <c r="E8" s="331" t="s">
        <v>54</v>
      </c>
      <c r="F8" s="257"/>
      <c r="G8" s="333" t="s">
        <v>55</v>
      </c>
      <c r="H8" s="334"/>
      <c r="I8" s="348" t="s">
        <v>8</v>
      </c>
      <c r="J8" s="311"/>
      <c r="K8" s="311"/>
      <c r="L8" s="311"/>
      <c r="M8" s="311"/>
      <c r="N8" s="349"/>
      <c r="O8" s="321" t="s">
        <v>56</v>
      </c>
      <c r="P8" s="321" t="s">
        <v>10</v>
      </c>
    </row>
    <row r="9" spans="1:16" ht="12.75">
      <c r="A9" s="255"/>
      <c r="B9" s="340"/>
      <c r="C9" s="343"/>
      <c r="D9" s="346"/>
      <c r="E9" s="332"/>
      <c r="F9" s="259"/>
      <c r="G9" s="335"/>
      <c r="H9" s="336"/>
      <c r="I9" s="350"/>
      <c r="J9" s="290"/>
      <c r="K9" s="290"/>
      <c r="L9" s="290"/>
      <c r="M9" s="290"/>
      <c r="N9" s="351"/>
      <c r="O9" s="322"/>
      <c r="P9" s="322"/>
    </row>
    <row r="10" spans="1:16" ht="26.25" customHeight="1">
      <c r="A10" s="255"/>
      <c r="B10" s="340"/>
      <c r="C10" s="343"/>
      <c r="D10" s="346"/>
      <c r="E10" s="324" t="s">
        <v>57</v>
      </c>
      <c r="F10" s="258"/>
      <c r="G10" s="84" t="s">
        <v>58</v>
      </c>
      <c r="H10" s="325" t="s">
        <v>7</v>
      </c>
      <c r="I10" s="327" t="s">
        <v>59</v>
      </c>
      <c r="J10" s="329" t="s">
        <v>26</v>
      </c>
      <c r="K10" s="329" t="s">
        <v>60</v>
      </c>
      <c r="L10" s="329" t="s">
        <v>31</v>
      </c>
      <c r="M10" s="329" t="s">
        <v>61</v>
      </c>
      <c r="N10" s="325" t="s">
        <v>33</v>
      </c>
      <c r="O10" s="322"/>
      <c r="P10" s="322"/>
    </row>
    <row r="11" spans="1:16" ht="66.75" customHeight="1" thickBot="1">
      <c r="A11" s="256"/>
      <c r="B11" s="341"/>
      <c r="C11" s="344"/>
      <c r="D11" s="347"/>
      <c r="E11" s="63" t="s">
        <v>62</v>
      </c>
      <c r="F11" s="66" t="s">
        <v>17</v>
      </c>
      <c r="G11" s="81" t="s">
        <v>83</v>
      </c>
      <c r="H11" s="326"/>
      <c r="I11" s="328"/>
      <c r="J11" s="330"/>
      <c r="K11" s="330"/>
      <c r="L11" s="330"/>
      <c r="M11" s="330"/>
      <c r="N11" s="326"/>
      <c r="O11" s="323"/>
      <c r="P11" s="323"/>
    </row>
    <row r="12" spans="1:16" ht="13.5" thickBot="1">
      <c r="A12" s="64">
        <v>1</v>
      </c>
      <c r="B12" s="65">
        <v>2</v>
      </c>
      <c r="C12" s="64">
        <v>3</v>
      </c>
      <c r="D12" s="65">
        <v>4</v>
      </c>
      <c r="E12" s="64">
        <v>5</v>
      </c>
      <c r="F12" s="65">
        <v>6</v>
      </c>
      <c r="G12" s="64">
        <v>7</v>
      </c>
      <c r="H12" s="65">
        <v>8</v>
      </c>
      <c r="I12" s="64">
        <v>9</v>
      </c>
      <c r="J12" s="65">
        <v>10</v>
      </c>
      <c r="K12" s="64">
        <v>11</v>
      </c>
      <c r="L12" s="65">
        <v>12</v>
      </c>
      <c r="M12" s="64">
        <v>13</v>
      </c>
      <c r="N12" s="65">
        <v>14</v>
      </c>
      <c r="O12" s="64">
        <v>15</v>
      </c>
      <c r="P12" s="65">
        <v>16</v>
      </c>
    </row>
    <row r="13" spans="1:16" ht="12.75">
      <c r="A13" s="7" t="s">
        <v>34</v>
      </c>
      <c r="B13" s="8"/>
      <c r="C13" s="26"/>
      <c r="D13" s="7"/>
      <c r="E13" s="8"/>
      <c r="F13" s="9"/>
      <c r="G13" s="7"/>
      <c r="H13" s="9"/>
      <c r="I13" s="7"/>
      <c r="J13" s="8"/>
      <c r="K13" s="8"/>
      <c r="L13" s="8"/>
      <c r="M13" s="8"/>
      <c r="N13" s="9"/>
      <c r="O13" s="76"/>
      <c r="P13" s="73"/>
    </row>
    <row r="14" spans="1:16" ht="12.75">
      <c r="A14" s="11" t="s">
        <v>35</v>
      </c>
      <c r="B14" s="82">
        <f>'2010'!B9</f>
        <v>2493.5</v>
      </c>
      <c r="C14" s="27">
        <f>B14*8.65</f>
        <v>21568.775</v>
      </c>
      <c r="D14" s="28">
        <f>'2010'!D9</f>
        <v>5194.996522</v>
      </c>
      <c r="E14" s="14">
        <f>'2010'!O9</f>
        <v>15488.73</v>
      </c>
      <c r="F14" s="30">
        <f>'2010'!P9</f>
        <v>3191.85</v>
      </c>
      <c r="G14" s="29">
        <f>'2010'!V9</f>
        <v>0</v>
      </c>
      <c r="H14" s="30">
        <f>'2010'!W9</f>
        <v>8386.846522</v>
      </c>
      <c r="I14" s="29">
        <f>'2010'!Y9</f>
        <v>1496.1</v>
      </c>
      <c r="J14" s="14">
        <f>'2010'!AA9+'2010'!AB9</f>
        <v>2493.682908</v>
      </c>
      <c r="K14" s="14">
        <f>'2010'!Z9+'2010'!AC9+'2010'!AD9+'2010'!AE9+'2010'!AF9+'2010'!AG9+'2010'!AH9</f>
        <v>7093.396771074999</v>
      </c>
      <c r="L14" s="31">
        <f>'2010'!AK9+'2010'!AM9</f>
        <v>9099.0744</v>
      </c>
      <c r="M14" s="31">
        <f>'2010'!AP9</f>
        <v>0</v>
      </c>
      <c r="N14" s="30">
        <f>'2010'!AS9</f>
        <v>20182.254079075</v>
      </c>
      <c r="O14" s="74">
        <f>'2010'!AU9</f>
        <v>-11795.407557075</v>
      </c>
      <c r="P14" s="74">
        <f>'2010'!AV9</f>
        <v>-15488.73</v>
      </c>
    </row>
    <row r="15" spans="1:16" ht="12.75">
      <c r="A15" s="11" t="s">
        <v>36</v>
      </c>
      <c r="B15" s="82">
        <f>'2010'!B10</f>
        <v>2493.5</v>
      </c>
      <c r="C15" s="27">
        <f aca="true" t="shared" si="0" ref="C15:C30">B15*8.65</f>
        <v>21568.775</v>
      </c>
      <c r="D15" s="28">
        <f>'2010'!D10</f>
        <v>5194.996522</v>
      </c>
      <c r="E15" s="14">
        <f>'2010'!O10</f>
        <v>15523.15</v>
      </c>
      <c r="F15" s="30">
        <f>'2010'!P10</f>
        <v>3191.86</v>
      </c>
      <c r="G15" s="29">
        <f>'2010'!V10</f>
        <v>7377.3200000000015</v>
      </c>
      <c r="H15" s="30">
        <f>'2010'!W10</f>
        <v>15764.176522000002</v>
      </c>
      <c r="I15" s="29">
        <f>'2010'!Y10</f>
        <v>1496.1</v>
      </c>
      <c r="J15" s="14">
        <f>'2010'!AA10+'2010'!AB10</f>
        <v>2493.682908</v>
      </c>
      <c r="K15" s="14">
        <f>'2010'!Z10+'2010'!AC10+'2010'!AD10+'2010'!AE10+'2010'!AF10+'2010'!AG10+'2010'!AH10</f>
        <v>7066.836009074999</v>
      </c>
      <c r="L15" s="31">
        <f>'2010'!AK10+'2010'!AM10</f>
        <v>5661.64</v>
      </c>
      <c r="M15" s="31">
        <f>'2010'!AP10</f>
        <v>0</v>
      </c>
      <c r="N15" s="30">
        <f>'2010'!AS10</f>
        <v>16718.258917075</v>
      </c>
      <c r="O15" s="74">
        <f>'2010'!AU10</f>
        <v>-954.0823950749982</v>
      </c>
      <c r="P15" s="74">
        <f>'2010'!AV10</f>
        <v>-8145.829999999998</v>
      </c>
    </row>
    <row r="16" spans="1:18" ht="13.5" thickBot="1">
      <c r="A16" s="32" t="s">
        <v>37</v>
      </c>
      <c r="B16" s="82">
        <f>'2010'!B11</f>
        <v>2493.5</v>
      </c>
      <c r="C16" s="33">
        <f t="shared" si="0"/>
        <v>21568.775</v>
      </c>
      <c r="D16" s="28">
        <f>'2010'!D11</f>
        <v>5184.055071250001</v>
      </c>
      <c r="E16" s="14">
        <f>'2010'!O11</f>
        <v>15501.25</v>
      </c>
      <c r="F16" s="30">
        <f>'2010'!P11</f>
        <v>3191.86</v>
      </c>
      <c r="G16" s="29">
        <f>'2010'!V11</f>
        <v>11773.740000000002</v>
      </c>
      <c r="H16" s="30">
        <f>'2010'!W11</f>
        <v>20149.655071250003</v>
      </c>
      <c r="I16" s="29">
        <f>'2010'!Y11</f>
        <v>1496.1</v>
      </c>
      <c r="J16" s="14">
        <f>'2010'!AA11+'2010'!AB11</f>
        <v>2493.682908</v>
      </c>
      <c r="K16" s="14">
        <f>'2010'!Z11+'2010'!AC11+'2010'!AD11+'2010'!AE11+'2010'!AF11+'2010'!AG11+'2010'!AH11</f>
        <v>7076.929697074999</v>
      </c>
      <c r="L16" s="31">
        <f>'2010'!AK11+'2010'!AM11</f>
        <v>5569.069</v>
      </c>
      <c r="M16" s="31">
        <f>'2010'!AP11</f>
        <v>0</v>
      </c>
      <c r="N16" s="30">
        <f>'2010'!AS11</f>
        <v>16635.781605075</v>
      </c>
      <c r="O16" s="74">
        <f>'2010'!AU11</f>
        <v>3513.8734661750022</v>
      </c>
      <c r="P16" s="74">
        <f>'2010'!AV11</f>
        <v>-3727.5099999999984</v>
      </c>
      <c r="Q16" s="1"/>
      <c r="R16" s="1"/>
    </row>
    <row r="17" spans="1:18" s="20" customFormat="1" ht="13.5" thickBot="1">
      <c r="A17" s="34" t="s">
        <v>5</v>
      </c>
      <c r="B17" s="35"/>
      <c r="C17" s="36">
        <f>SUM(C14:C16)</f>
        <v>64706.325000000004</v>
      </c>
      <c r="D17" s="67">
        <f aca="true" t="shared" si="1" ref="D17:I17">SUM(D14:D16)</f>
        <v>15574.048115250002</v>
      </c>
      <c r="E17" s="36">
        <f t="shared" si="1"/>
        <v>46513.13</v>
      </c>
      <c r="F17" s="68">
        <f t="shared" si="1"/>
        <v>9575.57</v>
      </c>
      <c r="G17" s="67">
        <f t="shared" si="1"/>
        <v>19151.060000000005</v>
      </c>
      <c r="H17" s="68">
        <f t="shared" si="1"/>
        <v>44300.678115250004</v>
      </c>
      <c r="I17" s="67">
        <f t="shared" si="1"/>
        <v>4488.299999999999</v>
      </c>
      <c r="J17" s="36">
        <f aca="true" t="shared" si="2" ref="J17:P17">SUM(J14:J16)</f>
        <v>7481.048724</v>
      </c>
      <c r="K17" s="36">
        <f t="shared" si="2"/>
        <v>21237.162477225</v>
      </c>
      <c r="L17" s="36">
        <f t="shared" si="2"/>
        <v>20329.7834</v>
      </c>
      <c r="M17" s="36">
        <f t="shared" si="2"/>
        <v>0</v>
      </c>
      <c r="N17" s="68">
        <f t="shared" si="2"/>
        <v>53536.294601225</v>
      </c>
      <c r="O17" s="75">
        <f t="shared" si="2"/>
        <v>-9235.616485974995</v>
      </c>
      <c r="P17" s="75">
        <f t="shared" si="2"/>
        <v>-27362.069999999996</v>
      </c>
      <c r="Q17" s="70"/>
      <c r="R17" s="71"/>
    </row>
    <row r="18" spans="1:18" ht="12.75">
      <c r="A18" s="7" t="s">
        <v>38</v>
      </c>
      <c r="B18" s="40"/>
      <c r="C18" s="41"/>
      <c r="D18" s="42"/>
      <c r="E18" s="43"/>
      <c r="F18" s="45"/>
      <c r="G18" s="44"/>
      <c r="H18" s="45"/>
      <c r="I18" s="44"/>
      <c r="J18" s="14"/>
      <c r="K18" s="14"/>
      <c r="L18" s="31"/>
      <c r="M18" s="69"/>
      <c r="N18" s="30"/>
      <c r="O18" s="74"/>
      <c r="P18" s="74"/>
      <c r="Q18" s="1"/>
      <c r="R18" s="1"/>
    </row>
    <row r="19" spans="1:18" ht="12.75">
      <c r="A19" s="11" t="s">
        <v>39</v>
      </c>
      <c r="B19" s="82">
        <f>'2010'!B14</f>
        <v>2493.5</v>
      </c>
      <c r="C19" s="27">
        <f t="shared" si="0"/>
        <v>21568.775</v>
      </c>
      <c r="D19" s="28">
        <f>'2010'!D14</f>
        <v>2696.096875</v>
      </c>
      <c r="E19" s="14">
        <f>'2010'!O14</f>
        <v>15453.509999999998</v>
      </c>
      <c r="F19" s="30">
        <f>'2010'!P14</f>
        <v>3236.07</v>
      </c>
      <c r="G19" s="29">
        <f>'2010'!V14</f>
        <v>10122.82</v>
      </c>
      <c r="H19" s="30">
        <f>'2010'!W14</f>
        <v>16054.986875</v>
      </c>
      <c r="I19" s="29">
        <f>'2010'!Y14</f>
        <v>1346.49</v>
      </c>
      <c r="J19" s="14">
        <f>'2010'!AA14+'2010'!AB14</f>
        <v>2213.8915386</v>
      </c>
      <c r="K19" s="14">
        <f>'2010'!Z14+'2010'!AC14+'2010'!AD14+'2010'!AE14+'2010'!AF14+'2010'!AG14+'2010'!AH14+'2010'!AI14+'2010'!AJ14</f>
        <v>7595.725508790001</v>
      </c>
      <c r="L19" s="31">
        <f>'2010'!AK14+'2010'!AL14+'2010'!AM14+'2010'!AQ14+'2010'!AR14</f>
        <v>1416</v>
      </c>
      <c r="M19" s="31">
        <f>'2010'!AP14</f>
        <v>755.2944</v>
      </c>
      <c r="N19" s="30">
        <f>'2010'!AS14</f>
        <v>12572.10704739</v>
      </c>
      <c r="O19" s="74">
        <f>'2010'!AU14</f>
        <v>3482.8798276100006</v>
      </c>
      <c r="P19" s="74">
        <f>'2010'!AV14</f>
        <v>-5330.689999999999</v>
      </c>
      <c r="Q19" s="1"/>
      <c r="R19" s="1"/>
    </row>
    <row r="20" spans="1:18" ht="12.75">
      <c r="A20" s="11" t="s">
        <v>40</v>
      </c>
      <c r="B20" s="82">
        <f>'2010'!B15</f>
        <v>2493.5</v>
      </c>
      <c r="C20" s="27">
        <f t="shared" si="0"/>
        <v>21568.775</v>
      </c>
      <c r="D20" s="28">
        <f>'2010'!D15</f>
        <v>2696.096875</v>
      </c>
      <c r="E20" s="14">
        <f>'2010'!O15</f>
        <v>15485.269999999999</v>
      </c>
      <c r="F20" s="30">
        <f>'2010'!P15</f>
        <v>3204.31</v>
      </c>
      <c r="G20" s="29">
        <f>'2010'!V15</f>
        <v>13092.999999999998</v>
      </c>
      <c r="H20" s="30">
        <f>'2010'!W15</f>
        <v>18993.406875</v>
      </c>
      <c r="I20" s="29">
        <f>'2010'!Y15</f>
        <v>1346.49</v>
      </c>
      <c r="J20" s="14">
        <f>'2010'!AA15+'2010'!AB15</f>
        <v>2214.11803665</v>
      </c>
      <c r="K20" s="14">
        <f>'2010'!Z15+'2010'!AC15+'2010'!AD15+'2010'!AE15+'2010'!AF15+'2010'!AG15+'2010'!AH15+'2010'!AI15+'2010'!AJ15</f>
        <v>7703.68005</v>
      </c>
      <c r="L20" s="31">
        <f>'2010'!AK15+'2010'!AL15+'2010'!AM15+'2010'!AQ15+'2010'!AR15</f>
        <v>2471.51</v>
      </c>
      <c r="M20" s="31">
        <f>'2010'!AP15</f>
        <v>605.1276</v>
      </c>
      <c r="N20" s="30">
        <f>'2010'!AS15</f>
        <v>13735.79808665</v>
      </c>
      <c r="O20" s="74">
        <f>'2010'!AU15</f>
        <v>5257.60878835</v>
      </c>
      <c r="P20" s="74">
        <f>'2010'!AV15</f>
        <v>-2392.2700000000004</v>
      </c>
      <c r="Q20" s="1"/>
      <c r="R20" s="1"/>
    </row>
    <row r="21" spans="1:18" ht="12.75">
      <c r="A21" s="11" t="s">
        <v>41</v>
      </c>
      <c r="B21" s="82">
        <f>'2010'!B16</f>
        <v>2493.5</v>
      </c>
      <c r="C21" s="27">
        <f t="shared" si="0"/>
        <v>21568.775</v>
      </c>
      <c r="D21" s="28">
        <f>'2010'!D16</f>
        <v>2696.096875</v>
      </c>
      <c r="E21" s="14">
        <f>'2010'!O16</f>
        <v>15473.58</v>
      </c>
      <c r="F21" s="30">
        <f>'2010'!P16</f>
        <v>3204.0100000000007</v>
      </c>
      <c r="G21" s="29">
        <f>'2010'!V16</f>
        <v>9413.550000000001</v>
      </c>
      <c r="H21" s="30">
        <f>'2010'!W16</f>
        <v>15313.656875000002</v>
      </c>
      <c r="I21" s="29">
        <f>'2010'!Y16</f>
        <v>1346.49</v>
      </c>
      <c r="J21" s="14">
        <f>'2010'!AA16+'2010'!AB16</f>
        <v>2228.12352745</v>
      </c>
      <c r="K21" s="14">
        <f>'2010'!Z16+'2010'!AC16+'2010'!AD16+'2010'!AE16+'2010'!AF16+'2010'!AG16+'2010'!AH16+'2010'!AI16+'2010'!AJ16</f>
        <v>7649.80276534</v>
      </c>
      <c r="L21" s="31">
        <f>'2010'!AK16+'2010'!AL16+'2010'!AM16+'2010'!AQ16+'2010'!AR16</f>
        <v>802.4</v>
      </c>
      <c r="M21" s="31">
        <f>'2010'!AP16</f>
        <v>569.4444</v>
      </c>
      <c r="N21" s="30">
        <f>'2010'!AS16</f>
        <v>12026.816292790001</v>
      </c>
      <c r="O21" s="74">
        <f>'2010'!AU16</f>
        <v>3286.8405822100012</v>
      </c>
      <c r="P21" s="74">
        <f>'2010'!AV16</f>
        <v>-6060.029999999999</v>
      </c>
      <c r="Q21" s="1"/>
      <c r="R21" s="1"/>
    </row>
    <row r="22" spans="1:18" ht="12.75">
      <c r="A22" s="11" t="s">
        <v>42</v>
      </c>
      <c r="B22" s="82">
        <f>'2010'!B17</f>
        <v>2493.5</v>
      </c>
      <c r="C22" s="27">
        <f t="shared" si="0"/>
        <v>21568.775</v>
      </c>
      <c r="D22" s="28">
        <f>'2010'!D17</f>
        <v>2696.096875</v>
      </c>
      <c r="E22" s="14">
        <f>'2010'!O17</f>
        <v>15423.849999999999</v>
      </c>
      <c r="F22" s="30">
        <f>'2010'!P17</f>
        <v>3204.31</v>
      </c>
      <c r="G22" s="29">
        <f>'2010'!V17</f>
        <v>14287</v>
      </c>
      <c r="H22" s="30">
        <f>'2010'!W17</f>
        <v>20187.406875</v>
      </c>
      <c r="I22" s="29">
        <f>'2010'!Y17</f>
        <v>1346.49</v>
      </c>
      <c r="J22" s="14">
        <f>'2010'!AA17+'2010'!AB17</f>
        <v>2228.12352745</v>
      </c>
      <c r="K22" s="14">
        <f>'2010'!Z17+'2010'!AC17+'2010'!AD17+'2010'!AE17+'2010'!AF17+'2010'!AG17+'2010'!AH17+'2010'!AI17+'2010'!AJ17</f>
        <v>7657.4328753400005</v>
      </c>
      <c r="L22" s="31">
        <f>'2010'!AK17+'2010'!AL17+'2010'!AM17+'2010'!AQ17+'2010'!AR17</f>
        <v>2375.34</v>
      </c>
      <c r="M22" s="31">
        <f>'2010'!AP17</f>
        <v>456.4476</v>
      </c>
      <c r="N22" s="30">
        <f>'2010'!AS17</f>
        <v>15993.70040279</v>
      </c>
      <c r="O22" s="74">
        <f>'2010'!AU17</f>
        <v>4193.70647221</v>
      </c>
      <c r="P22" s="74">
        <f>'2010'!AV17</f>
        <v>-1136.8499999999985</v>
      </c>
      <c r="Q22" s="1"/>
      <c r="R22" s="1"/>
    </row>
    <row r="23" spans="1:18" ht="12.75">
      <c r="A23" s="11" t="s">
        <v>43</v>
      </c>
      <c r="B23" s="82">
        <f>'2010'!B18</f>
        <v>2493.5</v>
      </c>
      <c r="C23" s="27">
        <f t="shared" si="0"/>
        <v>21568.775</v>
      </c>
      <c r="D23" s="28">
        <f>'2010'!D18</f>
        <v>1533.9350000000006</v>
      </c>
      <c r="E23" s="14">
        <f>'2010'!O18</f>
        <v>16480.55</v>
      </c>
      <c r="F23" s="30">
        <f>'2010'!P18</f>
        <v>3554.29</v>
      </c>
      <c r="G23" s="29">
        <f>'2010'!V18</f>
        <v>11501.83</v>
      </c>
      <c r="H23" s="30">
        <f>'2010'!W18</f>
        <v>16590.055</v>
      </c>
      <c r="I23" s="29">
        <f>'2010'!Y18</f>
        <v>1496.1</v>
      </c>
      <c r="J23" s="14">
        <f>'2010'!AA18+'2010'!AB18</f>
        <v>2475.7205969499996</v>
      </c>
      <c r="K23" s="14">
        <f>'2010'!Z18+'2010'!AC18+'2010'!AD18+'2010'!AE18+'2010'!AF18+'2010'!AG18+'2010'!AH18+'2010'!AI18+'2010'!AJ18</f>
        <v>8499.2318925</v>
      </c>
      <c r="L23" s="31">
        <f>'2010'!AK18+'2010'!AL18+'2010'!AM18+'2010'!AQ18+'2010'!AR18</f>
        <v>0</v>
      </c>
      <c r="M23" s="31">
        <f>'2010'!AP18</f>
        <v>391.02840000000003</v>
      </c>
      <c r="N23" s="30">
        <f>'2010'!AS18</f>
        <v>12862.080889449999</v>
      </c>
      <c r="O23" s="74">
        <f>'2010'!AU18</f>
        <v>3727.9741105500016</v>
      </c>
      <c r="P23" s="74">
        <f>'2010'!AV18</f>
        <v>-4978.719999999999</v>
      </c>
      <c r="Q23" s="1"/>
      <c r="R23" s="1"/>
    </row>
    <row r="24" spans="1:18" ht="12.75">
      <c r="A24" s="11" t="s">
        <v>44</v>
      </c>
      <c r="B24" s="82">
        <f>'2010'!B19</f>
        <v>2493.5</v>
      </c>
      <c r="C24" s="27">
        <f t="shared" si="0"/>
        <v>21568.775</v>
      </c>
      <c r="D24" s="28">
        <f>'2010'!D19</f>
        <v>1475.4450000000033</v>
      </c>
      <c r="E24" s="14">
        <f>'2010'!O19</f>
        <v>16587.140000000003</v>
      </c>
      <c r="F24" s="30">
        <f>'2010'!P19</f>
        <v>3506.19</v>
      </c>
      <c r="G24" s="29">
        <f>'2010'!V19</f>
        <v>12855.52</v>
      </c>
      <c r="H24" s="30">
        <f>'2010'!W19</f>
        <v>17837.155000000006</v>
      </c>
      <c r="I24" s="29">
        <f>'2010'!Y19</f>
        <v>1496.1</v>
      </c>
      <c r="J24" s="14">
        <f>'2010'!AA19+'2010'!AB19</f>
        <v>2471.5807693200004</v>
      </c>
      <c r="K24" s="14">
        <f>'2010'!Z19+'2010'!AC19+'2010'!AD19+'2010'!AE19+'2010'!AF19+'2010'!AG19+'2010'!AH19+'2010'!AI19+'2010'!AJ19</f>
        <v>8487.118229366</v>
      </c>
      <c r="L24" s="31">
        <f>'2010'!AK19+'2010'!AL19+'2010'!AM19+'2010'!AQ19+'2010'!AR19</f>
        <v>0</v>
      </c>
      <c r="M24" s="31">
        <f>'2010'!AP19</f>
        <v>346.42440000000005</v>
      </c>
      <c r="N24" s="30">
        <f>'2010'!AS19</f>
        <v>12801.223398686001</v>
      </c>
      <c r="O24" s="74">
        <f>'2010'!AU19</f>
        <v>5035.931601314005</v>
      </c>
      <c r="P24" s="74">
        <f>'2010'!AV19</f>
        <v>-3731.6200000000026</v>
      </c>
      <c r="Q24" s="1"/>
      <c r="R24" s="1"/>
    </row>
    <row r="25" spans="1:18" ht="12.75">
      <c r="A25" s="11" t="s">
        <v>45</v>
      </c>
      <c r="B25" s="82">
        <f>'2010'!B20</f>
        <v>2493.5</v>
      </c>
      <c r="C25" s="27">
        <f t="shared" si="0"/>
        <v>21568.775</v>
      </c>
      <c r="D25" s="28">
        <f>'2010'!D20</f>
        <v>1475.4550000000036</v>
      </c>
      <c r="E25" s="14">
        <f>'2010'!O20</f>
        <v>16587.120000000003</v>
      </c>
      <c r="F25" s="30">
        <f>'2010'!P20</f>
        <v>3506.2</v>
      </c>
      <c r="G25" s="29">
        <f>'2010'!V20</f>
        <v>15980.76</v>
      </c>
      <c r="H25" s="30">
        <f>'2010'!W20</f>
        <v>20962.415000000005</v>
      </c>
      <c r="I25" s="29">
        <f>'2010'!Y20</f>
        <v>1496.1</v>
      </c>
      <c r="J25" s="14">
        <f>'2010'!AA20+'2010'!AB20</f>
        <v>2471.5807693200004</v>
      </c>
      <c r="K25" s="14">
        <f>'2010'!Z20+'2010'!AC20+'2010'!AD20+'2010'!AE20+'2010'!AF20+'2010'!AG20+'2010'!AH20+'2010'!AI20+'2010'!AJ20</f>
        <v>8479.056076366001</v>
      </c>
      <c r="L25" s="31">
        <f>'2010'!AK20+'2010'!AL20+'2010'!AM20+'2010'!AQ20+'2010'!AR20</f>
        <v>0</v>
      </c>
      <c r="M25" s="31">
        <f>'2010'!AP20</f>
        <v>368.7264</v>
      </c>
      <c r="N25" s="30">
        <f>'2010'!AS20</f>
        <v>12815.463245686002</v>
      </c>
      <c r="O25" s="74">
        <f>'2010'!AU20</f>
        <v>8146.951754314003</v>
      </c>
      <c r="P25" s="74">
        <f>'2010'!AV20</f>
        <v>-606.3600000000024</v>
      </c>
      <c r="Q25" s="1"/>
      <c r="R25" s="1"/>
    </row>
    <row r="26" spans="1:18" ht="12.75">
      <c r="A26" s="11" t="s">
        <v>46</v>
      </c>
      <c r="B26" s="82">
        <f>'2010'!B21</f>
        <v>2493.5</v>
      </c>
      <c r="C26" s="27">
        <f t="shared" si="0"/>
        <v>21568.775</v>
      </c>
      <c r="D26" s="28">
        <f>'2010'!D21</f>
        <v>1475.454999999998</v>
      </c>
      <c r="E26" s="14">
        <f>'2010'!O21</f>
        <v>16587.13</v>
      </c>
      <c r="F26" s="30">
        <f>'2010'!P21</f>
        <v>3506.1899999999996</v>
      </c>
      <c r="G26" s="29">
        <f>'2010'!V21</f>
        <v>13520.41</v>
      </c>
      <c r="H26" s="30">
        <f>'2010'!W21</f>
        <v>18502.054999999997</v>
      </c>
      <c r="I26" s="29">
        <f>'2010'!Y21</f>
        <v>1496.1</v>
      </c>
      <c r="J26" s="14">
        <f>'2010'!AA21+'2010'!AB21</f>
        <v>2471.4689301</v>
      </c>
      <c r="K26" s="14">
        <f>'2010'!Z21+'2010'!AC21+'2010'!AD21+'2010'!AE21+'2010'!AF21+'2010'!AG21+'2010'!AH21+'2010'!AI21+'2010'!AJ21</f>
        <v>8481.29759323</v>
      </c>
      <c r="L26" s="31">
        <f>'2010'!AK21+'2010'!AL21+'2010'!AM21+'2010'!AQ21+'2010'!AR21</f>
        <v>0</v>
      </c>
      <c r="M26" s="31">
        <f>'2010'!AP21</f>
        <v>435.63239999999996</v>
      </c>
      <c r="N26" s="30">
        <f>'2010'!AS21</f>
        <v>12884.49892333</v>
      </c>
      <c r="O26" s="74">
        <f>'2010'!AU21</f>
        <v>5617.556076669996</v>
      </c>
      <c r="P26" s="74">
        <f>'2010'!AV21</f>
        <v>-3066.720000000001</v>
      </c>
      <c r="Q26" s="1"/>
      <c r="R26" s="1"/>
    </row>
    <row r="27" spans="1:18" ht="12.75">
      <c r="A27" s="11" t="s">
        <v>47</v>
      </c>
      <c r="B27" s="82">
        <f>'2010'!B22</f>
        <v>2493.5</v>
      </c>
      <c r="C27" s="27">
        <f t="shared" si="0"/>
        <v>21568.775</v>
      </c>
      <c r="D27" s="28">
        <f>'2010'!D22</f>
        <v>1475.4550000000038</v>
      </c>
      <c r="E27" s="14">
        <f>'2010'!O22</f>
        <v>16515.13</v>
      </c>
      <c r="F27" s="30">
        <f>'2010'!P22</f>
        <v>3578.1899999999996</v>
      </c>
      <c r="G27" s="29">
        <f>'2010'!V22</f>
        <v>13626.349999999999</v>
      </c>
      <c r="H27" s="30">
        <f>'2010'!W22</f>
        <v>18679.995000000003</v>
      </c>
      <c r="I27" s="29">
        <f>'2010'!Y22</f>
        <v>1496.1</v>
      </c>
      <c r="J27" s="14">
        <f>'2010'!AA22+'2010'!AB22</f>
        <v>2471.4689301</v>
      </c>
      <c r="K27" s="14">
        <f>'2010'!Z22+'2010'!AC22+'2010'!AD22+'2010'!AE22+'2010'!AF22+'2010'!AG22+'2010'!AH22+'2010'!AI22+'2010'!AJ22</f>
        <v>8481.52714484</v>
      </c>
      <c r="L27" s="31">
        <f>'2010'!AK22+'2010'!AL22+'2010'!AM22+'2010'!AQ22+'2010'!AR22</f>
        <v>0</v>
      </c>
      <c r="M27" s="31">
        <f>'2010'!AP22</f>
        <v>518.8932000000001</v>
      </c>
      <c r="N27" s="30">
        <f>'2010'!AS22</f>
        <v>12967.98927494</v>
      </c>
      <c r="O27" s="74">
        <f>'2010'!AU22</f>
        <v>5712.005725060002</v>
      </c>
      <c r="P27" s="74">
        <f>'2010'!AV22</f>
        <v>-2888.7800000000025</v>
      </c>
      <c r="Q27" s="1"/>
      <c r="R27" s="1"/>
    </row>
    <row r="28" spans="1:18" ht="12.75">
      <c r="A28" s="11" t="s">
        <v>35</v>
      </c>
      <c r="B28" s="82">
        <f>'2010'!B23</f>
        <v>2493.5</v>
      </c>
      <c r="C28" s="27">
        <f>B28*8.65</f>
        <v>21568.775</v>
      </c>
      <c r="D28" s="28">
        <f>'2010'!D23</f>
        <v>1501.6450000000018</v>
      </c>
      <c r="E28" s="14">
        <f>'2010'!O23</f>
        <v>16488.98</v>
      </c>
      <c r="F28" s="30">
        <f>'2010'!P23</f>
        <v>3578.15</v>
      </c>
      <c r="G28" s="29">
        <f>'2010'!V23</f>
        <v>14081.9</v>
      </c>
      <c r="H28" s="30">
        <f>'2010'!W23</f>
        <v>19161.695</v>
      </c>
      <c r="I28" s="29">
        <f>'2010'!Y23</f>
        <v>1496.1</v>
      </c>
      <c r="J28" s="14">
        <f>'2010'!AA23+'2010'!AB23</f>
        <v>2500.9804999999997</v>
      </c>
      <c r="K28" s="14">
        <f>'2010'!Z23+'2010'!AC23+'2010'!AD23+'2010'!AE23+'2010'!AF23+'2010'!AG23+'2010'!AH23+'2010'!AI23+'2010'!AJ23</f>
        <v>8560.6842</v>
      </c>
      <c r="L28" s="31">
        <f>'2010'!AK23+'2010'!AL23+'2010'!AM23+'2010'!AQ23+'2010'!AR23</f>
        <v>5994.3056</v>
      </c>
      <c r="M28" s="31">
        <f>'2010'!AP23</f>
        <v>631.89</v>
      </c>
      <c r="N28" s="30">
        <f>'2010'!AS23</f>
        <v>19183.9603</v>
      </c>
      <c r="O28" s="74">
        <f>'2010'!AU23</f>
        <v>-22.265299999999115</v>
      </c>
      <c r="P28" s="74">
        <f>'2010'!AV23</f>
        <v>-2407.08</v>
      </c>
      <c r="Q28" s="1"/>
      <c r="R28" s="1"/>
    </row>
    <row r="29" spans="1:18" ht="12.75">
      <c r="A29" s="11" t="s">
        <v>36</v>
      </c>
      <c r="B29" s="82">
        <f>'2010'!B24</f>
        <v>2493.5</v>
      </c>
      <c r="C29" s="27">
        <f t="shared" si="0"/>
        <v>21568.775</v>
      </c>
      <c r="D29" s="28">
        <f>'2010'!D24</f>
        <v>1502.4850000000033</v>
      </c>
      <c r="E29" s="14">
        <f>'2010'!O24</f>
        <v>16488.1</v>
      </c>
      <c r="F29" s="30">
        <f>'2010'!P24</f>
        <v>3578.1899999999996</v>
      </c>
      <c r="G29" s="29">
        <f>'2010'!V24</f>
        <v>12054.08</v>
      </c>
      <c r="H29" s="30">
        <f>'2010'!W24</f>
        <v>17134.755000000005</v>
      </c>
      <c r="I29" s="29">
        <f>'2010'!Y24</f>
        <v>1496.1</v>
      </c>
      <c r="J29" s="14">
        <f>'2010'!AA24+'2010'!AB24</f>
        <v>2500.9804999999997</v>
      </c>
      <c r="K29" s="14">
        <f>'2010'!Z24+'2010'!AC24+'2010'!AD24+'2010'!AE24+'2010'!AF24+'2010'!AG24+'2010'!AH24+'2010'!AI24+'2010'!AJ24</f>
        <v>8560.6842</v>
      </c>
      <c r="L29" s="31">
        <f>'2010'!AK24+'2010'!AL24+'2010'!AM24+'2010'!AQ24+'2010'!AR24</f>
        <v>7196.938</v>
      </c>
      <c r="M29" s="31">
        <f>'2010'!AP24</f>
        <v>698.796</v>
      </c>
      <c r="N29" s="30">
        <f>'2010'!AS24</f>
        <v>20453.498699999996</v>
      </c>
      <c r="O29" s="74">
        <f>'2010'!AU24</f>
        <v>-3318.743699999992</v>
      </c>
      <c r="P29" s="74">
        <f>'2010'!AV24</f>
        <v>-4434.019999999999</v>
      </c>
      <c r="Q29" s="1"/>
      <c r="R29" s="1"/>
    </row>
    <row r="30" spans="1:18" ht="13.5" thickBot="1">
      <c r="A30" s="32" t="s">
        <v>37</v>
      </c>
      <c r="B30" s="82">
        <f>'2010'!B25</f>
        <v>2493.5</v>
      </c>
      <c r="C30" s="33">
        <f t="shared" si="0"/>
        <v>21568.775</v>
      </c>
      <c r="D30" s="28">
        <f>'2010'!D25</f>
        <v>1502.4850000000001</v>
      </c>
      <c r="E30" s="14">
        <f>'2010'!O25</f>
        <v>16488.1</v>
      </c>
      <c r="F30" s="30">
        <f>'2010'!P25</f>
        <v>3578.1899999999996</v>
      </c>
      <c r="G30" s="29">
        <f>'2010'!V25</f>
        <v>27593.57</v>
      </c>
      <c r="H30" s="30">
        <f>'2010'!W25</f>
        <v>32674.245</v>
      </c>
      <c r="I30" s="29">
        <f>'2010'!Y25</f>
        <v>1496.1</v>
      </c>
      <c r="J30" s="14">
        <f>'2010'!AA25+'2010'!AB25</f>
        <v>2500.9804999999997</v>
      </c>
      <c r="K30" s="14">
        <f>'2010'!Z25+'2010'!AC25+'2010'!AD25+'2010'!AE25+'2010'!AF25+'2010'!AG25+'2010'!AH25+'2010'!AI25+'2010'!AJ25</f>
        <v>8560.6842</v>
      </c>
      <c r="L30" s="31">
        <f>'2010'!AK25+'2010'!AL25+'2010'!AM25+'2010'!AQ25+'2010'!AR25</f>
        <v>0</v>
      </c>
      <c r="M30" s="31">
        <f>'2010'!AP25</f>
        <v>764.2152000000001</v>
      </c>
      <c r="N30" s="30">
        <f>'2010'!AS25</f>
        <v>13321.9799</v>
      </c>
      <c r="O30" s="74">
        <f>'2010'!AU25</f>
        <v>19352.265099999997</v>
      </c>
      <c r="P30" s="74">
        <f>'2010'!AV25</f>
        <v>11105.470000000001</v>
      </c>
      <c r="Q30" s="1"/>
      <c r="R30" s="1"/>
    </row>
    <row r="31" spans="1:18" s="20" customFormat="1" ht="13.5" thickBot="1">
      <c r="A31" s="34" t="s">
        <v>5</v>
      </c>
      <c r="B31" s="35"/>
      <c r="C31" s="36">
        <f aca="true" t="shared" si="3" ref="C31:P31">SUM(C19:C30)</f>
        <v>258825.29999999996</v>
      </c>
      <c r="D31" s="67">
        <f t="shared" si="3"/>
        <v>22726.747500000016</v>
      </c>
      <c r="E31" s="36">
        <f t="shared" si="3"/>
        <v>194058.46000000002</v>
      </c>
      <c r="F31" s="68">
        <f t="shared" si="3"/>
        <v>41234.29</v>
      </c>
      <c r="G31" s="67">
        <f t="shared" si="3"/>
        <v>168130.78999999998</v>
      </c>
      <c r="H31" s="68">
        <f t="shared" si="3"/>
        <v>232091.8275</v>
      </c>
      <c r="I31" s="67">
        <f t="shared" si="3"/>
        <v>17354.760000000002</v>
      </c>
      <c r="J31" s="36">
        <f t="shared" si="3"/>
        <v>28749.018125939998</v>
      </c>
      <c r="K31" s="36">
        <f t="shared" si="3"/>
        <v>98716.92473577202</v>
      </c>
      <c r="L31" s="36">
        <f>SUM(L19:L30)</f>
        <v>20256.4936</v>
      </c>
      <c r="M31" s="36">
        <f t="shared" si="3"/>
        <v>6541.92</v>
      </c>
      <c r="N31" s="68">
        <f t="shared" si="3"/>
        <v>171619.116461712</v>
      </c>
      <c r="O31" s="75">
        <f t="shared" si="3"/>
        <v>60472.71103828802</v>
      </c>
      <c r="P31" s="75">
        <f t="shared" si="3"/>
        <v>-25927.67</v>
      </c>
      <c r="Q31" s="71"/>
      <c r="R31" s="71"/>
    </row>
    <row r="32" spans="1:18" ht="13.5" thickBot="1">
      <c r="A32" s="337" t="s">
        <v>63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79"/>
      <c r="Q32" s="1"/>
      <c r="R32" s="1"/>
    </row>
    <row r="33" spans="1:18" s="20" customFormat="1" ht="13.5" thickBot="1">
      <c r="A33" s="80" t="s">
        <v>48</v>
      </c>
      <c r="B33" s="38"/>
      <c r="C33" s="39">
        <f>C17+C31</f>
        <v>323531.62499999994</v>
      </c>
      <c r="D33" s="37">
        <f aca="true" t="shared" si="4" ref="D33:P33">D17+D31</f>
        <v>38300.79561525002</v>
      </c>
      <c r="E33" s="38">
        <f t="shared" si="4"/>
        <v>240571.59000000003</v>
      </c>
      <c r="F33" s="39">
        <f t="shared" si="4"/>
        <v>50809.86</v>
      </c>
      <c r="G33" s="37">
        <f t="shared" si="4"/>
        <v>187281.84999999998</v>
      </c>
      <c r="H33" s="39">
        <f t="shared" si="4"/>
        <v>276392.50561525003</v>
      </c>
      <c r="I33" s="37">
        <f t="shared" si="4"/>
        <v>21843.06</v>
      </c>
      <c r="J33" s="38">
        <f t="shared" si="4"/>
        <v>36230.06684994</v>
      </c>
      <c r="K33" s="38">
        <f t="shared" si="4"/>
        <v>119954.08721299702</v>
      </c>
      <c r="L33" s="38">
        <f t="shared" si="4"/>
        <v>40586.277</v>
      </c>
      <c r="M33" s="38">
        <f t="shared" si="4"/>
        <v>6541.92</v>
      </c>
      <c r="N33" s="78">
        <f t="shared" si="4"/>
        <v>225155.411062937</v>
      </c>
      <c r="O33" s="77">
        <f>O17+O31</f>
        <v>51237.09455231302</v>
      </c>
      <c r="P33" s="77">
        <f t="shared" si="4"/>
        <v>-53289.73999999999</v>
      </c>
      <c r="Q33" s="72"/>
      <c r="R33" s="71"/>
    </row>
    <row r="34" spans="1:18" ht="12.75">
      <c r="A34" s="7" t="s">
        <v>84</v>
      </c>
      <c r="B34" s="40"/>
      <c r="C34" s="41"/>
      <c r="D34" s="42"/>
      <c r="E34" s="43"/>
      <c r="F34" s="45"/>
      <c r="G34" s="44"/>
      <c r="H34" s="45"/>
      <c r="I34" s="44"/>
      <c r="J34" s="14"/>
      <c r="K34" s="14"/>
      <c r="L34" s="31"/>
      <c r="M34" s="69"/>
      <c r="N34" s="30"/>
      <c r="O34" s="74"/>
      <c r="P34" s="74"/>
      <c r="Q34" s="1"/>
      <c r="R34" s="1"/>
    </row>
    <row r="35" spans="1:18" ht="12.75">
      <c r="A35" s="11" t="s">
        <v>39</v>
      </c>
      <c r="B35" s="82">
        <f>'2010'!B30</f>
        <v>2493.5</v>
      </c>
      <c r="C35" s="27">
        <f aca="true" t="shared" si="5" ref="C35:C46">B35*8.65</f>
        <v>21568.775</v>
      </c>
      <c r="D35" s="28">
        <f>'2010'!D30</f>
        <v>1502.4850000000001</v>
      </c>
      <c r="E35" s="14">
        <f>'2010'!O30</f>
        <v>16488.1</v>
      </c>
      <c r="F35" s="30">
        <f>'2010'!P30</f>
        <v>3578.1899999999996</v>
      </c>
      <c r="G35" s="29">
        <f>'2010'!V30</f>
        <v>14813.77</v>
      </c>
      <c r="H35" s="30">
        <f>'2010'!W30</f>
        <v>19894.445</v>
      </c>
      <c r="I35" s="29">
        <f>'2010'!Y30</f>
        <v>1496.1</v>
      </c>
      <c r="J35" s="14">
        <f>'2010'!AA30+'2010'!AB30</f>
        <v>2493.5</v>
      </c>
      <c r="K35" s="14">
        <f>'2010'!Z30+'2010'!AC30+'2010'!AD30+'2010'!AE30+'2010'!AF30+'2010'!AG30+'2010'!AH30+'2010'!AI30+'2010'!AJ30</f>
        <v>8552.705</v>
      </c>
      <c r="L35" s="31">
        <f>'2010'!AK30+'2010'!AL30+'2010'!AM30+'2010'!AQ30+'2010'!AR30</f>
        <v>12355.32</v>
      </c>
      <c r="M35" s="31">
        <f>'2010'!AP30</f>
        <v>800.0999999999999</v>
      </c>
      <c r="N35" s="30">
        <f>'2010'!AS30</f>
        <v>25697.725</v>
      </c>
      <c r="O35" s="74">
        <f>'2010'!AU30</f>
        <v>-5803.279999999999</v>
      </c>
      <c r="P35" s="74">
        <f>'2010'!AV30</f>
        <v>-1674.329999999998</v>
      </c>
      <c r="Q35" s="1"/>
      <c r="R35" s="1"/>
    </row>
    <row r="36" spans="1:18" ht="12.75">
      <c r="A36" s="11" t="s">
        <v>40</v>
      </c>
      <c r="B36" s="82">
        <f>'2010'!B31</f>
        <v>2493.5</v>
      </c>
      <c r="C36" s="27">
        <f t="shared" si="5"/>
        <v>21568.775</v>
      </c>
      <c r="D36" s="28">
        <f>'2010'!D31</f>
        <v>1520.6249999999975</v>
      </c>
      <c r="E36" s="14">
        <f>'2010'!O31</f>
        <v>16437.79</v>
      </c>
      <c r="F36" s="30">
        <f>'2010'!P31</f>
        <v>3610.36</v>
      </c>
      <c r="G36" s="29">
        <f>'2010'!V31</f>
        <v>11951.2</v>
      </c>
      <c r="H36" s="30">
        <f>'2010'!W31</f>
        <v>17082.184999999998</v>
      </c>
      <c r="I36" s="29">
        <f>'2010'!Y31</f>
        <v>1496.1</v>
      </c>
      <c r="J36" s="14">
        <f>'2010'!AA31+'2010'!AB31</f>
        <v>2493.5</v>
      </c>
      <c r="K36" s="14">
        <f>'2010'!Z31+'2010'!AC31+'2010'!AD31+'2010'!AE31+'2010'!AF31+'2010'!AG31+'2010'!AH31+'2010'!AI31+'2010'!AJ31</f>
        <v>8552.705</v>
      </c>
      <c r="L36" s="31">
        <f>'2010'!AK31+'2010'!AL31+'2010'!AM31+'2010'!AQ31+'2010'!AR31</f>
        <v>0</v>
      </c>
      <c r="M36" s="31">
        <f>'2010'!AP31</f>
        <v>641.025</v>
      </c>
      <c r="N36" s="30">
        <f>'2010'!AS31</f>
        <v>13183.33</v>
      </c>
      <c r="O36" s="74">
        <f>'2010'!AU31</f>
        <v>3898.8549999999977</v>
      </c>
      <c r="P36" s="74">
        <f>'2010'!AV31</f>
        <v>-4486.59</v>
      </c>
      <c r="Q36" s="1"/>
      <c r="R36" s="1"/>
    </row>
    <row r="37" spans="1:18" ht="12.75">
      <c r="A37" s="11" t="s">
        <v>41</v>
      </c>
      <c r="B37" s="82">
        <f>'2010'!B32</f>
        <v>2493.5</v>
      </c>
      <c r="C37" s="27">
        <f t="shared" si="5"/>
        <v>21568.775</v>
      </c>
      <c r="D37" s="28">
        <f>'2010'!D32</f>
        <v>1492.2649999999994</v>
      </c>
      <c r="E37" s="14">
        <f>'2010'!O32</f>
        <v>16607.13</v>
      </c>
      <c r="F37" s="30">
        <f>'2010'!P32</f>
        <v>3469.38</v>
      </c>
      <c r="G37" s="29">
        <f>'2010'!V32</f>
        <v>13278.419999999998</v>
      </c>
      <c r="H37" s="30">
        <f>'2010'!W32</f>
        <v>18240.065</v>
      </c>
      <c r="I37" s="29">
        <f>'2010'!Y32</f>
        <v>1496.1</v>
      </c>
      <c r="J37" s="14">
        <f>'2010'!AA32+'2010'!AB32</f>
        <v>2493.5</v>
      </c>
      <c r="K37" s="14">
        <f>'2010'!Z32+'2010'!AC32+'2010'!AD32+'2010'!AE32+'2010'!AF32+'2010'!AG32+'2010'!AH32+'2010'!AI32+'2010'!AJ32</f>
        <v>8552.705</v>
      </c>
      <c r="L37" s="31">
        <f>'2010'!AK32+'2010'!AL32+'2010'!AM32+'2010'!AQ32+'2010'!AR32</f>
        <v>0</v>
      </c>
      <c r="M37" s="31">
        <f>'2010'!AP32</f>
        <v>603.2249999999999</v>
      </c>
      <c r="N37" s="30">
        <f>'2010'!AS32</f>
        <v>13145.53</v>
      </c>
      <c r="O37" s="74">
        <f>'2010'!AU32</f>
        <v>5094.534999999998</v>
      </c>
      <c r="P37" s="74">
        <f>'2010'!AV32</f>
        <v>-3328.7100000000028</v>
      </c>
      <c r="Q37" s="1"/>
      <c r="R37" s="1"/>
    </row>
    <row r="38" spans="1:18" ht="12.75">
      <c r="A38" s="11" t="s">
        <v>42</v>
      </c>
      <c r="B38" s="82">
        <f>'2010'!B33</f>
        <v>2493.5</v>
      </c>
      <c r="C38" s="27">
        <f t="shared" si="5"/>
        <v>21568.775</v>
      </c>
      <c r="D38" s="28">
        <f>'2010'!D33</f>
        <v>1497.295000000001</v>
      </c>
      <c r="E38" s="14">
        <f>'2010'!O33</f>
        <v>16579.13</v>
      </c>
      <c r="F38" s="30">
        <f>'2010'!P33</f>
        <v>3492.3500000000004</v>
      </c>
      <c r="G38" s="29">
        <f>'2010'!V33</f>
        <v>15924.26</v>
      </c>
      <c r="H38" s="30">
        <f>'2010'!W33</f>
        <v>20913.905000000002</v>
      </c>
      <c r="I38" s="29">
        <f>'2010'!Y33</f>
        <v>1496.1</v>
      </c>
      <c r="J38" s="14">
        <f>'2010'!AA33+'2010'!AB33</f>
        <v>2493.5</v>
      </c>
      <c r="K38" s="14">
        <f>'2010'!Z33+'2010'!AC33+'2010'!AD33+'2010'!AE33+'2010'!AF33+'2010'!AG33+'2010'!AH33+'2010'!AI33+'2010'!AJ33</f>
        <v>8552.705</v>
      </c>
      <c r="L38" s="31">
        <f>'2010'!AK33+'2010'!AL33+'2010'!AM33+'2010'!AQ33+'2010'!AR33</f>
        <v>0</v>
      </c>
      <c r="M38" s="31">
        <f>'2010'!AP33</f>
        <v>483.525</v>
      </c>
      <c r="N38" s="30">
        <f>'2010'!AS33</f>
        <v>13025.83</v>
      </c>
      <c r="O38" s="74">
        <f>'2010'!AU33</f>
        <v>7888.075000000003</v>
      </c>
      <c r="P38" s="74">
        <f>'2010'!AV33</f>
        <v>-654.8700000000008</v>
      </c>
      <c r="Q38" s="1"/>
      <c r="R38" s="1"/>
    </row>
    <row r="39" spans="1:18" ht="12.75">
      <c r="A39" s="11" t="s">
        <v>43</v>
      </c>
      <c r="B39" s="82">
        <f>'2010'!B34</f>
        <v>2493.5</v>
      </c>
      <c r="C39" s="27">
        <f t="shared" si="5"/>
        <v>21568.775</v>
      </c>
      <c r="D39" s="28">
        <f>'2010'!D34</f>
        <v>1497.2750000000024</v>
      </c>
      <c r="E39" s="14">
        <f>'2010'!O34</f>
        <v>16579.16</v>
      </c>
      <c r="F39" s="30">
        <f>'2010'!P34</f>
        <v>3492.34</v>
      </c>
      <c r="G39" s="29">
        <f>'2010'!V34</f>
        <v>13091.54</v>
      </c>
      <c r="H39" s="30">
        <f>'2010'!W34</f>
        <v>18081.155000000002</v>
      </c>
      <c r="I39" s="29">
        <f>'2010'!Y34</f>
        <v>1496.1</v>
      </c>
      <c r="J39" s="14">
        <f>'2010'!AA34+'2010'!AB34</f>
        <v>2493.5</v>
      </c>
      <c r="K39" s="14">
        <f>'2010'!Z34+'2010'!AC34+'2010'!AD34+'2010'!AE34+'2010'!AF34+'2010'!AG34+'2010'!AH34+'2010'!AI34+'2010'!AJ34</f>
        <v>8552.705</v>
      </c>
      <c r="L39" s="31">
        <f>'2010'!AK34+'2010'!AL34+'2010'!AM34+'2010'!AQ34+'2010'!AR34</f>
        <v>0</v>
      </c>
      <c r="M39" s="31">
        <f>'2010'!AP34</f>
        <v>414.22499999999997</v>
      </c>
      <c r="N39" s="30">
        <f>'2010'!AS34</f>
        <v>12956.53</v>
      </c>
      <c r="O39" s="74">
        <f>'2010'!AU34</f>
        <v>5124.625000000002</v>
      </c>
      <c r="P39" s="74">
        <f>'2010'!AV34</f>
        <v>-3487.619999999999</v>
      </c>
      <c r="Q39" s="1"/>
      <c r="R39" s="1"/>
    </row>
    <row r="40" spans="1:18" ht="12.75">
      <c r="A40" s="11" t="s">
        <v>44</v>
      </c>
      <c r="B40" s="82">
        <f>'2010'!B35</f>
        <v>2493.5</v>
      </c>
      <c r="C40" s="27">
        <f t="shared" si="5"/>
        <v>21568.775</v>
      </c>
      <c r="D40" s="28">
        <f>'2010'!D35</f>
        <v>1199.6935812500017</v>
      </c>
      <c r="E40" s="14">
        <f>'2010'!O35</f>
        <v>16579.18</v>
      </c>
      <c r="F40" s="30">
        <f>'2010'!P35</f>
        <v>3492.33</v>
      </c>
      <c r="G40" s="29">
        <f>'2010'!V35</f>
        <v>12696.39</v>
      </c>
      <c r="H40" s="30">
        <f>'2010'!W35</f>
        <v>17388.413581250003</v>
      </c>
      <c r="I40" s="29">
        <f>'2010'!Y35</f>
        <v>1496.1</v>
      </c>
      <c r="J40" s="14">
        <f>'2010'!AA35+'2010'!AB35</f>
        <v>2493.5</v>
      </c>
      <c r="K40" s="14">
        <f>'2010'!Z35+'2010'!AC35+'2010'!AD35+'2010'!AE35+'2010'!AF35+'2010'!AG35+'2010'!AH35+'2010'!AI35+'2010'!AJ35</f>
        <v>8552.705</v>
      </c>
      <c r="L40" s="31">
        <f>'2010'!AK35+'2010'!AL35+'2010'!AM35+'2010'!AQ35+'2010'!AR35</f>
        <v>0</v>
      </c>
      <c r="M40" s="31">
        <f>'2010'!AP35</f>
        <v>366.97499999999997</v>
      </c>
      <c r="N40" s="30">
        <f>'2010'!AS35</f>
        <v>12909.28</v>
      </c>
      <c r="O40" s="74">
        <f>'2010'!AU35</f>
        <v>4479.133581250002</v>
      </c>
      <c r="P40" s="74">
        <f>'2010'!AV35</f>
        <v>-3882.790000000001</v>
      </c>
      <c r="Q40" s="1"/>
      <c r="R40" s="1"/>
    </row>
    <row r="41" spans="1:18" ht="12.75">
      <c r="A41" s="11" t="s">
        <v>45</v>
      </c>
      <c r="B41" s="82">
        <f>'2010'!B36</f>
        <v>2493.5</v>
      </c>
      <c r="C41" s="27">
        <f t="shared" si="5"/>
        <v>21568.775</v>
      </c>
      <c r="D41" s="28">
        <f>'2010'!D36</f>
        <v>1158.8533855250012</v>
      </c>
      <c r="E41" s="14">
        <f>'2010'!O36</f>
        <v>20130.84</v>
      </c>
      <c r="F41" s="30">
        <f>'2010'!P36</f>
        <v>0</v>
      </c>
      <c r="G41" s="29">
        <f>'2010'!V36</f>
        <v>12718.73</v>
      </c>
      <c r="H41" s="30">
        <f>'2010'!W36</f>
        <v>13877.583385525</v>
      </c>
      <c r="I41" s="29">
        <f>'2010'!Y36</f>
        <v>1496.1</v>
      </c>
      <c r="J41" s="14">
        <f>'2010'!AA36+'2010'!AB36</f>
        <v>2493.5</v>
      </c>
      <c r="K41" s="14">
        <f>'2010'!Z36+'2010'!AC36+'2010'!AD36+'2010'!AE36+'2010'!AF36+'2010'!AG36+'2010'!AH36+'2010'!AI36+'2010'!AJ36</f>
        <v>8552.705</v>
      </c>
      <c r="L41" s="31">
        <f>'2010'!AK36+'2010'!AL36+'2010'!AM36+'2010'!AQ36+'2010'!AR36</f>
        <v>13345</v>
      </c>
      <c r="M41" s="31">
        <f>'2010'!AP36</f>
        <v>390.59999999999997</v>
      </c>
      <c r="N41" s="30">
        <f>'2010'!AS36</f>
        <v>26277.905</v>
      </c>
      <c r="O41" s="74">
        <f>'2010'!AU36</f>
        <v>-12400.321614474999</v>
      </c>
      <c r="P41" s="74">
        <f>'2010'!AV36</f>
        <v>-7412.110000000001</v>
      </c>
      <c r="Q41" s="1"/>
      <c r="R41" s="1"/>
    </row>
    <row r="42" spans="1:18" ht="12.75">
      <c r="A42" s="11" t="s">
        <v>46</v>
      </c>
      <c r="B42" s="82">
        <f>'2010'!B37</f>
        <v>2493.5</v>
      </c>
      <c r="C42" s="27">
        <f t="shared" si="5"/>
        <v>21568.775</v>
      </c>
      <c r="D42" s="28">
        <f>'2010'!D37</f>
        <v>1240.9406670149992</v>
      </c>
      <c r="E42" s="14">
        <f>'2010'!O37</f>
        <v>20121.98</v>
      </c>
      <c r="F42" s="30">
        <f>'2010'!P37</f>
        <v>0</v>
      </c>
      <c r="G42" s="29">
        <f>'2010'!V37</f>
        <v>18709.17</v>
      </c>
      <c r="H42" s="30">
        <f>'2010'!W37</f>
        <v>19950.110667014997</v>
      </c>
      <c r="I42" s="29">
        <f>'2010'!Y37</f>
        <v>1496.1</v>
      </c>
      <c r="J42" s="14">
        <f>'2010'!AA37+'2010'!AB37</f>
        <v>2493.5</v>
      </c>
      <c r="K42" s="14">
        <f>'2010'!Z37+'2010'!AC37+'2010'!AD37+'2010'!AE37+'2010'!AF37+'2010'!AG37+'2010'!AH37+'2010'!AI37+'2010'!AJ37</f>
        <v>8552.705</v>
      </c>
      <c r="L42" s="31">
        <f>'2010'!AK37+'2010'!AL37+'2010'!AM37+'2010'!AQ37+'2010'!AR37</f>
        <v>47.8</v>
      </c>
      <c r="M42" s="31">
        <f>'2010'!AP37</f>
        <v>461.47499999999997</v>
      </c>
      <c r="N42" s="30">
        <f>'2010'!AS37</f>
        <v>13051.58</v>
      </c>
      <c r="O42" s="74">
        <f>'2010'!AU37</f>
        <v>6898.530667014997</v>
      </c>
      <c r="P42" s="74">
        <f>'2010'!AV37</f>
        <v>-1412.8100000000013</v>
      </c>
      <c r="Q42" s="1"/>
      <c r="R42" s="1"/>
    </row>
    <row r="43" spans="1:18" ht="12.75">
      <c r="A43" s="11" t="s">
        <v>47</v>
      </c>
      <c r="B43" s="82">
        <f>'2010'!B38</f>
        <v>2492.8</v>
      </c>
      <c r="C43" s="27">
        <f t="shared" si="5"/>
        <v>21562.72</v>
      </c>
      <c r="D43" s="28">
        <f>'2010'!D38</f>
        <v>1279.4820314000026</v>
      </c>
      <c r="E43" s="14">
        <f>'2010'!O38</f>
        <v>20101.339999999997</v>
      </c>
      <c r="F43" s="30">
        <f>'2010'!P38</f>
        <v>0</v>
      </c>
      <c r="G43" s="29">
        <f>'2010'!V38</f>
        <v>23105.800000000003</v>
      </c>
      <c r="H43" s="30">
        <f>'2010'!W38</f>
        <v>24385.282031400006</v>
      </c>
      <c r="I43" s="29">
        <f>'2010'!Y38</f>
        <v>1495.68</v>
      </c>
      <c r="J43" s="14">
        <f>'2010'!AA38+'2010'!AB38</f>
        <v>2492.8</v>
      </c>
      <c r="K43" s="14">
        <f>'2010'!Z38+'2010'!AC38+'2010'!AD38+'2010'!AE38+'2010'!AF38+'2010'!AG38+'2010'!AH38+'2010'!AI38+'2010'!AJ38</f>
        <v>8550.304</v>
      </c>
      <c r="L43" s="31">
        <f>'2010'!AK38+'2010'!AL38+'2010'!AM38+'2010'!AQ38+'2010'!AR38</f>
        <v>847.0039999999999</v>
      </c>
      <c r="M43" s="31">
        <f>'2010'!AP38</f>
        <v>549.675</v>
      </c>
      <c r="N43" s="30">
        <f>'2010'!AS38</f>
        <v>13935.462999999998</v>
      </c>
      <c r="O43" s="74">
        <f>'2010'!AU38</f>
        <v>10449.819031400008</v>
      </c>
      <c r="P43" s="74">
        <f>'2010'!AV38</f>
        <v>3004.4600000000064</v>
      </c>
      <c r="Q43" s="1"/>
      <c r="R43" s="1"/>
    </row>
    <row r="44" spans="1:18" ht="12.75">
      <c r="A44" s="11" t="s">
        <v>35</v>
      </c>
      <c r="B44" s="82">
        <f>'2010'!B39</f>
        <v>2492.8</v>
      </c>
      <c r="C44" s="27">
        <f>B44*8.65</f>
        <v>21562.72</v>
      </c>
      <c r="D44" s="28">
        <f>'2010'!D39</f>
        <v>1193.4192672</v>
      </c>
      <c r="E44" s="14">
        <f>'2010'!O39</f>
        <v>20091.76</v>
      </c>
      <c r="F44" s="30">
        <f>'2010'!P39</f>
        <v>0</v>
      </c>
      <c r="G44" s="29">
        <f>'2010'!V39</f>
        <v>17466.23</v>
      </c>
      <c r="H44" s="30">
        <f>'2010'!W39</f>
        <v>18659.6492672</v>
      </c>
      <c r="I44" s="29">
        <f>'2010'!Y39</f>
        <v>1495.68</v>
      </c>
      <c r="J44" s="14">
        <f>'2010'!AA39+'2010'!AB39</f>
        <v>2492.8</v>
      </c>
      <c r="K44" s="14">
        <f>'2010'!Z39+'2010'!AC39+'2010'!AD39+'2010'!AE39+'2010'!AF39+'2010'!AG39+'2010'!AH39+'2010'!AI39+'2010'!AJ39</f>
        <v>8550.304</v>
      </c>
      <c r="L44" s="31">
        <f>'2010'!AK39+'2010'!AL39+'2010'!AM39+'2010'!AQ39+'2010'!AR39</f>
        <v>14000</v>
      </c>
      <c r="M44" s="31">
        <f>'2010'!AP39</f>
        <v>669.375</v>
      </c>
      <c r="N44" s="30">
        <f>'2010'!AS39</f>
        <v>27208.159</v>
      </c>
      <c r="O44" s="74">
        <f>'2010'!AU39</f>
        <v>-8548.509732800001</v>
      </c>
      <c r="P44" s="74">
        <f>'2010'!AV39</f>
        <v>-2625.529999999999</v>
      </c>
      <c r="Q44" s="1"/>
      <c r="R44" s="1"/>
    </row>
    <row r="45" spans="1:18" ht="12.75">
      <c r="A45" s="11" t="s">
        <v>36</v>
      </c>
      <c r="B45" s="82">
        <f>'2010'!B40</f>
        <v>2492.8</v>
      </c>
      <c r="C45" s="27">
        <f t="shared" si="5"/>
        <v>21562.72</v>
      </c>
      <c r="D45" s="28">
        <f>'2010'!D40</f>
        <v>1268.8492134899984</v>
      </c>
      <c r="E45" s="14">
        <f>'2010'!O40</f>
        <v>20105.41</v>
      </c>
      <c r="F45" s="30">
        <f>'2010'!P40</f>
        <v>0</v>
      </c>
      <c r="G45" s="29">
        <f>'2010'!V40</f>
        <v>18584.61</v>
      </c>
      <c r="H45" s="30">
        <f>'2010'!W40</f>
        <v>19853.459213489998</v>
      </c>
      <c r="I45" s="29">
        <f>'2010'!Y40</f>
        <v>1495.68</v>
      </c>
      <c r="J45" s="14">
        <f>'2010'!AA40+'2010'!AB40</f>
        <v>2492.8</v>
      </c>
      <c r="K45" s="14">
        <f>'2010'!Z40+'2010'!AC40+'2010'!AD40+'2010'!AE40+'2010'!AF40+'2010'!AG40+'2010'!AH40+'2010'!AI40+'2010'!AJ40</f>
        <v>8550.304</v>
      </c>
      <c r="L45" s="31">
        <f>'2010'!AK40+'2010'!AL40+'2010'!AM40+'2010'!AQ40+'2010'!AR40</f>
        <v>0</v>
      </c>
      <c r="M45" s="31">
        <f>'2010'!AP40</f>
        <v>740.25</v>
      </c>
      <c r="N45" s="30">
        <f>'2010'!AS40</f>
        <v>13279.034</v>
      </c>
      <c r="O45" s="74">
        <f>'2010'!AU40</f>
        <v>6574.425213489998</v>
      </c>
      <c r="P45" s="74">
        <f>'2010'!AV40</f>
        <v>-1520.7999999999993</v>
      </c>
      <c r="Q45" s="1"/>
      <c r="R45" s="1"/>
    </row>
    <row r="46" spans="1:18" ht="13.5" thickBot="1">
      <c r="A46" s="32" t="s">
        <v>37</v>
      </c>
      <c r="B46" s="82">
        <f>'2010'!B41</f>
        <v>2492.8</v>
      </c>
      <c r="C46" s="33">
        <f t="shared" si="5"/>
        <v>21562.72</v>
      </c>
      <c r="D46" s="28">
        <f>'2010'!D41</f>
        <v>1328.8330064000008</v>
      </c>
      <c r="E46" s="14">
        <f>'2010'!O41</f>
        <v>20110.379999999997</v>
      </c>
      <c r="F46" s="30">
        <f>'2010'!P41</f>
        <v>0</v>
      </c>
      <c r="G46" s="29">
        <f>'2010'!V41</f>
        <v>22844.28</v>
      </c>
      <c r="H46" s="30">
        <f>'2010'!W41</f>
        <v>24173.1130064</v>
      </c>
      <c r="I46" s="29">
        <f>'2010'!Y41</f>
        <v>1495.68</v>
      </c>
      <c r="J46" s="14">
        <f>'2010'!AA41+'2010'!AB41</f>
        <v>2492.8</v>
      </c>
      <c r="K46" s="14">
        <f>'2010'!Z41+'2010'!AC41+'2010'!AD41+'2010'!AE41+'2010'!AF41+'2010'!AG41+'2010'!AH41+'2010'!AI41+'2010'!AJ41</f>
        <v>8550.304</v>
      </c>
      <c r="L46" s="31">
        <f>'2010'!AK41+'2010'!AL41+'2010'!AM41+'2010'!AQ41+'2010'!AR41</f>
        <v>16314</v>
      </c>
      <c r="M46" s="31">
        <f>'2010'!AP41</f>
        <v>809.55</v>
      </c>
      <c r="N46" s="30">
        <f>'2010'!AS41</f>
        <v>29662.334</v>
      </c>
      <c r="O46" s="74">
        <f>'2010'!AU41</f>
        <v>-5489.2209936</v>
      </c>
      <c r="P46" s="74">
        <f>'2010'!AV41</f>
        <v>2733.9000000000015</v>
      </c>
      <c r="Q46" s="1"/>
      <c r="R46" s="1"/>
    </row>
    <row r="47" spans="1:18" s="20" customFormat="1" ht="13.5" thickBot="1">
      <c r="A47" s="34" t="s">
        <v>5</v>
      </c>
      <c r="B47" s="35"/>
      <c r="C47" s="36">
        <f aca="true" t="shared" si="6" ref="C47:P47">SUM(C35:C46)</f>
        <v>258801.08</v>
      </c>
      <c r="D47" s="67">
        <f t="shared" si="6"/>
        <v>16180.016152280003</v>
      </c>
      <c r="E47" s="36">
        <f t="shared" si="6"/>
        <v>219932.20000000004</v>
      </c>
      <c r="F47" s="68">
        <f t="shared" si="6"/>
        <v>21134.950000000004</v>
      </c>
      <c r="G47" s="67">
        <f t="shared" si="6"/>
        <v>195184.4</v>
      </c>
      <c r="H47" s="68">
        <f t="shared" si="6"/>
        <v>232499.36615227998</v>
      </c>
      <c r="I47" s="67">
        <f t="shared" si="6"/>
        <v>17951.52</v>
      </c>
      <c r="J47" s="36">
        <f t="shared" si="6"/>
        <v>29919.199999999997</v>
      </c>
      <c r="K47" s="36">
        <f t="shared" si="6"/>
        <v>102622.85600000001</v>
      </c>
      <c r="L47" s="36">
        <f t="shared" si="6"/>
        <v>56909.123999999996</v>
      </c>
      <c r="M47" s="36">
        <f t="shared" si="6"/>
        <v>6930</v>
      </c>
      <c r="N47" s="68">
        <f t="shared" si="6"/>
        <v>214332.69999999998</v>
      </c>
      <c r="O47" s="75">
        <f t="shared" si="6"/>
        <v>18166.666152280006</v>
      </c>
      <c r="P47" s="75">
        <f t="shared" si="6"/>
        <v>-24747.799999999996</v>
      </c>
      <c r="Q47" s="71"/>
      <c r="R47" s="71"/>
    </row>
    <row r="48" spans="1:18" ht="13.5" thickBot="1">
      <c r="A48" s="337" t="s">
        <v>63</v>
      </c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79"/>
      <c r="Q48" s="1"/>
      <c r="R48" s="1"/>
    </row>
    <row r="49" spans="1:18" s="20" customFormat="1" ht="13.5" thickBot="1">
      <c r="A49" s="80" t="s">
        <v>48</v>
      </c>
      <c r="B49" s="38"/>
      <c r="C49" s="39">
        <f>C33+C47</f>
        <v>582332.705</v>
      </c>
      <c r="D49" s="37">
        <f aca="true" t="shared" si="7" ref="D49:N49">D33+D47</f>
        <v>54480.811767530024</v>
      </c>
      <c r="E49" s="38">
        <f t="shared" si="7"/>
        <v>460503.79000000004</v>
      </c>
      <c r="F49" s="39">
        <f t="shared" si="7"/>
        <v>71944.81</v>
      </c>
      <c r="G49" s="37">
        <f t="shared" si="7"/>
        <v>382466.25</v>
      </c>
      <c r="H49" s="39">
        <f t="shared" si="7"/>
        <v>508891.87176753</v>
      </c>
      <c r="I49" s="37">
        <f t="shared" si="7"/>
        <v>39794.58</v>
      </c>
      <c r="J49" s="38">
        <f t="shared" si="7"/>
        <v>66149.26684994</v>
      </c>
      <c r="K49" s="38">
        <f t="shared" si="7"/>
        <v>222576.94321299705</v>
      </c>
      <c r="L49" s="38">
        <f t="shared" si="7"/>
        <v>97495.401</v>
      </c>
      <c r="M49" s="38">
        <f t="shared" si="7"/>
        <v>13471.92</v>
      </c>
      <c r="N49" s="78">
        <f t="shared" si="7"/>
        <v>439488.11106293695</v>
      </c>
      <c r="O49" s="77">
        <f>O33+O47</f>
        <v>69403.76070459303</v>
      </c>
      <c r="P49" s="77">
        <f>P33+P47</f>
        <v>-78037.53999999998</v>
      </c>
      <c r="Q49" s="72"/>
      <c r="R49" s="71"/>
    </row>
  </sheetData>
  <sheetProtection/>
  <mergeCells count="25">
    <mergeCell ref="A48:O48"/>
    <mergeCell ref="N10:N11"/>
    <mergeCell ref="A32:O32"/>
    <mergeCell ref="O8:O11"/>
    <mergeCell ref="A8:A11"/>
    <mergeCell ref="B8:B11"/>
    <mergeCell ref="C8:C11"/>
    <mergeCell ref="D8:D11"/>
    <mergeCell ref="I8:N9"/>
    <mergeCell ref="P8:P11"/>
    <mergeCell ref="E10:F10"/>
    <mergeCell ref="H10:H11"/>
    <mergeCell ref="I10:I11"/>
    <mergeCell ref="J10:J11"/>
    <mergeCell ref="K10:K11"/>
    <mergeCell ref="L10:L11"/>
    <mergeCell ref="M10:M11"/>
    <mergeCell ref="E8:F9"/>
    <mergeCell ref="G8:H9"/>
    <mergeCell ref="B1:H1"/>
    <mergeCell ref="B2:H2"/>
    <mergeCell ref="A7:D7"/>
    <mergeCell ref="E7:F7"/>
    <mergeCell ref="A5:O5"/>
    <mergeCell ref="A6:G6"/>
  </mergeCells>
  <printOptions/>
  <pageMargins left="0.25" right="0.17" top="0.17" bottom="0.16" header="0.3" footer="0.16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3">
      <selection activeCell="L26" sqref="L26"/>
    </sheetView>
  </sheetViews>
  <sheetFormatPr defaultColWidth="9.00390625" defaultRowHeight="12.75"/>
  <cols>
    <col min="1" max="2" width="10.003906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10.00390625" style="2" customWidth="1"/>
    <col min="11" max="11" width="10.875" style="2" customWidth="1"/>
    <col min="12" max="12" width="10.125" style="2" customWidth="1"/>
    <col min="13" max="13" width="9.375" style="2" hidden="1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317" t="s">
        <v>49</v>
      </c>
      <c r="C1" s="317"/>
      <c r="D1" s="317"/>
      <c r="E1" s="317"/>
      <c r="F1" s="317"/>
      <c r="G1" s="317"/>
      <c r="H1" s="317"/>
    </row>
    <row r="2" spans="2:8" ht="21" customHeight="1">
      <c r="B2" s="317" t="s">
        <v>50</v>
      </c>
      <c r="C2" s="317"/>
      <c r="D2" s="317"/>
      <c r="E2" s="317"/>
      <c r="F2" s="317"/>
      <c r="G2" s="317"/>
      <c r="H2" s="317"/>
    </row>
    <row r="5" spans="1:15" ht="12.75">
      <c r="A5" s="319" t="s">
        <v>81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</row>
    <row r="6" spans="1:15" ht="12.75">
      <c r="A6" s="320" t="s">
        <v>102</v>
      </c>
      <c r="B6" s="320"/>
      <c r="C6" s="320"/>
      <c r="D6" s="320"/>
      <c r="E6" s="320"/>
      <c r="F6" s="320"/>
      <c r="G6" s="320"/>
      <c r="H6" s="94"/>
      <c r="I6" s="94"/>
      <c r="J6" s="94"/>
      <c r="K6" s="94"/>
      <c r="L6" s="94"/>
      <c r="M6" s="94"/>
      <c r="N6" s="94"/>
      <c r="O6" s="94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318" t="s">
        <v>51</v>
      </c>
      <c r="B8" s="318"/>
      <c r="C8" s="318"/>
      <c r="D8" s="318"/>
      <c r="E8" s="318">
        <v>8.55</v>
      </c>
      <c r="F8" s="318"/>
    </row>
    <row r="9" spans="1:16" ht="12.75" customHeight="1">
      <c r="A9" s="254" t="s">
        <v>52</v>
      </c>
      <c r="B9" s="339" t="s">
        <v>1</v>
      </c>
      <c r="C9" s="342" t="s">
        <v>53</v>
      </c>
      <c r="D9" s="345" t="s">
        <v>3</v>
      </c>
      <c r="E9" s="331" t="s">
        <v>54</v>
      </c>
      <c r="F9" s="257"/>
      <c r="G9" s="333" t="s">
        <v>55</v>
      </c>
      <c r="H9" s="334"/>
      <c r="I9" s="348" t="s">
        <v>8</v>
      </c>
      <c r="J9" s="355"/>
      <c r="K9" s="311"/>
      <c r="L9" s="311"/>
      <c r="M9" s="311"/>
      <c r="N9" s="349"/>
      <c r="O9" s="321" t="s">
        <v>56</v>
      </c>
      <c r="P9" s="321" t="s">
        <v>10</v>
      </c>
    </row>
    <row r="10" spans="1:16" ht="12.75">
      <c r="A10" s="255"/>
      <c r="B10" s="340"/>
      <c r="C10" s="343"/>
      <c r="D10" s="346"/>
      <c r="E10" s="332"/>
      <c r="F10" s="259"/>
      <c r="G10" s="335"/>
      <c r="H10" s="336"/>
      <c r="I10" s="350"/>
      <c r="J10" s="356"/>
      <c r="K10" s="290"/>
      <c r="L10" s="290"/>
      <c r="M10" s="290"/>
      <c r="N10" s="351"/>
      <c r="O10" s="322"/>
      <c r="P10" s="322"/>
    </row>
    <row r="11" spans="1:16" ht="26.25" customHeight="1">
      <c r="A11" s="255"/>
      <c r="B11" s="340"/>
      <c r="C11" s="343"/>
      <c r="D11" s="346"/>
      <c r="E11" s="324" t="s">
        <v>57</v>
      </c>
      <c r="F11" s="258"/>
      <c r="G11" s="84" t="s">
        <v>58</v>
      </c>
      <c r="H11" s="325" t="s">
        <v>7</v>
      </c>
      <c r="I11" s="327" t="s">
        <v>59</v>
      </c>
      <c r="J11" s="327" t="s">
        <v>97</v>
      </c>
      <c r="K11" s="329" t="s">
        <v>60</v>
      </c>
      <c r="L11" s="329" t="s">
        <v>31</v>
      </c>
      <c r="M11" s="329" t="s">
        <v>61</v>
      </c>
      <c r="N11" s="325" t="s">
        <v>33</v>
      </c>
      <c r="O11" s="322"/>
      <c r="P11" s="322"/>
    </row>
    <row r="12" spans="1:16" ht="66.75" customHeight="1" thickBot="1">
      <c r="A12" s="256"/>
      <c r="B12" s="341"/>
      <c r="C12" s="344"/>
      <c r="D12" s="347"/>
      <c r="E12" s="63" t="s">
        <v>62</v>
      </c>
      <c r="F12" s="66" t="s">
        <v>17</v>
      </c>
      <c r="G12" s="81" t="s">
        <v>83</v>
      </c>
      <c r="H12" s="326"/>
      <c r="I12" s="328"/>
      <c r="J12" s="328"/>
      <c r="K12" s="330"/>
      <c r="L12" s="330"/>
      <c r="M12" s="330"/>
      <c r="N12" s="326"/>
      <c r="O12" s="323"/>
      <c r="P12" s="323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4">
        <v>10</v>
      </c>
      <c r="K13" s="64">
        <v>11</v>
      </c>
      <c r="L13" s="65">
        <v>12</v>
      </c>
      <c r="M13" s="64">
        <v>13</v>
      </c>
      <c r="N13" s="65">
        <v>13</v>
      </c>
      <c r="O13" s="64">
        <v>14</v>
      </c>
      <c r="P13" s="65">
        <v>15</v>
      </c>
    </row>
    <row r="14" spans="1:18" ht="13.5" thickBot="1">
      <c r="A14" s="337" t="s">
        <v>63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79"/>
      <c r="Q14" s="1"/>
      <c r="R14" s="1"/>
    </row>
    <row r="15" spans="1:18" s="20" customFormat="1" ht="13.5" thickBot="1">
      <c r="A15" s="80" t="s">
        <v>48</v>
      </c>
      <c r="B15" s="38"/>
      <c r="C15" s="39">
        <f>'2011'!C8</f>
        <v>582332.705</v>
      </c>
      <c r="D15" s="37">
        <f>'2011'!D8</f>
        <v>54480.811767530024</v>
      </c>
      <c r="E15" s="38">
        <f>'2011'!I8</f>
        <v>460503.79</v>
      </c>
      <c r="F15" s="39">
        <f>'2011'!H8</f>
        <v>71944.81</v>
      </c>
      <c r="G15" s="37">
        <f>'2011'!M8</f>
        <v>382466.25</v>
      </c>
      <c r="H15" s="39">
        <f>'2011'!N8</f>
        <v>508891.87176753004</v>
      </c>
      <c r="I15" s="37">
        <f>'2011'!P8</f>
        <v>39794.58</v>
      </c>
      <c r="J15" s="171">
        <f>'2011'!Q8</f>
        <v>13335.017142</v>
      </c>
      <c r="K15" s="38">
        <f>'2011'!R8+13471.92</f>
        <v>288863.11292093695</v>
      </c>
      <c r="L15" s="38">
        <f>'2011'!S8+'2011'!T8+'2011'!U8</f>
        <v>97495.40100000001</v>
      </c>
      <c r="M15" s="38">
        <v>0</v>
      </c>
      <c r="N15" s="78">
        <f>'2011'!Y8</f>
        <v>439488.11106293695</v>
      </c>
      <c r="O15" s="77">
        <f>'2011'!AB8</f>
        <v>69403.76070459303</v>
      </c>
      <c r="P15" s="77">
        <f>'2011'!AC8</f>
        <v>-78037.53999999998</v>
      </c>
      <c r="Q15" s="72"/>
      <c r="R15" s="71"/>
    </row>
    <row r="16" spans="1:18" ht="12.75">
      <c r="A16" s="7" t="s">
        <v>90</v>
      </c>
      <c r="B16" s="40"/>
      <c r="C16" s="41"/>
      <c r="D16" s="42"/>
      <c r="E16" s="43"/>
      <c r="F16" s="45"/>
      <c r="G16" s="44"/>
      <c r="H16" s="45"/>
      <c r="I16" s="44"/>
      <c r="J16" s="172"/>
      <c r="K16" s="14"/>
      <c r="L16" s="31"/>
      <c r="M16" s="69"/>
      <c r="N16" s="30"/>
      <c r="O16" s="74"/>
      <c r="P16" s="74"/>
      <c r="Q16" s="1"/>
      <c r="R16" s="1"/>
    </row>
    <row r="17" spans="1:18" ht="12.75">
      <c r="A17" s="11" t="s">
        <v>39</v>
      </c>
      <c r="B17" s="82">
        <f>'2011'!B10</f>
        <v>2492.8</v>
      </c>
      <c r="C17" s="27">
        <f>'2011'!C10</f>
        <v>21313.440000000002</v>
      </c>
      <c r="D17" s="28">
        <f>'2011'!D10</f>
        <v>325.29640000000006</v>
      </c>
      <c r="E17" s="14">
        <f>'2011'!J10</f>
        <v>0</v>
      </c>
      <c r="F17" s="30">
        <f>'2011'!I10</f>
        <v>22049.91</v>
      </c>
      <c r="G17" s="29">
        <f>'2011'!N10</f>
        <v>8996.3564</v>
      </c>
      <c r="H17" s="30">
        <f>'2011'!O10</f>
        <v>0</v>
      </c>
      <c r="I17" s="29">
        <f>'2011'!P10</f>
        <v>1670.1760000000002</v>
      </c>
      <c r="J17" s="173">
        <f>'2011'!Q10</f>
        <v>498.56000000000006</v>
      </c>
      <c r="K17" s="14">
        <f>'2011'!R10+'2011'!U10</f>
        <v>10544.544000000002</v>
      </c>
      <c r="L17" s="31">
        <f>'2011'!S10+'2011'!T10</f>
        <v>5478.970000000001</v>
      </c>
      <c r="M17" s="31">
        <f>'2011'!X10</f>
        <v>0</v>
      </c>
      <c r="N17" s="30">
        <f>'2011'!Y10</f>
        <v>18192.250000000004</v>
      </c>
      <c r="O17" s="74">
        <f>'2011'!AB10</f>
        <v>-9195.893600000003</v>
      </c>
      <c r="P17" s="74">
        <f>'2011'!AC10</f>
        <v>-13378.849999999999</v>
      </c>
      <c r="Q17" s="1"/>
      <c r="R17" s="1"/>
    </row>
    <row r="18" spans="1:18" ht="12.75">
      <c r="A18" s="11" t="s">
        <v>40</v>
      </c>
      <c r="B18" s="82">
        <f>'2011'!B11</f>
        <v>2492.8</v>
      </c>
      <c r="C18" s="27">
        <f>'2011'!C11</f>
        <v>21313.440000000002</v>
      </c>
      <c r="D18" s="28">
        <f>'2011'!D11</f>
        <v>325.29640000000006</v>
      </c>
      <c r="E18" s="14">
        <f>'2011'!J11</f>
        <v>8355.83</v>
      </c>
      <c r="F18" s="30">
        <f>'2011'!I11</f>
        <v>22049.64</v>
      </c>
      <c r="G18" s="29">
        <f>'2011'!N11</f>
        <v>16006.8364</v>
      </c>
      <c r="H18" s="30">
        <f>'2011'!O11</f>
        <v>0</v>
      </c>
      <c r="I18" s="29">
        <f>'2011'!P11</f>
        <v>1670.1760000000002</v>
      </c>
      <c r="J18" s="173">
        <f>'2011'!Q11</f>
        <v>498.56000000000006</v>
      </c>
      <c r="K18" s="14">
        <f>'2011'!R11+'2011'!U11</f>
        <v>10544.544000000002</v>
      </c>
      <c r="L18" s="31">
        <f>'2011'!S11+'2011'!T11</f>
        <v>3751</v>
      </c>
      <c r="M18" s="31">
        <f>'2011'!X11</f>
        <v>0</v>
      </c>
      <c r="N18" s="30">
        <f>'2011'!Y11</f>
        <v>16464.280000000002</v>
      </c>
      <c r="O18" s="74">
        <f>'2011'!AB11</f>
        <v>-457.44360000000233</v>
      </c>
      <c r="P18" s="74">
        <f>'2011'!AC11</f>
        <v>-6368.0999999999985</v>
      </c>
      <c r="Q18" s="1"/>
      <c r="R18" s="1"/>
    </row>
    <row r="19" spans="1:18" ht="12.75">
      <c r="A19" s="11" t="s">
        <v>41</v>
      </c>
      <c r="B19" s="82">
        <f>'2011'!B12</f>
        <v>2492.8</v>
      </c>
      <c r="C19" s="27">
        <f>'2011'!C12</f>
        <v>21313.440000000002</v>
      </c>
      <c r="D19" s="28">
        <f>'2011'!D12</f>
        <v>325.29640000000006</v>
      </c>
      <c r="E19" s="14">
        <f>'2011'!J12</f>
        <v>9770.06</v>
      </c>
      <c r="F19" s="30">
        <f>'2011'!I12</f>
        <v>22049.64</v>
      </c>
      <c r="G19" s="29">
        <f>'2011'!N12</f>
        <v>17867.9964</v>
      </c>
      <c r="H19" s="30">
        <f>'2011'!O12</f>
        <v>0</v>
      </c>
      <c r="I19" s="29">
        <f>'2011'!P12</f>
        <v>1670.1760000000002</v>
      </c>
      <c r="J19" s="173">
        <f>'2011'!Q12</f>
        <v>498.56000000000006</v>
      </c>
      <c r="K19" s="14">
        <f>'2011'!R12+'2011'!U12</f>
        <v>10544.544000000002</v>
      </c>
      <c r="L19" s="31">
        <f>'2011'!S12+'2011'!T12</f>
        <v>0</v>
      </c>
      <c r="M19" s="31">
        <f>'2011'!X12</f>
        <v>0</v>
      </c>
      <c r="N19" s="30">
        <f>'2011'!Y12</f>
        <v>12713.280000000002</v>
      </c>
      <c r="O19" s="74">
        <f>'2011'!AB12</f>
        <v>5154.7163999999975</v>
      </c>
      <c r="P19" s="74">
        <f>'2011'!AC12</f>
        <v>-4506.939999999999</v>
      </c>
      <c r="Q19" s="1"/>
      <c r="R19" s="1"/>
    </row>
    <row r="20" spans="1:18" ht="12.75">
      <c r="A20" s="11" t="s">
        <v>42</v>
      </c>
      <c r="B20" s="82">
        <f>'2011'!B13</f>
        <v>2492.8</v>
      </c>
      <c r="C20" s="27">
        <f>'2011'!C13</f>
        <v>21313.440000000002</v>
      </c>
      <c r="D20" s="28">
        <f>'2011'!D13</f>
        <v>325.29640000000006</v>
      </c>
      <c r="E20" s="14">
        <f>'2011'!J13</f>
        <v>8636.87</v>
      </c>
      <c r="F20" s="30">
        <f>'2011'!I13</f>
        <v>22049.64</v>
      </c>
      <c r="G20" s="29">
        <f>'2011'!N13</f>
        <v>16650.0664</v>
      </c>
      <c r="H20" s="30">
        <f>'2011'!O13</f>
        <v>0</v>
      </c>
      <c r="I20" s="29">
        <f>'2011'!P13</f>
        <v>1670.1760000000002</v>
      </c>
      <c r="J20" s="173">
        <f>'2011'!Q13</f>
        <v>498.56000000000006</v>
      </c>
      <c r="K20" s="14">
        <f>'2011'!R13+'2011'!U13</f>
        <v>10544.544000000002</v>
      </c>
      <c r="L20" s="31">
        <f>'2011'!S13+'2011'!T13</f>
        <v>0</v>
      </c>
      <c r="M20" s="31">
        <f>'2011'!X13</f>
        <v>0</v>
      </c>
      <c r="N20" s="30">
        <f>'2011'!Y13</f>
        <v>12713.280000000002</v>
      </c>
      <c r="O20" s="74">
        <f>'2011'!AB13</f>
        <v>3936.7863999999972</v>
      </c>
      <c r="P20" s="74">
        <f>'2011'!AC13</f>
        <v>-5724.869999999999</v>
      </c>
      <c r="Q20" s="1"/>
      <c r="R20" s="1"/>
    </row>
    <row r="21" spans="1:18" ht="12.75">
      <c r="A21" s="11" t="s">
        <v>43</v>
      </c>
      <c r="B21" s="82">
        <f>'2011'!B14</f>
        <v>2492.8</v>
      </c>
      <c r="C21" s="27">
        <f>'2011'!C14</f>
        <v>21313.440000000002</v>
      </c>
      <c r="D21" s="28">
        <f>'2011'!D14</f>
        <v>325.29640000000006</v>
      </c>
      <c r="E21" s="14">
        <f>'2011'!J14</f>
        <v>14108.79</v>
      </c>
      <c r="F21" s="30">
        <f>'2011'!I14</f>
        <v>22015.2</v>
      </c>
      <c r="G21" s="29">
        <f>'2011'!N14</f>
        <v>25348.1164</v>
      </c>
      <c r="H21" s="30">
        <f>'2011'!O14</f>
        <v>0</v>
      </c>
      <c r="I21" s="29">
        <f>'2011'!P14</f>
        <v>1670.1760000000002</v>
      </c>
      <c r="J21" s="173">
        <f>'2011'!Q14</f>
        <v>498.56000000000006</v>
      </c>
      <c r="K21" s="14">
        <f>'2011'!R14+'2011'!U14</f>
        <v>10544.544000000002</v>
      </c>
      <c r="L21" s="31">
        <f>'2011'!S14+'2011'!T14</f>
        <v>0</v>
      </c>
      <c r="M21" s="31">
        <f>'2011'!X14</f>
        <v>0</v>
      </c>
      <c r="N21" s="30">
        <f>'2011'!Y14</f>
        <v>12713.280000000002</v>
      </c>
      <c r="O21" s="74">
        <f>'2011'!AB14</f>
        <v>12634.836399999997</v>
      </c>
      <c r="P21" s="74">
        <f>'2011'!AC14</f>
        <v>3007.619999999999</v>
      </c>
      <c r="Q21" s="1"/>
      <c r="R21" s="1"/>
    </row>
    <row r="22" spans="1:18" ht="12.75">
      <c r="A22" s="11" t="s">
        <v>44</v>
      </c>
      <c r="B22" s="82">
        <f>'2011'!B15</f>
        <v>2492.8</v>
      </c>
      <c r="C22" s="27">
        <f>'2011'!C15</f>
        <v>21313.440000000002</v>
      </c>
      <c r="D22" s="28">
        <f>'2011'!D15</f>
        <v>325.29639999999995</v>
      </c>
      <c r="E22" s="14">
        <f>'2011'!J15</f>
        <v>8786.99</v>
      </c>
      <c r="F22" s="30">
        <f>'2011'!I15</f>
        <v>22013.7</v>
      </c>
      <c r="G22" s="29">
        <f>'2011'!N15</f>
        <v>15722.676399999998</v>
      </c>
      <c r="H22" s="30">
        <f>'2011'!O15</f>
        <v>0</v>
      </c>
      <c r="I22" s="29">
        <f>'2011'!P15</f>
        <v>1670.1760000000002</v>
      </c>
      <c r="J22" s="173">
        <f>'2011'!Q15</f>
        <v>498.56000000000006</v>
      </c>
      <c r="K22" s="14">
        <f>'2011'!R15+'2011'!U15</f>
        <v>10544.544000000002</v>
      </c>
      <c r="L22" s="31">
        <f>'2011'!S15+'2011'!T15</f>
        <v>0</v>
      </c>
      <c r="M22" s="31">
        <f>'2011'!X15</f>
        <v>0</v>
      </c>
      <c r="N22" s="30">
        <f>'2011'!Y15</f>
        <v>12713.280000000002</v>
      </c>
      <c r="O22" s="74">
        <f>'2011'!AB15</f>
        <v>3009.396399999996</v>
      </c>
      <c r="P22" s="74">
        <f>'2011'!AC15</f>
        <v>-6616.3200000000015</v>
      </c>
      <c r="Q22" s="1"/>
      <c r="R22" s="1"/>
    </row>
    <row r="23" spans="1:18" ht="12.75">
      <c r="A23" s="11" t="s">
        <v>45</v>
      </c>
      <c r="B23" s="82">
        <f>'2011'!B16</f>
        <v>2492.8</v>
      </c>
      <c r="C23" s="27">
        <f>'2011'!C16</f>
        <v>21313.440000000002</v>
      </c>
      <c r="D23" s="28">
        <f>'2011'!D16</f>
        <v>325.29639999999995</v>
      </c>
      <c r="E23" s="14">
        <f>'2011'!J16</f>
        <v>12664.36</v>
      </c>
      <c r="F23" s="30">
        <f>'2011'!I16</f>
        <v>18307.94</v>
      </c>
      <c r="G23" s="29">
        <f>'2011'!N16</f>
        <v>24030.666400000002</v>
      </c>
      <c r="H23" s="30">
        <f>'2011'!O16</f>
        <v>0</v>
      </c>
      <c r="I23" s="29">
        <f>'2011'!P16</f>
        <v>1670.1760000000002</v>
      </c>
      <c r="J23" s="173">
        <f>'2011'!Q16</f>
        <v>498.56000000000006</v>
      </c>
      <c r="K23" s="14">
        <f>'2011'!R16+'2011'!U16</f>
        <v>10544.544000000002</v>
      </c>
      <c r="L23" s="31">
        <f>'2011'!S16+'2011'!T16</f>
        <v>0</v>
      </c>
      <c r="M23" s="31">
        <f>'2011'!X16</f>
        <v>0</v>
      </c>
      <c r="N23" s="30">
        <f>'2011'!Y16</f>
        <v>12713.280000000002</v>
      </c>
      <c r="O23" s="74">
        <f>'2011'!AB16</f>
        <v>11317.3864</v>
      </c>
      <c r="P23" s="74">
        <f>'2011'!AC16</f>
        <v>5397.430000000004</v>
      </c>
      <c r="Q23" s="1"/>
      <c r="R23" s="1"/>
    </row>
    <row r="24" spans="1:18" ht="12.75">
      <c r="A24" s="11" t="s">
        <v>46</v>
      </c>
      <c r="B24" s="82">
        <f>'2011'!B17</f>
        <v>2492.4</v>
      </c>
      <c r="C24" s="27">
        <f>'2011'!C17</f>
        <v>21310.020000000004</v>
      </c>
      <c r="D24" s="28">
        <f>'2011'!D17</f>
        <v>325.29639999999995</v>
      </c>
      <c r="E24" s="14">
        <f>'2011'!J17</f>
        <v>10007.79</v>
      </c>
      <c r="F24" s="30">
        <f>'2011'!I17</f>
        <v>22072.27</v>
      </c>
      <c r="G24" s="29">
        <f>'2011'!N17</f>
        <v>17887.7464</v>
      </c>
      <c r="H24" s="30">
        <f>'2011'!O17</f>
        <v>0</v>
      </c>
      <c r="I24" s="29">
        <f>'2011'!P17</f>
        <v>1669.9080000000001</v>
      </c>
      <c r="J24" s="173">
        <f>'2011'!Q17</f>
        <v>498.48</v>
      </c>
      <c r="K24" s="14">
        <f>'2011'!R17+'2011'!U17</f>
        <v>10542.852</v>
      </c>
      <c r="L24" s="31">
        <f>'2011'!S17+'2011'!T17</f>
        <v>0</v>
      </c>
      <c r="M24" s="31">
        <f>'2011'!X17</f>
        <v>0</v>
      </c>
      <c r="N24" s="30">
        <f>'2011'!Y17</f>
        <v>12711.240000000002</v>
      </c>
      <c r="O24" s="74">
        <f>'2011'!AB17</f>
        <v>5176.506399999998</v>
      </c>
      <c r="P24" s="74">
        <f>'2011'!AC17</f>
        <v>-4509.82</v>
      </c>
      <c r="Q24" s="1"/>
      <c r="R24" s="1"/>
    </row>
    <row r="25" spans="1:18" ht="12.75">
      <c r="A25" s="11" t="s">
        <v>47</v>
      </c>
      <c r="B25" s="82">
        <f>'2011'!B18</f>
        <v>2492.4</v>
      </c>
      <c r="C25" s="27">
        <f>'2011'!C18</f>
        <v>21310.020000000004</v>
      </c>
      <c r="D25" s="28">
        <f>'2011'!D18</f>
        <v>325.29639999999995</v>
      </c>
      <c r="E25" s="14">
        <f>'2011'!J18</f>
        <v>12954.75</v>
      </c>
      <c r="F25" s="30">
        <f>'2011'!I18</f>
        <v>21787.31</v>
      </c>
      <c r="G25" s="29">
        <f>'2011'!N18</f>
        <v>22344.4064</v>
      </c>
      <c r="H25" s="30">
        <f>'2011'!O18</f>
        <v>0</v>
      </c>
      <c r="I25" s="29">
        <f>'2011'!P18</f>
        <v>1669.9080000000001</v>
      </c>
      <c r="J25" s="173">
        <f>'2011'!Q18</f>
        <v>498.48</v>
      </c>
      <c r="K25" s="14">
        <f>'2011'!R18+'2011'!U18</f>
        <v>10542.852</v>
      </c>
      <c r="L25" s="31">
        <f>'2011'!S18+'2011'!T18</f>
        <v>0</v>
      </c>
      <c r="M25" s="31">
        <f>'2011'!X18</f>
        <v>0</v>
      </c>
      <c r="N25" s="30">
        <f>'2011'!Y18</f>
        <v>12711.240000000002</v>
      </c>
      <c r="O25" s="74">
        <f>'2011'!AB18</f>
        <v>9633.166399999998</v>
      </c>
      <c r="P25" s="74">
        <f>'2011'!AC18</f>
        <v>231.79999999999927</v>
      </c>
      <c r="Q25" s="1"/>
      <c r="R25" s="1"/>
    </row>
    <row r="26" spans="1:18" ht="12.75">
      <c r="A26" s="11" t="s">
        <v>35</v>
      </c>
      <c r="B26" s="82">
        <f>'2011'!B19</f>
        <v>2492.4</v>
      </c>
      <c r="C26" s="27">
        <f>'2011'!C19</f>
        <v>21310.020000000004</v>
      </c>
      <c r="D26" s="28">
        <f>'2011'!D19</f>
        <v>325.29639999999995</v>
      </c>
      <c r="E26" s="14">
        <f>'2011'!J19</f>
        <v>11525.31</v>
      </c>
      <c r="F26" s="30">
        <f>'2011'!I19</f>
        <v>22054.58</v>
      </c>
      <c r="G26" s="29">
        <f>'2011'!N19</f>
        <v>19755.146399999998</v>
      </c>
      <c r="H26" s="30">
        <f>'2011'!O19</f>
        <v>0</v>
      </c>
      <c r="I26" s="29">
        <f>'2011'!P19</f>
        <v>1669.9080000000001</v>
      </c>
      <c r="J26" s="173">
        <f>'2011'!Q19</f>
        <v>498.48</v>
      </c>
      <c r="K26" s="14">
        <f>'2011'!R19+'2011'!T19</f>
        <v>20542.852</v>
      </c>
      <c r="L26" s="31">
        <f>'2011'!S19+'2011'!T19</f>
        <v>10000</v>
      </c>
      <c r="M26" s="31">
        <f>'2011'!X19</f>
        <v>0</v>
      </c>
      <c r="N26" s="30">
        <f>'2011'!Y19</f>
        <v>22711.24</v>
      </c>
      <c r="O26" s="74">
        <f>'2011'!AB19</f>
        <v>-2956.093600000004</v>
      </c>
      <c r="P26" s="74">
        <f>'2011'!AC19</f>
        <v>-2624.730000000003</v>
      </c>
      <c r="Q26" s="1"/>
      <c r="R26" s="1"/>
    </row>
    <row r="27" spans="1:18" ht="12.75">
      <c r="A27" s="11" t="s">
        <v>36</v>
      </c>
      <c r="B27" s="82">
        <f>'2011'!B20</f>
        <v>2492.4</v>
      </c>
      <c r="C27" s="27">
        <f>'2011'!C20</f>
        <v>21310.020000000004</v>
      </c>
      <c r="D27" s="28">
        <f>'2011'!D20</f>
        <v>325.29639999999995</v>
      </c>
      <c r="E27" s="14">
        <f>'2011'!J20</f>
        <v>11080.5</v>
      </c>
      <c r="F27" s="30">
        <f>'2011'!I20</f>
        <v>22052.75</v>
      </c>
      <c r="G27" s="29">
        <f>'2011'!N20</f>
        <v>18802.7264</v>
      </c>
      <c r="H27" s="30">
        <f>'2011'!O20</f>
        <v>0</v>
      </c>
      <c r="I27" s="29">
        <f>'2011'!P20</f>
        <v>1669.9080000000001</v>
      </c>
      <c r="J27" s="173">
        <f>'2011'!Q20</f>
        <v>498.48</v>
      </c>
      <c r="K27" s="14">
        <f>'2011'!R20+'2011'!U20</f>
        <v>10542.852</v>
      </c>
      <c r="L27" s="31">
        <f>'2011'!S20+'2011'!T20</f>
        <v>0</v>
      </c>
      <c r="M27" s="31">
        <f>'2011'!X20</f>
        <v>0</v>
      </c>
      <c r="N27" s="30">
        <f>'2011'!Y20</f>
        <v>12711.240000000002</v>
      </c>
      <c r="O27" s="74">
        <f>'2011'!AB20</f>
        <v>6091.486399999998</v>
      </c>
      <c r="P27" s="74">
        <f>'2011'!AC20</f>
        <v>-3575.3199999999997</v>
      </c>
      <c r="Q27" s="1"/>
      <c r="R27" s="1"/>
    </row>
    <row r="28" spans="1:18" ht="13.5" thickBot="1">
      <c r="A28" s="11" t="s">
        <v>37</v>
      </c>
      <c r="B28" s="82">
        <f>'2011'!B21</f>
        <v>2492.4</v>
      </c>
      <c r="C28" s="27">
        <f>'2011'!C21</f>
        <v>21310.020000000004</v>
      </c>
      <c r="D28" s="28">
        <f>'2011'!D21</f>
        <v>325.29639999999995</v>
      </c>
      <c r="E28" s="14">
        <f>'2011'!J21</f>
        <v>14293.15</v>
      </c>
      <c r="F28" s="30">
        <f>'2011'!I21</f>
        <v>22037.43</v>
      </c>
      <c r="G28" s="29">
        <f>'2011'!N21</f>
        <v>24394.1064</v>
      </c>
      <c r="H28" s="30">
        <f>'2011'!O21</f>
        <v>0</v>
      </c>
      <c r="I28" s="29">
        <f>'2011'!P21</f>
        <v>1669.9080000000001</v>
      </c>
      <c r="J28" s="173">
        <f>'2011'!Q21</f>
        <v>498.48</v>
      </c>
      <c r="K28" s="14">
        <f>'2011'!R21+'2011'!U21</f>
        <v>10542.852</v>
      </c>
      <c r="L28" s="31">
        <f>'2011'!S21+'2011'!T21</f>
        <v>0</v>
      </c>
      <c r="M28" s="31">
        <f>'2011'!X21</f>
        <v>0</v>
      </c>
      <c r="N28" s="30">
        <f>'2011'!Y21</f>
        <v>12711.240000000002</v>
      </c>
      <c r="O28" s="74">
        <f>'2011'!AB21</f>
        <v>11682.866399999999</v>
      </c>
      <c r="P28" s="74">
        <f>'2011'!AC21</f>
        <v>2031.380000000001</v>
      </c>
      <c r="Q28" s="1"/>
      <c r="R28" s="1"/>
    </row>
    <row r="29" spans="1:18" s="20" customFormat="1" ht="13.5" thickBot="1">
      <c r="A29" s="34" t="s">
        <v>5</v>
      </c>
      <c r="B29" s="35"/>
      <c r="C29" s="75">
        <f aca="true" t="shared" si="0" ref="C29:O29">SUM(C17:C28)</f>
        <v>255744.1800000001</v>
      </c>
      <c r="D29" s="75">
        <f t="shared" si="0"/>
        <v>3903.556800000001</v>
      </c>
      <c r="E29" s="75">
        <f t="shared" si="0"/>
        <v>122184.4</v>
      </c>
      <c r="F29" s="75">
        <f t="shared" si="0"/>
        <v>260540.01</v>
      </c>
      <c r="G29" s="75">
        <f t="shared" si="0"/>
        <v>227806.8468</v>
      </c>
      <c r="H29" s="75">
        <f t="shared" si="0"/>
        <v>0</v>
      </c>
      <c r="I29" s="75">
        <f t="shared" si="0"/>
        <v>20040.771999999997</v>
      </c>
      <c r="J29" s="75">
        <f t="shared" si="0"/>
        <v>5982.32</v>
      </c>
      <c r="K29" s="75">
        <f t="shared" si="0"/>
        <v>136526.06800000003</v>
      </c>
      <c r="L29" s="75">
        <f t="shared" si="0"/>
        <v>19229.97</v>
      </c>
      <c r="M29" s="75">
        <f t="shared" si="0"/>
        <v>0</v>
      </c>
      <c r="N29" s="75">
        <f t="shared" si="0"/>
        <v>171779.13</v>
      </c>
      <c r="O29" s="75">
        <f t="shared" si="0"/>
        <v>56027.716799999966</v>
      </c>
      <c r="P29" s="75">
        <f>SUM(P17:P28)</f>
        <v>-36636.72</v>
      </c>
      <c r="Q29" s="71"/>
      <c r="R29" s="71"/>
    </row>
    <row r="30" spans="1:18" ht="13.5" thickBot="1">
      <c r="A30" s="337" t="s">
        <v>63</v>
      </c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79"/>
      <c r="Q30" s="1"/>
      <c r="R30" s="1"/>
    </row>
    <row r="31" spans="1:18" s="20" customFormat="1" ht="13.5" thickBot="1">
      <c r="A31" s="80" t="s">
        <v>48</v>
      </c>
      <c r="B31" s="38"/>
      <c r="C31" s="39">
        <f aca="true" t="shared" si="1" ref="C31:J31">C15+C29</f>
        <v>838076.885</v>
      </c>
      <c r="D31" s="37">
        <f t="shared" si="1"/>
        <v>58384.36856753002</v>
      </c>
      <c r="E31" s="38">
        <f t="shared" si="1"/>
        <v>582688.19</v>
      </c>
      <c r="F31" s="39">
        <f t="shared" si="1"/>
        <v>332484.82</v>
      </c>
      <c r="G31" s="37">
        <f t="shared" si="1"/>
        <v>610273.0967999999</v>
      </c>
      <c r="H31" s="39">
        <f t="shared" si="1"/>
        <v>508891.87176753004</v>
      </c>
      <c r="I31" s="37">
        <f t="shared" si="1"/>
        <v>59835.352</v>
      </c>
      <c r="J31" s="37">
        <f t="shared" si="1"/>
        <v>19317.337142</v>
      </c>
      <c r="K31" s="38">
        <f aca="true" t="shared" si="2" ref="K31:P31">K15+K29</f>
        <v>425389.180920937</v>
      </c>
      <c r="L31" s="38">
        <f t="shared" si="2"/>
        <v>116725.37100000001</v>
      </c>
      <c r="M31" s="38">
        <f t="shared" si="2"/>
        <v>0</v>
      </c>
      <c r="N31" s="78">
        <f t="shared" si="2"/>
        <v>611267.241062937</v>
      </c>
      <c r="O31" s="77">
        <f t="shared" si="2"/>
        <v>125431.477504593</v>
      </c>
      <c r="P31" s="77">
        <f t="shared" si="2"/>
        <v>-114674.25999999998</v>
      </c>
      <c r="Q31" s="72"/>
      <c r="R31" s="71"/>
    </row>
    <row r="33" spans="1:18" ht="12.75">
      <c r="A33" s="20" t="s">
        <v>80</v>
      </c>
      <c r="D33" s="83" t="s">
        <v>100</v>
      </c>
      <c r="Q33" s="1"/>
      <c r="R33" s="1"/>
    </row>
    <row r="34" spans="1:18" ht="12.75">
      <c r="A34" s="21" t="s">
        <v>64</v>
      </c>
      <c r="B34" s="21" t="s">
        <v>65</v>
      </c>
      <c r="C34" s="354" t="s">
        <v>66</v>
      </c>
      <c r="D34" s="354"/>
      <c r="Q34" s="1"/>
      <c r="R34" s="1"/>
    </row>
    <row r="35" spans="1:18" ht="12.75">
      <c r="A35" s="109">
        <v>205385.41</v>
      </c>
      <c r="B35" s="109">
        <v>113267.86</v>
      </c>
      <c r="C35" s="352">
        <f>A35-B35</f>
        <v>92117.55</v>
      </c>
      <c r="D35" s="353"/>
      <c r="Q35" s="1"/>
      <c r="R35" s="1"/>
    </row>
    <row r="36" spans="1:18" ht="12.75">
      <c r="A36" s="46"/>
      <c r="Q36" s="1"/>
      <c r="R36" s="1"/>
    </row>
    <row r="37" spans="1:18" ht="12.75">
      <c r="A37" s="2" t="s">
        <v>69</v>
      </c>
      <c r="G37" s="2" t="s">
        <v>70</v>
      </c>
      <c r="Q37" s="1"/>
      <c r="R37" s="1"/>
    </row>
    <row r="38" ht="12.75">
      <c r="A38" s="1"/>
    </row>
    <row r="39" ht="12.75">
      <c r="A39" s="83" t="s">
        <v>101</v>
      </c>
    </row>
    <row r="40" ht="12.75">
      <c r="A40" s="2" t="s">
        <v>71</v>
      </c>
    </row>
  </sheetData>
  <sheetProtection/>
  <mergeCells count="27">
    <mergeCell ref="I9:N10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30:O30"/>
    <mergeCell ref="C35:D35"/>
    <mergeCell ref="N11:N12"/>
    <mergeCell ref="A14:O14"/>
    <mergeCell ref="C34:D34"/>
    <mergeCell ref="O9:O12"/>
    <mergeCell ref="A9:A12"/>
    <mergeCell ref="B9:B12"/>
    <mergeCell ref="C9:C12"/>
    <mergeCell ref="D9:D12"/>
  </mergeCells>
  <printOptions/>
  <pageMargins left="0.2362204724409449" right="0.15748031496062992" top="0.4330708661417323" bottom="0.4724409448818898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2012-05-17T02:14:41Z</cp:lastPrinted>
  <dcterms:created xsi:type="dcterms:W3CDTF">2010-04-02T05:03:24Z</dcterms:created>
  <dcterms:modified xsi:type="dcterms:W3CDTF">2012-05-17T02:18:51Z</dcterms:modified>
  <cp:category/>
  <cp:version/>
  <cp:contentType/>
  <cp:contentStatus/>
</cp:coreProperties>
</file>