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3"/>
  </bookViews>
  <sheets>
    <sheet name="Лист1" sheetId="1" r:id="rId1"/>
    <sheet name="Лист2" sheetId="2" r:id="rId2"/>
    <sheet name="2011" sheetId="3" r:id="rId3"/>
    <sheet name="2011 печать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<sst xmlns="http://schemas.openxmlformats.org/spreadsheetml/2006/main" count="218" uniqueCount="106">
  <si>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</si>
  <si>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</si>
  <si>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</si>
  <si>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</si>
  <si>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</si>
  <si>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</si>
  <si>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</si>
  <si>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</si>
  <si>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</si>
  <si>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</si>
  <si>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</si>
  <si>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</si>
  <si>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</si>
  <si>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</si>
  <si>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</si>
  <si>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</si>
  <si>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</si>
  <si>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</si>
  <si>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</si>
  <si>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</si>
  <si>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</si>
  <si>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</si>
  <si>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</si>
  <si>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</si>
  <si>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</si>
  <si>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</si>
  <si>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</si>
  <si>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</si>
  <si>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</si>
  <si>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</si>
  <si>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</si>
  <si>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</si>
  <si>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</si>
  <si>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</si>
  <si>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</si>
  <si>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</si>
  <si>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</si>
  <si>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</si>
  <si>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</si>
  <si>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</si>
  <si>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</si>
  <si>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</si>
  <si>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</si>
  <si>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</si>
  <si>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</si>
  <si>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</si>
  <si>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</si>
  <si>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</si>
  <si>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</si>
  <si>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</si>
  <si>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</si>
  <si>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</si>
  <si>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</si>
  <si>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</si>
  <si>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</si>
  <si>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</si>
  <si>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Директор ООО "Таштагольская управляющая компания"</t>
  </si>
  <si>
    <t>_______________________________/ С.С. Малыгин</t>
  </si>
  <si>
    <t xml:space="preserve">Собрано квартплаты </t>
  </si>
  <si>
    <t>содержанию и тек.рем.</t>
  </si>
  <si>
    <t>Лицевой счет по адресу г. Таштагол, ул. 28 Панфиловцев, д. 7</t>
  </si>
  <si>
    <t>Выписка по лицевому счету по адресу г. Таштагол, ул. 28 Панфиловцев, д. 7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</si>
  <si>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</si>
  <si>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</si>
  <si>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</si>
  <si>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</si>
  <si>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</si>
  <si>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</si>
  <si>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</si>
  <si>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</si>
  <si>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</si>
  <si>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</si>
  <si>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</si>
  <si>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</si>
  <si>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</si>
  <si>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</si>
  <si>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за период с октября 2008 г. по декабрь 2010 г.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</si>
  <si>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</si>
  <si>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</si>
  <si>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</si>
  <si>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</si>
  <si>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</si>
  <si>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</si>
  <si>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</si>
  <si>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</si>
  <si>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</si>
  <si>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</si>
  <si>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"ФОРУМ"</t>
  </si>
  <si>
    <t>Тек. ремонт ООО "ТУК"</t>
  </si>
  <si>
    <t>Доп. работы по содержанию и текущ. Ремонту</t>
  </si>
  <si>
    <t>2011 год</t>
  </si>
  <si>
    <t>январь</t>
  </si>
  <si>
    <t>февраль</t>
  </si>
  <si>
    <t>март</t>
  </si>
  <si>
    <t>ВСЕГО</t>
  </si>
  <si>
    <t>на 01.01.2012 г.</t>
  </si>
  <si>
    <t>Тариф по содержанию и тек.ремонту 100 % (8,55руб.*площадь)</t>
  </si>
  <si>
    <t>Собрано квартплаты от населения</t>
  </si>
  <si>
    <t>Услуга начисления</t>
  </si>
  <si>
    <t>Собрано за содержание и тек.рем.</t>
  </si>
  <si>
    <t>*по состоянию на 01.01.2012 г.</t>
  </si>
  <si>
    <t>Исп. В.В. Колмогорова</t>
  </si>
  <si>
    <t>тел. 3-48-80</t>
  </si>
  <si>
    <t>Лицевой счет по адресу г. Таштагол, ул. 28 Панфиловцев, д.9</t>
  </si>
  <si>
    <t>Выписка по лицевому счету по адресу г. Таштагол ул. 28 панфиловцев, д.9</t>
  </si>
  <si>
    <t>Социальный найм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</si>
</sst>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_ ;\-#,##0.00\ "/>
    <numFmt numFmtId="167" formatCode="_(* #,##0.00_);_(* \(#,##0.00\);_(* &quot;-&quot;??_);_(@_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wrapText="1"/>
    </xf>
    <xf numFmtId="4" fontId="1" fillId="33" borderId="13" xfId="0" applyNumberFormat="1" applyFont="1" applyFill="1" applyBorder="1" applyAlignment="1">
      <alignment wrapText="1"/>
    </xf>
    <xf numFmtId="4" fontId="1" fillId="34" borderId="13" xfId="0" applyNumberFormat="1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 vertical="center" wrapText="1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2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33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4" fontId="1" fillId="0" borderId="23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Fill="1" applyBorder="1" applyAlignment="1">
      <alignment horizontal="right" vertical="center" wrapText="1"/>
    </xf>
    <xf numFmtId="4" fontId="0" fillId="0" borderId="37" xfId="0" applyNumberFormat="1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right" wrapText="1"/>
    </xf>
    <xf numFmtId="4" fontId="0" fillId="33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2" fillId="0" borderId="12" xfId="34" applyNumberFormat="1" applyFont="1" applyFill="1" applyBorder="1" applyAlignment="1">
      <alignment horizontal="center" vertical="center" wrapText="1"/>
      <protection/>
    </xf>
    <xf numFmtId="43" fontId="2" fillId="34" borderId="13" xfId="6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" fontId="0" fillId="34" borderId="28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37" borderId="13" xfId="0" applyNumberFormat="1" applyFont="1" applyFill="1" applyBorder="1" applyAlignment="1">
      <alignment/>
    </xf>
    <xf numFmtId="4" fontId="2" fillId="0" borderId="11" xfId="34" applyNumberFormat="1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 horizontal="right"/>
    </xf>
    <xf numFmtId="2" fontId="0" fillId="38" borderId="41" xfId="0" applyNumberFormat="1" applyFont="1" applyFill="1" applyBorder="1" applyAlignment="1">
      <alignment horizontal="right"/>
    </xf>
    <xf numFmtId="2" fontId="0" fillId="38" borderId="42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3" fillId="0" borderId="28" xfId="34" applyNumberFormat="1" applyFont="1" applyBorder="1" applyAlignment="1">
      <alignment horizontal="center" vertical="center" wrapText="1"/>
      <protection/>
    </xf>
    <xf numFmtId="4" fontId="1" fillId="36" borderId="13" xfId="0" applyNumberFormat="1" applyFont="1" applyFill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1" fillId="36" borderId="13" xfId="0" applyNumberFormat="1" applyFont="1" applyFill="1" applyBorder="1" applyAlignment="1">
      <alignment horizontal="right" wrapText="1"/>
    </xf>
    <xf numFmtId="4" fontId="1" fillId="0" borderId="28" xfId="0" applyNumberFormat="1" applyFont="1" applyFill="1" applyBorder="1" applyAlignment="1">
      <alignment horizontal="right" wrapText="1"/>
    </xf>
    <xf numFmtId="0" fontId="1" fillId="0" borderId="40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right"/>
    </xf>
    <xf numFmtId="2" fontId="0" fillId="38" borderId="43" xfId="0" applyNumberFormat="1" applyFont="1" applyFill="1" applyBorder="1" applyAlignment="1">
      <alignment horizontal="right"/>
    </xf>
    <xf numFmtId="2" fontId="0" fillId="38" borderId="44" xfId="0" applyNumberFormat="1" applyFont="1" applyFill="1" applyBorder="1" applyAlignment="1">
      <alignment horizontal="right"/>
    </xf>
    <xf numFmtId="0" fontId="0" fillId="0" borderId="41" xfId="0" applyBorder="1" applyAlignment="1">
      <alignment horizontal="center"/>
    </xf>
    <xf numFmtId="2" fontId="8" fillId="0" borderId="13" xfId="0" applyNumberFormat="1" applyFont="1" applyFill="1" applyBorder="1" applyAlignment="1">
      <alignment horizontal="right"/>
    </xf>
    <xf numFmtId="2" fontId="8" fillId="38" borderId="41" xfId="0" applyNumberFormat="1" applyFont="1" applyFill="1" applyBorder="1" applyAlignment="1">
      <alignment horizontal="right"/>
    </xf>
    <xf numFmtId="2" fontId="8" fillId="38" borderId="42" xfId="0" applyNumberFormat="1" applyFont="1" applyFill="1" applyBorder="1" applyAlignment="1">
      <alignment horizontal="right"/>
    </xf>
    <xf numFmtId="4" fontId="0" fillId="38" borderId="45" xfId="0" applyNumberFormat="1" applyFont="1" applyFill="1" applyBorder="1" applyAlignment="1">
      <alignment horizontal="right"/>
    </xf>
    <xf numFmtId="4" fontId="0" fillId="38" borderId="42" xfId="0" applyNumberFormat="1" applyFont="1" applyFill="1" applyBorder="1" applyAlignment="1">
      <alignment horizontal="right"/>
    </xf>
    <xf numFmtId="4" fontId="0" fillId="38" borderId="18" xfId="0" applyNumberFormat="1" applyFont="1" applyFill="1" applyBorder="1" applyAlignment="1">
      <alignment horizontal="right"/>
    </xf>
    <xf numFmtId="4" fontId="0" fillId="38" borderId="37" xfId="0" applyNumberFormat="1" applyFont="1" applyFill="1" applyBorder="1" applyAlignment="1">
      <alignment horizontal="right"/>
    </xf>
    <xf numFmtId="4" fontId="0" fillId="38" borderId="41" xfId="0" applyNumberFormat="1" applyFont="1" applyFill="1" applyBorder="1" applyAlignment="1">
      <alignment horizontal="right"/>
    </xf>
    <xf numFmtId="4" fontId="0" fillId="37" borderId="13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2" fillId="0" borderId="13" xfId="54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38" borderId="46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2" fontId="1" fillId="37" borderId="46" xfId="0" applyNumberFormat="1" applyFont="1" applyFill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2" fontId="1" fillId="37" borderId="39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textRotation="90"/>
    </xf>
    <xf numFmtId="0" fontId="1" fillId="35" borderId="38" xfId="0" applyFont="1" applyFill="1" applyBorder="1" applyAlignment="1">
      <alignment horizontal="center" textRotation="90"/>
    </xf>
    <xf numFmtId="0" fontId="1" fillId="0" borderId="46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33" borderId="56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36" borderId="19" xfId="0" applyNumberFormat="1" applyFont="1" applyFill="1" applyBorder="1" applyAlignment="1">
      <alignment horizontal="center" vertical="center" wrapText="1"/>
    </xf>
    <xf numFmtId="2" fontId="1" fillId="36" borderId="5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13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28" xfId="0" applyNumberFormat="1" applyFont="1" applyFill="1" applyBorder="1" applyAlignment="1">
      <alignment horizontal="center" vertical="center" textRotation="90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2" fontId="1" fillId="0" borderId="5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/>
    </xf>
    <xf numFmtId="43" fontId="0" fillId="0" borderId="28" xfId="62" applyFont="1" applyFill="1" applyBorder="1" applyAlignment="1">
      <alignment horizontal="center"/>
    </xf>
    <xf numFmtId="43" fontId="0" fillId="0" borderId="18" xfId="62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62" xfId="0" applyNumberFormat="1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3" fontId="7" fillId="34" borderId="46" xfId="64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 wrapText="1"/>
    </xf>
    <xf numFmtId="43" fontId="7" fillId="34" borderId="38" xfId="64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36" borderId="46" xfId="55" applyNumberFormat="1" applyFont="1" applyFill="1" applyBorder="1" applyAlignment="1">
      <alignment horizontal="center" vertical="center" wrapText="1"/>
      <protection/>
    </xf>
    <xf numFmtId="2" fontId="1" fillId="33" borderId="68" xfId="55" applyNumberFormat="1" applyFont="1" applyFill="1" applyBorder="1" applyAlignment="1">
      <alignment horizontal="center" vertical="center" wrapText="1"/>
      <protection/>
    </xf>
    <xf numFmtId="2" fontId="1" fillId="33" borderId="46" xfId="55" applyNumberFormat="1" applyFont="1" applyFill="1" applyBorder="1" applyAlignment="1">
      <alignment horizontal="center" vertical="center" wrapText="1"/>
      <protection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0" borderId="46" xfId="55" applyNumberFormat="1" applyFont="1" applyFill="1" applyBorder="1" applyAlignment="1">
      <alignment horizontal="center" vertical="center" wrapText="1"/>
      <protection/>
    </xf>
    <xf numFmtId="0" fontId="0" fillId="0" borderId="55" xfId="0" applyFont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36" borderId="39" xfId="55" applyNumberFormat="1" applyFont="1" applyFill="1" applyBorder="1" applyAlignment="1">
      <alignment horizontal="center" vertical="center" wrapText="1"/>
      <protection/>
    </xf>
    <xf numFmtId="2" fontId="1" fillId="33" borderId="43" xfId="55" applyNumberFormat="1" applyFont="1" applyFill="1" applyBorder="1" applyAlignment="1">
      <alignment horizontal="center" vertical="center" wrapText="1"/>
      <protection/>
    </xf>
    <xf numFmtId="2" fontId="1" fillId="33" borderId="39" xfId="55" applyNumberFormat="1" applyFont="1" applyFill="1" applyBorder="1" applyAlignment="1">
      <alignment horizontal="center" vertical="center" wrapText="1"/>
      <protection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39" xfId="55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left"/>
    </xf>
    <xf numFmtId="4" fontId="1" fillId="33" borderId="16" xfId="0" applyNumberFormat="1" applyFont="1" applyFill="1" applyBorder="1" applyAlignment="1">
      <alignment horizontal="right"/>
    </xf>
    <xf numFmtId="4" fontId="1" fillId="33" borderId="58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4" fontId="0" fillId="34" borderId="28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37" borderId="13" xfId="0" applyNumberFormat="1" applyFont="1" applyFill="1" applyBorder="1" applyAlignment="1">
      <alignment/>
    </xf>
    <xf numFmtId="4" fontId="0" fillId="39" borderId="13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4" fontId="0" fillId="36" borderId="13" xfId="0" applyNumberFormat="1" applyFont="1" applyFill="1" applyBorder="1" applyAlignment="1">
      <alignment/>
    </xf>
    <xf numFmtId="0" fontId="0" fillId="0" borderId="28" xfId="0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4" fontId="0" fillId="0" borderId="28" xfId="0" applyNumberFormat="1" applyFont="1" applyBorder="1" applyAlignment="1">
      <alignment horizontal="center"/>
    </xf>
    <xf numFmtId="4" fontId="0" fillId="0" borderId="14" xfId="55" applyNumberFormat="1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" fontId="0" fillId="34" borderId="28" xfId="55" applyNumberFormat="1" applyFont="1" applyFill="1" applyBorder="1">
      <alignment/>
      <protection/>
    </xf>
    <xf numFmtId="4" fontId="0" fillId="0" borderId="13" xfId="55" applyNumberFormat="1" applyFont="1" applyFill="1" applyBorder="1">
      <alignment/>
      <protection/>
    </xf>
    <xf numFmtId="4" fontId="0" fillId="33" borderId="13" xfId="55" applyNumberFormat="1" applyFont="1" applyFill="1" applyBorder="1">
      <alignment/>
      <protection/>
    </xf>
    <xf numFmtId="4" fontId="0" fillId="33" borderId="28" xfId="55" applyNumberFormat="1" applyFont="1" applyFill="1" applyBorder="1">
      <alignment/>
      <protection/>
    </xf>
    <xf numFmtId="4" fontId="0" fillId="0" borderId="28" xfId="55" applyNumberFormat="1" applyFont="1" applyFill="1" applyBorder="1">
      <alignment/>
      <protection/>
    </xf>
    <xf numFmtId="4" fontId="0" fillId="0" borderId="29" xfId="0" applyNumberFormat="1" applyFont="1" applyBorder="1" applyAlignment="1">
      <alignment/>
    </xf>
    <xf numFmtId="0" fontId="0" fillId="0" borderId="29" xfId="55" applyBorder="1" applyAlignment="1">
      <alignment horizontal="center"/>
      <protection/>
    </xf>
    <xf numFmtId="4" fontId="0" fillId="34" borderId="45" xfId="55" applyNumberFormat="1" applyFont="1" applyFill="1" applyBorder="1">
      <alignment/>
      <protection/>
    </xf>
    <xf numFmtId="0" fontId="2" fillId="0" borderId="14" xfId="0" applyFont="1" applyBorder="1" applyAlignment="1">
      <alignment horizontal="center"/>
    </xf>
    <xf numFmtId="43" fontId="2" fillId="34" borderId="28" xfId="65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6" fillId="0" borderId="29" xfId="0" applyFont="1" applyBorder="1" applyAlignment="1">
      <alignment/>
    </xf>
    <xf numFmtId="4" fontId="1" fillId="0" borderId="28" xfId="55" applyNumberFormat="1" applyFont="1" applyFill="1" applyBorder="1">
      <alignment/>
      <protection/>
    </xf>
    <xf numFmtId="4" fontId="2" fillId="0" borderId="13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" fontId="1" fillId="34" borderId="28" xfId="55" applyNumberFormat="1" applyFont="1" applyFill="1" applyBorder="1">
      <alignment/>
      <protection/>
    </xf>
    <xf numFmtId="4" fontId="1" fillId="0" borderId="13" xfId="0" applyNumberFormat="1" applyFont="1" applyFill="1" applyBorder="1" applyAlignment="1">
      <alignment/>
    </xf>
    <xf numFmtId="0" fontId="26" fillId="0" borderId="14" xfId="0" applyFont="1" applyBorder="1" applyAlignment="1">
      <alignment/>
    </xf>
    <xf numFmtId="0" fontId="0" fillId="0" borderId="19" xfId="0" applyFont="1" applyFill="1" applyBorder="1" applyAlignment="1">
      <alignment/>
    </xf>
    <xf numFmtId="4" fontId="0" fillId="36" borderId="13" xfId="55" applyNumberFormat="1" applyFont="1" applyFill="1" applyBorder="1">
      <alignment/>
      <protection/>
    </xf>
    <xf numFmtId="4" fontId="0" fillId="33" borderId="13" xfId="55" applyNumberFormat="1" applyFont="1" applyFill="1" applyBorder="1" applyAlignment="1">
      <alignment horizontal="center"/>
      <protection/>
    </xf>
    <xf numFmtId="4" fontId="0" fillId="33" borderId="28" xfId="55" applyNumberFormat="1" applyFont="1" applyFill="1" applyBorder="1" applyAlignment="1">
      <alignment horizontal="center"/>
      <protection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8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167" fontId="2" fillId="34" borderId="13" xfId="62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4" fontId="27" fillId="0" borderId="12" xfId="34" applyNumberFormat="1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/>
    </xf>
    <xf numFmtId="4" fontId="0" fillId="0" borderId="28" xfId="55" applyNumberFormat="1" applyFont="1" applyFill="1" applyBorder="1" applyAlignment="1">
      <alignment horizontal="center"/>
      <protection/>
    </xf>
    <xf numFmtId="4" fontId="0" fillId="0" borderId="45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0" fontId="0" fillId="39" borderId="0" xfId="0" applyFont="1" applyFill="1" applyBorder="1" applyAlignment="1">
      <alignment/>
    </xf>
    <xf numFmtId="4" fontId="0" fillId="39" borderId="28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Ц СЧЕТА 1 кв 201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_ЛИЦ СЧЕТА 1 кв 2011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28%20&#1055;&#1072;&#1085;&#1092;&#1080;&#1083;&#1086;&#1074;&#1094;&#1077;&#1074;%206%20&#1089;%202011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28%20&#1055;&#1072;&#1085;&#1092;&#1080;&#1083;&#1086;&#1074;&#1094;&#1077;&#1074;%201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"/>
      <sheetName val="2011 печать"/>
    </sheetNames>
    <sheetDataSet>
      <sheetData sheetId="0">
        <row r="44">
          <cell r="X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zoomScalePageLayoutView="0" workbookViewId="0" topLeftCell="AD1">
      <selection activeCell="A8" sqref="A8:IV18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44" width="9.125" style="2" customWidth="1"/>
    <col min="45" max="45" width="11.625" style="2" customWidth="1"/>
    <col min="46" max="47" width="9.125" style="2" customWidth="1"/>
    <col min="48" max="48" width="10.625" style="2" customWidth="1"/>
    <col min="49" max="16384" width="9.125" style="2" customWidth="1"/>
  </cols>
  <sheetData>
    <row r="1" spans="1:14" ht="12.75">
      <c r="A1" s="165" t="s">
        <v>60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149" t="s">
        <v>62</v>
      </c>
      <c r="B3" s="167" t="s">
        <v>0</v>
      </c>
      <c r="C3" s="169" t="s">
        <v>1</v>
      </c>
      <c r="D3" s="171" t="s">
        <v>2</v>
      </c>
      <c r="E3" s="149" t="s">
        <v>9</v>
      </c>
      <c r="F3" s="173"/>
      <c r="G3" s="149" t="s">
        <v>10</v>
      </c>
      <c r="H3" s="150"/>
      <c r="I3" s="149" t="s">
        <v>11</v>
      </c>
      <c r="J3" s="150"/>
      <c r="K3" s="149" t="s">
        <v>12</v>
      </c>
      <c r="L3" s="150"/>
      <c r="M3" s="153" t="s">
        <v>13</v>
      </c>
      <c r="N3" s="150"/>
      <c r="O3" s="149" t="s">
        <v>3</v>
      </c>
      <c r="P3" s="153"/>
      <c r="Q3" s="189" t="s">
        <v>4</v>
      </c>
      <c r="R3" s="190"/>
      <c r="S3" s="190"/>
      <c r="T3" s="190"/>
      <c r="U3" s="190"/>
      <c r="V3" s="190"/>
      <c r="W3" s="185" t="s">
        <v>63</v>
      </c>
      <c r="X3" s="156" t="s">
        <v>64</v>
      </c>
      <c r="Y3" s="140" t="s">
        <v>6</v>
      </c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2"/>
      <c r="AT3" s="146" t="s">
        <v>65</v>
      </c>
      <c r="AU3" s="147"/>
      <c r="AV3" s="131" t="s">
        <v>7</v>
      </c>
      <c r="AW3" s="131" t="s">
        <v>8</v>
      </c>
    </row>
    <row r="4" spans="1:49" ht="36" customHeight="1" thickBot="1">
      <c r="A4" s="166"/>
      <c r="B4" s="168"/>
      <c r="C4" s="170"/>
      <c r="D4" s="172"/>
      <c r="E4" s="174"/>
      <c r="F4" s="175"/>
      <c r="G4" s="151"/>
      <c r="H4" s="152"/>
      <c r="I4" s="151"/>
      <c r="J4" s="152"/>
      <c r="K4" s="151"/>
      <c r="L4" s="152"/>
      <c r="M4" s="154"/>
      <c r="N4" s="155"/>
      <c r="O4" s="151"/>
      <c r="P4" s="188"/>
      <c r="Q4" s="191"/>
      <c r="R4" s="192"/>
      <c r="S4" s="192"/>
      <c r="T4" s="192"/>
      <c r="U4" s="192"/>
      <c r="V4" s="192"/>
      <c r="W4" s="186"/>
      <c r="X4" s="157"/>
      <c r="Y4" s="143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5"/>
      <c r="AT4" s="134" t="s">
        <v>66</v>
      </c>
      <c r="AU4" s="137" t="s">
        <v>67</v>
      </c>
      <c r="AV4" s="132"/>
      <c r="AW4" s="132"/>
    </row>
    <row r="5" spans="1:49" ht="29.25" customHeight="1" thickBot="1">
      <c r="A5" s="166"/>
      <c r="B5" s="168"/>
      <c r="C5" s="170"/>
      <c r="D5" s="172"/>
      <c r="E5" s="178" t="s">
        <v>14</v>
      </c>
      <c r="F5" s="163" t="s">
        <v>15</v>
      </c>
      <c r="G5" s="163" t="s">
        <v>14</v>
      </c>
      <c r="H5" s="163" t="s">
        <v>15</v>
      </c>
      <c r="I5" s="163" t="s">
        <v>14</v>
      </c>
      <c r="J5" s="163" t="s">
        <v>15</v>
      </c>
      <c r="K5" s="163" t="s">
        <v>14</v>
      </c>
      <c r="L5" s="163" t="s">
        <v>15</v>
      </c>
      <c r="M5" s="163" t="s">
        <v>14</v>
      </c>
      <c r="N5" s="163" t="s">
        <v>15</v>
      </c>
      <c r="O5" s="163" t="s">
        <v>14</v>
      </c>
      <c r="P5" s="161" t="s">
        <v>15</v>
      </c>
      <c r="Q5" s="159" t="s">
        <v>16</v>
      </c>
      <c r="R5" s="159" t="s">
        <v>17</v>
      </c>
      <c r="S5" s="159" t="s">
        <v>18</v>
      </c>
      <c r="T5" s="159" t="s">
        <v>19</v>
      </c>
      <c r="U5" s="159" t="s">
        <v>20</v>
      </c>
      <c r="V5" s="184" t="s">
        <v>21</v>
      </c>
      <c r="W5" s="186"/>
      <c r="X5" s="157"/>
      <c r="Y5" s="180" t="s">
        <v>22</v>
      </c>
      <c r="Z5" s="176" t="s">
        <v>23</v>
      </c>
      <c r="AA5" s="176" t="s">
        <v>24</v>
      </c>
      <c r="AB5" s="138" t="s">
        <v>25</v>
      </c>
      <c r="AC5" s="176" t="s">
        <v>26</v>
      </c>
      <c r="AD5" s="138" t="s">
        <v>25</v>
      </c>
      <c r="AE5" s="138" t="s">
        <v>27</v>
      </c>
      <c r="AF5" s="138" t="s">
        <v>25</v>
      </c>
      <c r="AG5" s="138" t="s">
        <v>28</v>
      </c>
      <c r="AH5" s="138" t="s">
        <v>25</v>
      </c>
      <c r="AI5" s="195" t="s">
        <v>68</v>
      </c>
      <c r="AJ5" s="193" t="s">
        <v>25</v>
      </c>
      <c r="AK5" s="182" t="s">
        <v>69</v>
      </c>
      <c r="AL5" s="182" t="s">
        <v>70</v>
      </c>
      <c r="AM5" s="70" t="s">
        <v>25</v>
      </c>
      <c r="AN5" s="146" t="s">
        <v>71</v>
      </c>
      <c r="AO5" s="148"/>
      <c r="AP5" s="147"/>
      <c r="AQ5" s="137" t="s">
        <v>30</v>
      </c>
      <c r="AR5" s="137" t="s">
        <v>25</v>
      </c>
      <c r="AS5" s="137" t="s">
        <v>31</v>
      </c>
      <c r="AT5" s="135"/>
      <c r="AU5" s="138"/>
      <c r="AV5" s="132"/>
      <c r="AW5" s="132"/>
    </row>
    <row r="6" spans="1:49" ht="54" customHeight="1" thickBot="1">
      <c r="A6" s="166"/>
      <c r="B6" s="168"/>
      <c r="C6" s="170"/>
      <c r="D6" s="172"/>
      <c r="E6" s="179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2"/>
      <c r="Q6" s="160"/>
      <c r="R6" s="160"/>
      <c r="S6" s="160"/>
      <c r="T6" s="160"/>
      <c r="U6" s="160"/>
      <c r="V6" s="143"/>
      <c r="W6" s="187"/>
      <c r="X6" s="158"/>
      <c r="Y6" s="181"/>
      <c r="Z6" s="177"/>
      <c r="AA6" s="177"/>
      <c r="AB6" s="139"/>
      <c r="AC6" s="177"/>
      <c r="AD6" s="139"/>
      <c r="AE6" s="139"/>
      <c r="AF6" s="139"/>
      <c r="AG6" s="139"/>
      <c r="AH6" s="139"/>
      <c r="AI6" s="196"/>
      <c r="AJ6" s="194"/>
      <c r="AK6" s="183"/>
      <c r="AL6" s="183"/>
      <c r="AM6" s="72"/>
      <c r="AN6" s="71" t="s">
        <v>72</v>
      </c>
      <c r="AO6" s="71" t="s">
        <v>73</v>
      </c>
      <c r="AP6" s="71" t="s">
        <v>74</v>
      </c>
      <c r="AQ6" s="139"/>
      <c r="AR6" s="139"/>
      <c r="AS6" s="139"/>
      <c r="AT6" s="136"/>
      <c r="AU6" s="139"/>
      <c r="AV6" s="133"/>
      <c r="AW6" s="133"/>
    </row>
    <row r="7" spans="1:49" ht="12.75">
      <c r="A7" s="5">
        <v>1</v>
      </c>
      <c r="B7" s="6">
        <v>2</v>
      </c>
      <c r="C7" s="5">
        <v>3</v>
      </c>
      <c r="D7" s="6">
        <v>4</v>
      </c>
      <c r="E7" s="5">
        <v>5</v>
      </c>
      <c r="F7" s="6">
        <v>6</v>
      </c>
      <c r="G7" s="5">
        <v>7</v>
      </c>
      <c r="H7" s="6">
        <v>8</v>
      </c>
      <c r="I7" s="5">
        <v>9</v>
      </c>
      <c r="J7" s="5">
        <v>10</v>
      </c>
      <c r="K7" s="6">
        <v>11</v>
      </c>
      <c r="L7" s="5">
        <v>12</v>
      </c>
      <c r="M7" s="6">
        <v>13</v>
      </c>
      <c r="N7" s="5">
        <v>14</v>
      </c>
      <c r="O7" s="6">
        <v>15</v>
      </c>
      <c r="P7" s="5">
        <v>16</v>
      </c>
      <c r="Q7" s="6">
        <v>17</v>
      </c>
      <c r="R7" s="5">
        <v>18</v>
      </c>
      <c r="S7" s="5">
        <v>19</v>
      </c>
      <c r="T7" s="6">
        <v>20</v>
      </c>
      <c r="U7" s="5">
        <v>21</v>
      </c>
      <c r="V7" s="6">
        <v>22</v>
      </c>
      <c r="W7" s="5">
        <v>23</v>
      </c>
      <c r="X7" s="6">
        <v>24</v>
      </c>
      <c r="Y7" s="5">
        <v>25</v>
      </c>
      <c r="Z7" s="6">
        <v>26</v>
      </c>
      <c r="AA7" s="5">
        <v>27</v>
      </c>
      <c r="AB7" s="5">
        <v>28</v>
      </c>
      <c r="AC7" s="6">
        <v>29</v>
      </c>
      <c r="AD7" s="5">
        <v>30</v>
      </c>
      <c r="AE7" s="6">
        <v>31</v>
      </c>
      <c r="AF7" s="5">
        <v>32</v>
      </c>
      <c r="AG7" s="6">
        <v>33</v>
      </c>
      <c r="AH7" s="5">
        <v>34</v>
      </c>
      <c r="AI7" s="6">
        <v>35</v>
      </c>
      <c r="AJ7" s="5">
        <v>36</v>
      </c>
      <c r="AK7" s="5">
        <v>37</v>
      </c>
      <c r="AL7" s="6">
        <v>38</v>
      </c>
      <c r="AM7" s="5">
        <v>39</v>
      </c>
      <c r="AN7" s="6">
        <v>40</v>
      </c>
      <c r="AO7" s="5">
        <v>41</v>
      </c>
      <c r="AP7" s="6">
        <v>42</v>
      </c>
      <c r="AQ7" s="5">
        <v>43</v>
      </c>
      <c r="AR7" s="6">
        <v>44</v>
      </c>
      <c r="AS7" s="5">
        <v>45</v>
      </c>
      <c r="AT7" s="6">
        <v>46</v>
      </c>
      <c r="AU7" s="5">
        <v>47</v>
      </c>
      <c r="AV7" s="6">
        <v>48</v>
      </c>
      <c r="AW7" s="5">
        <v>49</v>
      </c>
    </row>
    <row r="8" spans="1:49" ht="15" customHeight="1" hidden="1">
      <c r="A8" s="5" t="s">
        <v>75</v>
      </c>
      <c r="B8" s="61"/>
      <c r="C8" s="90"/>
      <c r="D8" s="90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  <c r="P8" s="92"/>
      <c r="Q8" s="93"/>
      <c r="R8" s="93"/>
      <c r="S8" s="93"/>
      <c r="T8" s="93"/>
      <c r="U8" s="93"/>
      <c r="V8" s="94"/>
      <c r="W8" s="95"/>
      <c r="X8" s="51"/>
      <c r="Y8" s="51"/>
      <c r="Z8" s="51"/>
      <c r="AA8" s="51"/>
      <c r="AB8" s="51"/>
      <c r="AC8" s="51"/>
      <c r="AD8" s="51"/>
      <c r="AE8" s="51"/>
      <c r="AF8" s="62"/>
      <c r="AG8" s="62"/>
      <c r="AH8" s="62"/>
      <c r="AI8" s="96"/>
      <c r="AJ8" s="97"/>
      <c r="AK8" s="98"/>
      <c r="AL8" s="98"/>
      <c r="AM8" s="99"/>
      <c r="AN8" s="51"/>
      <c r="AO8" s="51"/>
      <c r="AP8" s="52"/>
      <c r="AQ8" s="1"/>
      <c r="AR8" s="1"/>
      <c r="AS8" s="1"/>
      <c r="AT8" s="1"/>
      <c r="AU8" s="1"/>
      <c r="AV8" s="1"/>
      <c r="AW8" s="73"/>
    </row>
    <row r="9" spans="1:49" ht="12.75" hidden="1">
      <c r="A9" s="103" t="s">
        <v>35</v>
      </c>
      <c r="B9" s="104">
        <v>127</v>
      </c>
      <c r="C9" s="81">
        <f aca="true" t="shared" si="0" ref="C9:C17">B9*8.65</f>
        <v>1098.55</v>
      </c>
      <c r="D9" s="82">
        <f>C9*0.1</f>
        <v>109.855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3">
        <v>0</v>
      </c>
      <c r="O9" s="78">
        <f aca="true" t="shared" si="1" ref="O9:O17">E9+G9+I9+K9+M9</f>
        <v>0</v>
      </c>
      <c r="P9" s="79">
        <f aca="true" t="shared" si="2" ref="P9:P17">N9+L9+J9+H9+F9</f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75">
        <f aca="true" t="shared" si="3" ref="V9:V17">SUM(Q9:U9)</f>
        <v>0</v>
      </c>
      <c r="W9" s="84">
        <f aca="true" t="shared" si="4" ref="W9:W17">D9+P9+V9</f>
        <v>109.855</v>
      </c>
      <c r="X9" s="84"/>
      <c r="Y9" s="18">
        <f aca="true" t="shared" si="5" ref="Y9:Y17">0.6*B9</f>
        <v>76.2</v>
      </c>
      <c r="Z9" s="18">
        <f aca="true" t="shared" si="6" ref="Z9:Z17">B9*0.2</f>
        <v>25.400000000000002</v>
      </c>
      <c r="AA9" s="18">
        <f aca="true" t="shared" si="7" ref="AA9:AA17">1*B9</f>
        <v>127</v>
      </c>
      <c r="AB9" s="18">
        <v>0</v>
      </c>
      <c r="AC9" s="18">
        <f aca="true" t="shared" si="8" ref="AC9:AC17">(0.98*B9)</f>
        <v>124.46</v>
      </c>
      <c r="AD9" s="18">
        <v>0</v>
      </c>
      <c r="AE9" s="18">
        <f aca="true" t="shared" si="9" ref="AE9:AE17">2.25*B9</f>
        <v>285.75</v>
      </c>
      <c r="AF9" s="18">
        <v>0</v>
      </c>
      <c r="AG9" s="18"/>
      <c r="AH9" s="18"/>
      <c r="AI9" s="85"/>
      <c r="AJ9" s="85"/>
      <c r="AK9" s="66"/>
      <c r="AL9" s="66"/>
      <c r="AM9" s="66"/>
      <c r="AN9" s="86">
        <v>307</v>
      </c>
      <c r="AO9" s="87">
        <v>0</v>
      </c>
      <c r="AP9" s="18">
        <f aca="true" t="shared" si="10" ref="AP9:AP17">AN9*AO9*1.4</f>
        <v>0</v>
      </c>
      <c r="AQ9" s="88"/>
      <c r="AR9" s="88">
        <f aca="true" t="shared" si="11" ref="AR9:AR17">AQ9*0.18</f>
        <v>0</v>
      </c>
      <c r="AS9" s="88">
        <f>SUM(Y9:AR9)-AN9-AO9</f>
        <v>638.81</v>
      </c>
      <c r="AT9" s="89"/>
      <c r="AU9" s="67">
        <f>AS9-(X9-AT9)</f>
        <v>638.81</v>
      </c>
      <c r="AV9" s="100">
        <f aca="true" t="shared" si="12" ref="AV9:AV14">W9-AS9</f>
        <v>-528.9549999999999</v>
      </c>
      <c r="AW9" s="101">
        <f>V9-O9</f>
        <v>0</v>
      </c>
    </row>
    <row r="10" spans="1:49" ht="12.75" hidden="1">
      <c r="A10" s="7" t="s">
        <v>36</v>
      </c>
      <c r="B10" s="75">
        <v>127</v>
      </c>
      <c r="C10" s="81">
        <f t="shared" si="0"/>
        <v>1098.55</v>
      </c>
      <c r="D10" s="82">
        <f>C10*0.1</f>
        <v>109.855</v>
      </c>
      <c r="E10" s="76">
        <v>30.1</v>
      </c>
      <c r="F10" s="76">
        <v>27</v>
      </c>
      <c r="G10" s="76">
        <v>40.78</v>
      </c>
      <c r="H10" s="76">
        <v>36.6</v>
      </c>
      <c r="I10" s="76">
        <v>97.98</v>
      </c>
      <c r="J10" s="76">
        <v>87.9</v>
      </c>
      <c r="K10" s="76">
        <v>67.88</v>
      </c>
      <c r="L10" s="76">
        <v>60.9</v>
      </c>
      <c r="M10" s="76">
        <v>24.08</v>
      </c>
      <c r="N10" s="77">
        <v>21.6</v>
      </c>
      <c r="O10" s="78">
        <f t="shared" si="1"/>
        <v>260.82</v>
      </c>
      <c r="P10" s="79">
        <f t="shared" si="2"/>
        <v>234</v>
      </c>
      <c r="Q10" s="83">
        <v>15.73</v>
      </c>
      <c r="R10" s="83">
        <v>9.42</v>
      </c>
      <c r="S10" s="83">
        <v>51.48</v>
      </c>
      <c r="T10" s="83">
        <v>35.48</v>
      </c>
      <c r="U10" s="83">
        <v>12.59</v>
      </c>
      <c r="V10" s="75">
        <f t="shared" si="3"/>
        <v>124.69999999999999</v>
      </c>
      <c r="W10" s="84">
        <f t="shared" si="4"/>
        <v>468.555</v>
      </c>
      <c r="X10" s="84"/>
      <c r="Y10" s="18">
        <f t="shared" si="5"/>
        <v>76.2</v>
      </c>
      <c r="Z10" s="18">
        <f t="shared" si="6"/>
        <v>25.400000000000002</v>
      </c>
      <c r="AA10" s="18">
        <f t="shared" si="7"/>
        <v>127</v>
      </c>
      <c r="AB10" s="18">
        <v>0</v>
      </c>
      <c r="AC10" s="18">
        <f t="shared" si="8"/>
        <v>124.46</v>
      </c>
      <c r="AD10" s="18">
        <v>0</v>
      </c>
      <c r="AE10" s="18">
        <f t="shared" si="9"/>
        <v>285.75</v>
      </c>
      <c r="AF10" s="18">
        <v>0</v>
      </c>
      <c r="AG10" s="18"/>
      <c r="AH10" s="18"/>
      <c r="AI10" s="85"/>
      <c r="AJ10" s="85"/>
      <c r="AK10" s="66"/>
      <c r="AL10" s="66"/>
      <c r="AM10" s="66"/>
      <c r="AN10" s="86">
        <v>263</v>
      </c>
      <c r="AO10" s="87">
        <v>0</v>
      </c>
      <c r="AP10" s="18">
        <f t="shared" si="10"/>
        <v>0</v>
      </c>
      <c r="AQ10" s="88"/>
      <c r="AR10" s="88">
        <f t="shared" si="11"/>
        <v>0</v>
      </c>
      <c r="AS10" s="88">
        <f>SUM(Y10:AR10)-AN10-AO10</f>
        <v>638.81</v>
      </c>
      <c r="AT10" s="89"/>
      <c r="AU10" s="67">
        <f aca="true" t="shared" si="13" ref="AU10:AU17">AS10-(X10-AT10)</f>
        <v>638.81</v>
      </c>
      <c r="AV10" s="100">
        <f t="shared" si="12"/>
        <v>-170.25499999999994</v>
      </c>
      <c r="AW10" s="101">
        <f aca="true" t="shared" si="14" ref="AW10:AW17">V10-O10</f>
        <v>-136.12</v>
      </c>
    </row>
    <row r="11" spans="1:49" ht="13.5" hidden="1" thickBot="1">
      <c r="A11" s="102" t="s">
        <v>37</v>
      </c>
      <c r="B11" s="75">
        <v>127</v>
      </c>
      <c r="C11" s="81">
        <f t="shared" si="0"/>
        <v>1098.55</v>
      </c>
      <c r="D11" s="82">
        <f>(C11-E11-F11-G11-H11-I11-J11-K11-L11-M11-N11)*0.80125</f>
        <v>681.975925</v>
      </c>
      <c r="E11" s="76">
        <v>15.05</v>
      </c>
      <c r="F11" s="76">
        <v>13.5</v>
      </c>
      <c r="G11" s="76">
        <v>20.39</v>
      </c>
      <c r="H11" s="76">
        <v>18.3</v>
      </c>
      <c r="I11" s="76">
        <v>48.99</v>
      </c>
      <c r="J11" s="76">
        <v>43.95</v>
      </c>
      <c r="K11" s="76">
        <v>33.94</v>
      </c>
      <c r="L11" s="76">
        <v>30.45</v>
      </c>
      <c r="M11" s="76">
        <v>12.04</v>
      </c>
      <c r="N11" s="77">
        <v>10.8</v>
      </c>
      <c r="O11" s="78">
        <f t="shared" si="1"/>
        <v>130.41</v>
      </c>
      <c r="P11" s="79">
        <f t="shared" si="2"/>
        <v>117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75">
        <f t="shared" si="3"/>
        <v>0</v>
      </c>
      <c r="W11" s="84">
        <f t="shared" si="4"/>
        <v>798.975925</v>
      </c>
      <c r="X11" s="84"/>
      <c r="Y11" s="18">
        <f t="shared" si="5"/>
        <v>76.2</v>
      </c>
      <c r="Z11" s="18">
        <f t="shared" si="6"/>
        <v>25.400000000000002</v>
      </c>
      <c r="AA11" s="18">
        <f t="shared" si="7"/>
        <v>127</v>
      </c>
      <c r="AB11" s="18">
        <v>0</v>
      </c>
      <c r="AC11" s="18">
        <f t="shared" si="8"/>
        <v>124.46</v>
      </c>
      <c r="AD11" s="18">
        <v>0</v>
      </c>
      <c r="AE11" s="18">
        <f t="shared" si="9"/>
        <v>285.75</v>
      </c>
      <c r="AF11" s="18">
        <v>0</v>
      </c>
      <c r="AG11" s="18"/>
      <c r="AH11" s="18"/>
      <c r="AI11" s="85"/>
      <c r="AJ11" s="85"/>
      <c r="AK11" s="66"/>
      <c r="AL11" s="66"/>
      <c r="AM11" s="66"/>
      <c r="AN11" s="86">
        <v>233</v>
      </c>
      <c r="AO11" s="87">
        <v>0</v>
      </c>
      <c r="AP11" s="18">
        <f t="shared" si="10"/>
        <v>0</v>
      </c>
      <c r="AQ11" s="88"/>
      <c r="AR11" s="88">
        <f t="shared" si="11"/>
        <v>0</v>
      </c>
      <c r="AS11" s="88">
        <f aca="true" t="shared" si="15" ref="AS11:AS17">SUM(Y11:AM11)+AP11</f>
        <v>638.81</v>
      </c>
      <c r="AT11" s="89"/>
      <c r="AU11" s="110">
        <f t="shared" si="13"/>
        <v>638.81</v>
      </c>
      <c r="AV11" s="111">
        <f t="shared" si="12"/>
        <v>160.16592500000002</v>
      </c>
      <c r="AW11" s="112">
        <f t="shared" si="14"/>
        <v>-130.41</v>
      </c>
    </row>
    <row r="12" spans="1:49" ht="12.75" hidden="1">
      <c r="A12" s="103" t="s">
        <v>38</v>
      </c>
      <c r="B12" s="113">
        <v>127</v>
      </c>
      <c r="C12" s="81">
        <f t="shared" si="0"/>
        <v>1098.55</v>
      </c>
      <c r="D12" s="82">
        <f>(C12-E12-F12-G12-H12-I12-J12-K12-L12-M12-N12)*0.805915</f>
        <v>685.9464930999999</v>
      </c>
      <c r="E12" s="76">
        <v>28.55</v>
      </c>
      <c r="F12" s="76">
        <v>0</v>
      </c>
      <c r="G12" s="76">
        <v>38.69</v>
      </c>
      <c r="H12" s="76">
        <v>0</v>
      </c>
      <c r="I12" s="76">
        <v>92.94</v>
      </c>
      <c r="J12" s="76">
        <v>0</v>
      </c>
      <c r="K12" s="76">
        <v>64.39</v>
      </c>
      <c r="L12" s="76">
        <v>0</v>
      </c>
      <c r="M12" s="76">
        <v>22.84</v>
      </c>
      <c r="N12" s="77">
        <v>0</v>
      </c>
      <c r="O12" s="78">
        <f t="shared" si="1"/>
        <v>247.41</v>
      </c>
      <c r="P12" s="79">
        <f t="shared" si="2"/>
        <v>0</v>
      </c>
      <c r="Q12" s="83">
        <v>16.46</v>
      </c>
      <c r="R12" s="83">
        <v>17.36</v>
      </c>
      <c r="S12" s="83">
        <v>53.68</v>
      </c>
      <c r="T12" s="83">
        <v>37.11</v>
      </c>
      <c r="U12" s="83">
        <v>13.16</v>
      </c>
      <c r="V12" s="75">
        <f t="shared" si="3"/>
        <v>137.77</v>
      </c>
      <c r="W12" s="84">
        <f t="shared" si="4"/>
        <v>823.7164930999999</v>
      </c>
      <c r="X12" s="84"/>
      <c r="Y12" s="18">
        <f t="shared" si="5"/>
        <v>76.2</v>
      </c>
      <c r="Z12" s="18">
        <f t="shared" si="6"/>
        <v>25.400000000000002</v>
      </c>
      <c r="AA12" s="18">
        <f t="shared" si="7"/>
        <v>127</v>
      </c>
      <c r="AB12" s="18">
        <v>0</v>
      </c>
      <c r="AC12" s="18">
        <f t="shared" si="8"/>
        <v>124.46</v>
      </c>
      <c r="AD12" s="18">
        <v>0</v>
      </c>
      <c r="AE12" s="18">
        <f t="shared" si="9"/>
        <v>285.75</v>
      </c>
      <c r="AF12" s="18">
        <v>0</v>
      </c>
      <c r="AG12" s="18"/>
      <c r="AH12" s="18"/>
      <c r="AI12" s="85"/>
      <c r="AJ12" s="85"/>
      <c r="AK12" s="66">
        <v>1304</v>
      </c>
      <c r="AL12" s="66"/>
      <c r="AM12" s="66"/>
      <c r="AN12" s="86">
        <v>248</v>
      </c>
      <c r="AO12" s="87">
        <v>0</v>
      </c>
      <c r="AP12" s="18">
        <f t="shared" si="10"/>
        <v>0</v>
      </c>
      <c r="AQ12" s="88"/>
      <c r="AR12" s="88">
        <f t="shared" si="11"/>
        <v>0</v>
      </c>
      <c r="AS12" s="88">
        <f t="shared" si="15"/>
        <v>1942.81</v>
      </c>
      <c r="AT12" s="89"/>
      <c r="AU12" s="114">
        <f t="shared" si="13"/>
        <v>1942.81</v>
      </c>
      <c r="AV12" s="115">
        <f t="shared" si="12"/>
        <v>-1119.0935069000002</v>
      </c>
      <c r="AW12" s="116">
        <f t="shared" si="14"/>
        <v>-109.63999999999999</v>
      </c>
    </row>
    <row r="13" spans="1:49" ht="12.75" hidden="1">
      <c r="A13" s="7" t="s">
        <v>39</v>
      </c>
      <c r="B13" s="75">
        <v>127</v>
      </c>
      <c r="C13" s="81">
        <f t="shared" si="0"/>
        <v>1098.55</v>
      </c>
      <c r="D13" s="82">
        <f>(C13-E13-F13-G13-H13-I13-J13-K13-L13-M13-N13)*0.857717</f>
        <v>730.0372473799998</v>
      </c>
      <c r="E13" s="76">
        <v>28.55</v>
      </c>
      <c r="F13" s="76">
        <v>0</v>
      </c>
      <c r="G13" s="76">
        <v>38.69</v>
      </c>
      <c r="H13" s="76">
        <v>0</v>
      </c>
      <c r="I13" s="76">
        <v>92.94</v>
      </c>
      <c r="J13" s="76">
        <v>0</v>
      </c>
      <c r="K13" s="76">
        <v>64.39</v>
      </c>
      <c r="L13" s="76">
        <v>0</v>
      </c>
      <c r="M13" s="76">
        <v>22.84</v>
      </c>
      <c r="N13" s="77">
        <v>0</v>
      </c>
      <c r="O13" s="78">
        <f t="shared" si="1"/>
        <v>247.41</v>
      </c>
      <c r="P13" s="79">
        <f t="shared" si="2"/>
        <v>0</v>
      </c>
      <c r="Q13" s="83">
        <v>21.4</v>
      </c>
      <c r="R13" s="83">
        <v>25.54</v>
      </c>
      <c r="S13" s="83">
        <v>69.75</v>
      </c>
      <c r="T13" s="83">
        <v>48.27</v>
      </c>
      <c r="U13" s="83">
        <v>17.12</v>
      </c>
      <c r="V13" s="75">
        <f t="shared" si="3"/>
        <v>182.08</v>
      </c>
      <c r="W13" s="84">
        <f t="shared" si="4"/>
        <v>912.1172473799999</v>
      </c>
      <c r="X13" s="84"/>
      <c r="Y13" s="18">
        <f t="shared" si="5"/>
        <v>76.2</v>
      </c>
      <c r="Z13" s="18">
        <f t="shared" si="6"/>
        <v>25.400000000000002</v>
      </c>
      <c r="AA13" s="18">
        <f t="shared" si="7"/>
        <v>127</v>
      </c>
      <c r="AB13" s="18">
        <v>0</v>
      </c>
      <c r="AC13" s="18">
        <f t="shared" si="8"/>
        <v>124.46</v>
      </c>
      <c r="AD13" s="18">
        <v>0</v>
      </c>
      <c r="AE13" s="18">
        <f t="shared" si="9"/>
        <v>285.75</v>
      </c>
      <c r="AF13" s="18">
        <v>0</v>
      </c>
      <c r="AG13" s="18"/>
      <c r="AH13" s="18"/>
      <c r="AI13" s="85"/>
      <c r="AJ13" s="85"/>
      <c r="AK13" s="66"/>
      <c r="AL13" s="66"/>
      <c r="AM13" s="66">
        <f>AL13*0.18</f>
        <v>0</v>
      </c>
      <c r="AN13" s="86">
        <v>293</v>
      </c>
      <c r="AO13" s="87">
        <v>0</v>
      </c>
      <c r="AP13" s="18">
        <f t="shared" si="10"/>
        <v>0</v>
      </c>
      <c r="AQ13" s="88"/>
      <c r="AR13" s="88">
        <f t="shared" si="11"/>
        <v>0</v>
      </c>
      <c r="AS13" s="88">
        <f t="shared" si="15"/>
        <v>638.81</v>
      </c>
      <c r="AT13" s="89"/>
      <c r="AU13" s="67">
        <f t="shared" si="13"/>
        <v>638.81</v>
      </c>
      <c r="AV13" s="100">
        <f t="shared" si="12"/>
        <v>273.3072473799999</v>
      </c>
      <c r="AW13" s="101">
        <f t="shared" si="14"/>
        <v>-65.32999999999998</v>
      </c>
    </row>
    <row r="14" spans="1:49" ht="13.5" hidden="1" thickBot="1">
      <c r="A14" s="102" t="s">
        <v>40</v>
      </c>
      <c r="B14" s="75">
        <v>127</v>
      </c>
      <c r="C14" s="81">
        <f t="shared" si="0"/>
        <v>1098.55</v>
      </c>
      <c r="D14" s="82">
        <f>(C14-E14-F14-G14-H14-I14-J14-K14-L14-M14-N14)*0.87553</f>
        <v>745.1986041999999</v>
      </c>
      <c r="E14" s="76">
        <v>28.55</v>
      </c>
      <c r="F14" s="76">
        <v>0</v>
      </c>
      <c r="G14" s="76">
        <v>38.69</v>
      </c>
      <c r="H14" s="76">
        <v>0</v>
      </c>
      <c r="I14" s="76">
        <v>92.94</v>
      </c>
      <c r="J14" s="76">
        <v>0</v>
      </c>
      <c r="K14" s="76">
        <v>64.39</v>
      </c>
      <c r="L14" s="76">
        <v>0</v>
      </c>
      <c r="M14" s="76">
        <v>22.84</v>
      </c>
      <c r="N14" s="77">
        <v>0</v>
      </c>
      <c r="O14" s="78">
        <f t="shared" si="1"/>
        <v>247.41</v>
      </c>
      <c r="P14" s="79">
        <f t="shared" si="2"/>
        <v>0</v>
      </c>
      <c r="Q14" s="83">
        <v>23.89</v>
      </c>
      <c r="R14" s="83">
        <v>30.11</v>
      </c>
      <c r="S14" s="83">
        <v>77.84</v>
      </c>
      <c r="T14" s="83">
        <v>53.89</v>
      </c>
      <c r="U14" s="83">
        <v>19.12</v>
      </c>
      <c r="V14" s="75">
        <f t="shared" si="3"/>
        <v>204.85000000000002</v>
      </c>
      <c r="W14" s="84">
        <f t="shared" si="4"/>
        <v>950.0486041999999</v>
      </c>
      <c r="X14" s="84"/>
      <c r="Y14" s="18">
        <f t="shared" si="5"/>
        <v>76.2</v>
      </c>
      <c r="Z14" s="18">
        <f t="shared" si="6"/>
        <v>25.400000000000002</v>
      </c>
      <c r="AA14" s="18">
        <f t="shared" si="7"/>
        <v>127</v>
      </c>
      <c r="AB14" s="18">
        <v>0</v>
      </c>
      <c r="AC14" s="18">
        <f t="shared" si="8"/>
        <v>124.46</v>
      </c>
      <c r="AD14" s="18">
        <v>0</v>
      </c>
      <c r="AE14" s="18">
        <f t="shared" si="9"/>
        <v>285.75</v>
      </c>
      <c r="AF14" s="18">
        <v>0</v>
      </c>
      <c r="AG14" s="18"/>
      <c r="AH14" s="18"/>
      <c r="AI14" s="85"/>
      <c r="AJ14" s="85"/>
      <c r="AK14" s="66"/>
      <c r="AL14" s="66"/>
      <c r="AM14" s="66"/>
      <c r="AN14" s="86">
        <v>349</v>
      </c>
      <c r="AO14" s="87">
        <v>0</v>
      </c>
      <c r="AP14" s="18">
        <f t="shared" si="10"/>
        <v>0</v>
      </c>
      <c r="AQ14" s="88"/>
      <c r="AR14" s="88">
        <f t="shared" si="11"/>
        <v>0</v>
      </c>
      <c r="AS14" s="88">
        <f t="shared" si="15"/>
        <v>638.81</v>
      </c>
      <c r="AT14" s="89"/>
      <c r="AU14" s="110">
        <f t="shared" si="13"/>
        <v>638.81</v>
      </c>
      <c r="AV14" s="111">
        <f t="shared" si="12"/>
        <v>311.23860419999994</v>
      </c>
      <c r="AW14" s="112">
        <f t="shared" si="14"/>
        <v>-42.559999999999974</v>
      </c>
    </row>
    <row r="15" spans="1:49" ht="12.75" hidden="1">
      <c r="A15" s="103" t="s">
        <v>32</v>
      </c>
      <c r="B15" s="75">
        <v>127</v>
      </c>
      <c r="C15" s="81">
        <f t="shared" si="0"/>
        <v>1098.55</v>
      </c>
      <c r="D15" s="82">
        <f>(C15-E15-F15-G15-H15-I15-J15-K15-L15-M15-N15)*0.811308</f>
        <v>690.5366911199999</v>
      </c>
      <c r="E15" s="76">
        <v>28.55</v>
      </c>
      <c r="F15" s="76">
        <v>0</v>
      </c>
      <c r="G15" s="76">
        <v>38.69</v>
      </c>
      <c r="H15" s="76">
        <v>0</v>
      </c>
      <c r="I15" s="76">
        <v>92.94</v>
      </c>
      <c r="J15" s="76">
        <v>0</v>
      </c>
      <c r="K15" s="76">
        <v>64.39</v>
      </c>
      <c r="L15" s="76">
        <v>0</v>
      </c>
      <c r="M15" s="76">
        <v>22.84</v>
      </c>
      <c r="N15" s="77">
        <v>0</v>
      </c>
      <c r="O15" s="78">
        <f t="shared" si="1"/>
        <v>247.41</v>
      </c>
      <c r="P15" s="79">
        <f t="shared" si="2"/>
        <v>0</v>
      </c>
      <c r="Q15" s="83">
        <v>25.26</v>
      </c>
      <c r="R15" s="83">
        <v>32.76</v>
      </c>
      <c r="S15" s="83">
        <v>82.25</v>
      </c>
      <c r="T15" s="83">
        <v>56.96</v>
      </c>
      <c r="U15" s="83">
        <v>20.21</v>
      </c>
      <c r="V15" s="75">
        <f t="shared" si="3"/>
        <v>217.44</v>
      </c>
      <c r="W15" s="84">
        <f t="shared" si="4"/>
        <v>907.9766911199999</v>
      </c>
      <c r="X15" s="84"/>
      <c r="Y15" s="18">
        <f t="shared" si="5"/>
        <v>76.2</v>
      </c>
      <c r="Z15" s="18">
        <f t="shared" si="6"/>
        <v>25.400000000000002</v>
      </c>
      <c r="AA15" s="18">
        <f t="shared" si="7"/>
        <v>127</v>
      </c>
      <c r="AB15" s="18">
        <v>0</v>
      </c>
      <c r="AC15" s="18">
        <f t="shared" si="8"/>
        <v>124.46</v>
      </c>
      <c r="AD15" s="18">
        <v>0</v>
      </c>
      <c r="AE15" s="18">
        <f t="shared" si="9"/>
        <v>285.75</v>
      </c>
      <c r="AF15" s="18">
        <v>0</v>
      </c>
      <c r="AG15" s="18"/>
      <c r="AH15" s="18"/>
      <c r="AI15" s="85"/>
      <c r="AJ15" s="85"/>
      <c r="AK15" s="66"/>
      <c r="AL15" s="66"/>
      <c r="AM15" s="66"/>
      <c r="AN15" s="86">
        <v>425</v>
      </c>
      <c r="AO15" s="87">
        <v>0</v>
      </c>
      <c r="AP15" s="18">
        <f t="shared" si="10"/>
        <v>0</v>
      </c>
      <c r="AQ15" s="88"/>
      <c r="AR15" s="88">
        <f t="shared" si="11"/>
        <v>0</v>
      </c>
      <c r="AS15" s="88">
        <f t="shared" si="15"/>
        <v>638.81</v>
      </c>
      <c r="AT15" s="89"/>
      <c r="AU15" s="52">
        <f t="shared" si="13"/>
        <v>638.81</v>
      </c>
      <c r="AV15" s="117">
        <f>(W15-AS15)+(X15-AT15)</f>
        <v>269.16669112</v>
      </c>
      <c r="AW15" s="118">
        <f t="shared" si="14"/>
        <v>-29.97</v>
      </c>
    </row>
    <row r="16" spans="1:49" ht="12.75" hidden="1">
      <c r="A16" s="7" t="s">
        <v>33</v>
      </c>
      <c r="B16" s="75">
        <v>127</v>
      </c>
      <c r="C16" s="81">
        <f t="shared" si="0"/>
        <v>1098.55</v>
      </c>
      <c r="D16" s="82">
        <f>(C16-E16-F16-G16-H16-I16-J16-K16-L16-M16-N16)*0.870679</f>
        <v>741.0697240599999</v>
      </c>
      <c r="E16" s="76">
        <v>28.55</v>
      </c>
      <c r="F16" s="76">
        <v>0</v>
      </c>
      <c r="G16" s="76">
        <v>38.69</v>
      </c>
      <c r="H16" s="76">
        <v>0</v>
      </c>
      <c r="I16" s="76">
        <v>92.94</v>
      </c>
      <c r="J16" s="76">
        <v>0</v>
      </c>
      <c r="K16" s="76">
        <v>64.39</v>
      </c>
      <c r="L16" s="76">
        <v>0</v>
      </c>
      <c r="M16" s="76">
        <v>22.84</v>
      </c>
      <c r="N16" s="77">
        <v>0</v>
      </c>
      <c r="O16" s="78">
        <f t="shared" si="1"/>
        <v>247.41</v>
      </c>
      <c r="P16" s="79">
        <f t="shared" si="2"/>
        <v>0</v>
      </c>
      <c r="Q16" s="83">
        <v>26.2</v>
      </c>
      <c r="R16" s="83">
        <v>34.55</v>
      </c>
      <c r="S16" s="83">
        <v>85.32</v>
      </c>
      <c r="T16" s="83">
        <v>59.09</v>
      </c>
      <c r="U16" s="83">
        <v>20.96</v>
      </c>
      <c r="V16" s="75">
        <f t="shared" si="3"/>
        <v>226.12</v>
      </c>
      <c r="W16" s="84">
        <f t="shared" si="4"/>
        <v>967.1897240599999</v>
      </c>
      <c r="X16" s="84"/>
      <c r="Y16" s="18">
        <f t="shared" si="5"/>
        <v>76.2</v>
      </c>
      <c r="Z16" s="18">
        <f t="shared" si="6"/>
        <v>25.400000000000002</v>
      </c>
      <c r="AA16" s="18">
        <f t="shared" si="7"/>
        <v>127</v>
      </c>
      <c r="AB16" s="18">
        <v>0</v>
      </c>
      <c r="AC16" s="18">
        <f t="shared" si="8"/>
        <v>124.46</v>
      </c>
      <c r="AD16" s="18">
        <v>0</v>
      </c>
      <c r="AE16" s="18">
        <f t="shared" si="9"/>
        <v>285.75</v>
      </c>
      <c r="AF16" s="18">
        <v>0</v>
      </c>
      <c r="AG16" s="18"/>
      <c r="AH16" s="18"/>
      <c r="AI16" s="85"/>
      <c r="AJ16" s="85"/>
      <c r="AK16" s="66"/>
      <c r="AL16" s="66"/>
      <c r="AM16" s="66"/>
      <c r="AN16" s="86">
        <v>470</v>
      </c>
      <c r="AO16" s="87">
        <v>0</v>
      </c>
      <c r="AP16" s="18">
        <f t="shared" si="10"/>
        <v>0</v>
      </c>
      <c r="AQ16" s="88"/>
      <c r="AR16" s="88">
        <f t="shared" si="11"/>
        <v>0</v>
      </c>
      <c r="AS16" s="88">
        <f t="shared" si="15"/>
        <v>638.81</v>
      </c>
      <c r="AT16" s="89"/>
      <c r="AU16" s="9">
        <f t="shared" si="13"/>
        <v>638.81</v>
      </c>
      <c r="AV16" s="119">
        <f>(W16-AS16)+(X16-AT16)</f>
        <v>328.37972405999994</v>
      </c>
      <c r="AW16" s="120">
        <f t="shared" si="14"/>
        <v>-21.289999999999992</v>
      </c>
    </row>
    <row r="17" spans="1:49" s="80" customFormat="1" ht="12.75" hidden="1">
      <c r="A17" s="74" t="s">
        <v>34</v>
      </c>
      <c r="B17" s="75">
        <v>127</v>
      </c>
      <c r="C17" s="81">
        <f t="shared" si="0"/>
        <v>1098.55</v>
      </c>
      <c r="D17" s="82">
        <f>(C17-E17-F17-G17-H17-I17-J17-K17-L17-M17-N17)*0.91496</f>
        <v>778.7590543999999</v>
      </c>
      <c r="E17" s="76">
        <v>28.55</v>
      </c>
      <c r="F17" s="76">
        <v>0</v>
      </c>
      <c r="G17" s="76">
        <v>38.69</v>
      </c>
      <c r="H17" s="76">
        <v>0</v>
      </c>
      <c r="I17" s="76">
        <v>92.94</v>
      </c>
      <c r="J17" s="76">
        <v>0</v>
      </c>
      <c r="K17" s="76">
        <v>64.39</v>
      </c>
      <c r="L17" s="76">
        <v>0</v>
      </c>
      <c r="M17" s="76">
        <v>22.84</v>
      </c>
      <c r="N17" s="77">
        <v>0</v>
      </c>
      <c r="O17" s="78">
        <f t="shared" si="1"/>
        <v>247.41</v>
      </c>
      <c r="P17" s="79">
        <f t="shared" si="2"/>
        <v>0</v>
      </c>
      <c r="Q17" s="83">
        <v>34.47</v>
      </c>
      <c r="R17" s="83">
        <v>45.9</v>
      </c>
      <c r="S17" s="83">
        <v>112.22</v>
      </c>
      <c r="T17" s="83">
        <v>77.73</v>
      </c>
      <c r="U17" s="83">
        <v>27.57</v>
      </c>
      <c r="V17" s="75">
        <f t="shared" si="3"/>
        <v>297.89</v>
      </c>
      <c r="W17" s="84">
        <f t="shared" si="4"/>
        <v>1076.6490543999998</v>
      </c>
      <c r="X17" s="84"/>
      <c r="Y17" s="18">
        <f t="shared" si="5"/>
        <v>76.2</v>
      </c>
      <c r="Z17" s="18">
        <f t="shared" si="6"/>
        <v>25.400000000000002</v>
      </c>
      <c r="AA17" s="18">
        <f t="shared" si="7"/>
        <v>127</v>
      </c>
      <c r="AB17" s="18">
        <v>0</v>
      </c>
      <c r="AC17" s="18">
        <f t="shared" si="8"/>
        <v>124.46</v>
      </c>
      <c r="AD17" s="18">
        <v>0</v>
      </c>
      <c r="AE17" s="18">
        <f t="shared" si="9"/>
        <v>285.75</v>
      </c>
      <c r="AF17" s="18">
        <v>0</v>
      </c>
      <c r="AG17" s="18"/>
      <c r="AH17" s="18"/>
      <c r="AI17" s="85"/>
      <c r="AJ17" s="85"/>
      <c r="AK17" s="66">
        <f>4817.25-0.25</f>
        <v>4817</v>
      </c>
      <c r="AL17" s="66"/>
      <c r="AM17" s="66"/>
      <c r="AN17" s="86">
        <v>514</v>
      </c>
      <c r="AO17" s="87">
        <v>0</v>
      </c>
      <c r="AP17" s="18">
        <f t="shared" si="10"/>
        <v>0</v>
      </c>
      <c r="AQ17" s="88"/>
      <c r="AR17" s="88">
        <f t="shared" si="11"/>
        <v>0</v>
      </c>
      <c r="AS17" s="88">
        <f t="shared" si="15"/>
        <v>5455.8099999999995</v>
      </c>
      <c r="AT17" s="89"/>
      <c r="AU17" s="9">
        <f t="shared" si="13"/>
        <v>5455.8099999999995</v>
      </c>
      <c r="AV17" s="121">
        <f>(W17-AS17)+(X17-AT17)</f>
        <v>-4379.1609456</v>
      </c>
      <c r="AW17" s="120">
        <f t="shared" si="14"/>
        <v>50.47999999999999</v>
      </c>
    </row>
    <row r="18" spans="1:49" s="17" customFormat="1" ht="12.75" hidden="1">
      <c r="A18" s="12" t="s">
        <v>3</v>
      </c>
      <c r="B18" s="13"/>
      <c r="C18" s="13">
        <f aca="true" t="shared" si="16" ref="C18:AW18">SUM(C9:C17)</f>
        <v>9886.949999999999</v>
      </c>
      <c r="D18" s="13">
        <f t="shared" si="16"/>
        <v>5273.233739259999</v>
      </c>
      <c r="E18" s="13">
        <f t="shared" si="16"/>
        <v>216.45000000000005</v>
      </c>
      <c r="F18" s="13">
        <f t="shared" si="16"/>
        <v>40.5</v>
      </c>
      <c r="G18" s="13">
        <f t="shared" si="16"/>
        <v>293.31</v>
      </c>
      <c r="H18" s="13">
        <f t="shared" si="16"/>
        <v>54.900000000000006</v>
      </c>
      <c r="I18" s="13">
        <f t="shared" si="16"/>
        <v>704.6100000000001</v>
      </c>
      <c r="J18" s="13">
        <f t="shared" si="16"/>
        <v>131.85000000000002</v>
      </c>
      <c r="K18" s="13">
        <f t="shared" si="16"/>
        <v>488.1599999999999</v>
      </c>
      <c r="L18" s="13">
        <f t="shared" si="16"/>
        <v>91.35</v>
      </c>
      <c r="M18" s="13">
        <f t="shared" si="16"/>
        <v>173.16</v>
      </c>
      <c r="N18" s="13">
        <f t="shared" si="16"/>
        <v>32.400000000000006</v>
      </c>
      <c r="O18" s="13">
        <f t="shared" si="16"/>
        <v>1875.6900000000003</v>
      </c>
      <c r="P18" s="13">
        <f t="shared" si="16"/>
        <v>351</v>
      </c>
      <c r="Q18" s="13">
        <f t="shared" si="16"/>
        <v>163.41</v>
      </c>
      <c r="R18" s="13">
        <f t="shared" si="16"/>
        <v>195.64000000000001</v>
      </c>
      <c r="S18" s="13">
        <f t="shared" si="16"/>
        <v>532.54</v>
      </c>
      <c r="T18" s="13">
        <f t="shared" si="16"/>
        <v>368.53000000000003</v>
      </c>
      <c r="U18" s="13">
        <f t="shared" si="16"/>
        <v>130.73000000000002</v>
      </c>
      <c r="V18" s="13">
        <f t="shared" si="16"/>
        <v>1390.85</v>
      </c>
      <c r="W18" s="13">
        <f t="shared" si="16"/>
        <v>7015.083739259999</v>
      </c>
      <c r="X18" s="13">
        <f t="shared" si="16"/>
        <v>0</v>
      </c>
      <c r="Y18" s="13">
        <f t="shared" si="16"/>
        <v>685.8000000000001</v>
      </c>
      <c r="Z18" s="13">
        <f t="shared" si="16"/>
        <v>228.60000000000002</v>
      </c>
      <c r="AA18" s="13">
        <f t="shared" si="16"/>
        <v>1143</v>
      </c>
      <c r="AB18" s="13">
        <f t="shared" si="16"/>
        <v>0</v>
      </c>
      <c r="AC18" s="13">
        <f t="shared" si="16"/>
        <v>1120.14</v>
      </c>
      <c r="AD18" s="13">
        <f t="shared" si="16"/>
        <v>0</v>
      </c>
      <c r="AE18" s="13">
        <f t="shared" si="16"/>
        <v>2571.75</v>
      </c>
      <c r="AF18" s="13">
        <f t="shared" si="16"/>
        <v>0</v>
      </c>
      <c r="AG18" s="13">
        <f t="shared" si="16"/>
        <v>0</v>
      </c>
      <c r="AH18" s="13">
        <f t="shared" si="16"/>
        <v>0</v>
      </c>
      <c r="AI18" s="105">
        <f t="shared" si="16"/>
        <v>0</v>
      </c>
      <c r="AJ18" s="105">
        <f t="shared" si="16"/>
        <v>0</v>
      </c>
      <c r="AK18" s="14">
        <f t="shared" si="16"/>
        <v>6121</v>
      </c>
      <c r="AL18" s="14">
        <f t="shared" si="16"/>
        <v>0</v>
      </c>
      <c r="AM18" s="14">
        <f t="shared" si="16"/>
        <v>0</v>
      </c>
      <c r="AN18" s="13">
        <f t="shared" si="16"/>
        <v>3102</v>
      </c>
      <c r="AO18" s="13">
        <f t="shared" si="16"/>
        <v>0</v>
      </c>
      <c r="AP18" s="13">
        <f t="shared" si="16"/>
        <v>0</v>
      </c>
      <c r="AQ18" s="13">
        <f t="shared" si="16"/>
        <v>0</v>
      </c>
      <c r="AR18" s="13">
        <f t="shared" si="16"/>
        <v>0</v>
      </c>
      <c r="AS18" s="13">
        <f t="shared" si="16"/>
        <v>11870.289999999997</v>
      </c>
      <c r="AT18" s="13">
        <f t="shared" si="16"/>
        <v>0</v>
      </c>
      <c r="AU18" s="13">
        <f t="shared" si="16"/>
        <v>11870.289999999997</v>
      </c>
      <c r="AV18" s="13">
        <f t="shared" si="16"/>
        <v>-4855.20626074</v>
      </c>
      <c r="AW18" s="106">
        <f t="shared" si="16"/>
        <v>-484.8399999999999</v>
      </c>
    </row>
    <row r="19" spans="1:49" s="17" customFormat="1" ht="12.75">
      <c r="A19" s="12"/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5"/>
      <c r="T19" s="15"/>
      <c r="U19" s="15"/>
      <c r="V19" s="15"/>
      <c r="W19" s="1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65"/>
      <c r="AI19" s="107"/>
      <c r="AJ19" s="107"/>
      <c r="AK19" s="65"/>
      <c r="AL19" s="65"/>
      <c r="AM19" s="65"/>
      <c r="AN19" s="16"/>
      <c r="AO19" s="16"/>
      <c r="AP19" s="108"/>
      <c r="AQ19" s="48"/>
      <c r="AR19" s="48"/>
      <c r="AS19" s="48"/>
      <c r="AT19" s="48"/>
      <c r="AU19" s="48"/>
      <c r="AV19" s="48"/>
      <c r="AW19" s="109"/>
    </row>
    <row r="20" spans="1:49" s="17" customFormat="1" ht="13.5" thickBot="1">
      <c r="A20" s="19" t="s">
        <v>41</v>
      </c>
      <c r="B20" s="20"/>
      <c r="C20" s="20">
        <f>C18</f>
        <v>9886.949999999999</v>
      </c>
      <c r="D20" s="20">
        <f aca="true" t="shared" si="17" ref="D20:AW20">D18</f>
        <v>5273.233739259999</v>
      </c>
      <c r="E20" s="20">
        <f t="shared" si="17"/>
        <v>216.45000000000005</v>
      </c>
      <c r="F20" s="20">
        <f t="shared" si="17"/>
        <v>40.5</v>
      </c>
      <c r="G20" s="20">
        <f t="shared" si="17"/>
        <v>293.31</v>
      </c>
      <c r="H20" s="20">
        <f t="shared" si="17"/>
        <v>54.900000000000006</v>
      </c>
      <c r="I20" s="20">
        <f t="shared" si="17"/>
        <v>704.6100000000001</v>
      </c>
      <c r="J20" s="20">
        <f t="shared" si="17"/>
        <v>131.85000000000002</v>
      </c>
      <c r="K20" s="20">
        <f t="shared" si="17"/>
        <v>488.1599999999999</v>
      </c>
      <c r="L20" s="20">
        <f t="shared" si="17"/>
        <v>91.35</v>
      </c>
      <c r="M20" s="20">
        <f t="shared" si="17"/>
        <v>173.16</v>
      </c>
      <c r="N20" s="20">
        <f t="shared" si="17"/>
        <v>32.400000000000006</v>
      </c>
      <c r="O20" s="20">
        <f t="shared" si="17"/>
        <v>1875.6900000000003</v>
      </c>
      <c r="P20" s="20">
        <f t="shared" si="17"/>
        <v>351</v>
      </c>
      <c r="Q20" s="20">
        <f t="shared" si="17"/>
        <v>163.41</v>
      </c>
      <c r="R20" s="20">
        <f t="shared" si="17"/>
        <v>195.64000000000001</v>
      </c>
      <c r="S20" s="20">
        <f t="shared" si="17"/>
        <v>532.54</v>
      </c>
      <c r="T20" s="20">
        <f t="shared" si="17"/>
        <v>368.53000000000003</v>
      </c>
      <c r="U20" s="20">
        <f t="shared" si="17"/>
        <v>130.73000000000002</v>
      </c>
      <c r="V20" s="20">
        <f t="shared" si="17"/>
        <v>1390.85</v>
      </c>
      <c r="W20" s="20">
        <f t="shared" si="17"/>
        <v>7015.083739259999</v>
      </c>
      <c r="X20" s="20">
        <f t="shared" si="17"/>
        <v>0</v>
      </c>
      <c r="Y20" s="20">
        <f t="shared" si="17"/>
        <v>685.8000000000001</v>
      </c>
      <c r="Z20" s="20">
        <f t="shared" si="17"/>
        <v>228.60000000000002</v>
      </c>
      <c r="AA20" s="20">
        <f t="shared" si="17"/>
        <v>1143</v>
      </c>
      <c r="AB20" s="20">
        <f t="shared" si="17"/>
        <v>0</v>
      </c>
      <c r="AC20" s="20">
        <f t="shared" si="17"/>
        <v>1120.14</v>
      </c>
      <c r="AD20" s="20">
        <f t="shared" si="17"/>
        <v>0</v>
      </c>
      <c r="AE20" s="20">
        <f t="shared" si="17"/>
        <v>2571.75</v>
      </c>
      <c r="AF20" s="20">
        <f t="shared" si="17"/>
        <v>0</v>
      </c>
      <c r="AG20" s="20">
        <f t="shared" si="17"/>
        <v>0</v>
      </c>
      <c r="AH20" s="20">
        <f t="shared" si="17"/>
        <v>0</v>
      </c>
      <c r="AI20" s="20">
        <f t="shared" si="17"/>
        <v>0</v>
      </c>
      <c r="AJ20" s="20">
        <f t="shared" si="17"/>
        <v>0</v>
      </c>
      <c r="AK20" s="20">
        <f t="shared" si="17"/>
        <v>6121</v>
      </c>
      <c r="AL20" s="20">
        <f t="shared" si="17"/>
        <v>0</v>
      </c>
      <c r="AM20" s="20">
        <f t="shared" si="17"/>
        <v>0</v>
      </c>
      <c r="AN20" s="20">
        <f t="shared" si="17"/>
        <v>3102</v>
      </c>
      <c r="AO20" s="20">
        <f t="shared" si="17"/>
        <v>0</v>
      </c>
      <c r="AP20" s="20">
        <f t="shared" si="17"/>
        <v>0</v>
      </c>
      <c r="AQ20" s="20">
        <f t="shared" si="17"/>
        <v>0</v>
      </c>
      <c r="AR20" s="20">
        <f t="shared" si="17"/>
        <v>0</v>
      </c>
      <c r="AS20" s="20">
        <f t="shared" si="17"/>
        <v>11870.289999999997</v>
      </c>
      <c r="AT20" s="20">
        <f t="shared" si="17"/>
        <v>0</v>
      </c>
      <c r="AU20" s="20">
        <f t="shared" si="17"/>
        <v>11870.289999999997</v>
      </c>
      <c r="AV20" s="20">
        <f t="shared" si="17"/>
        <v>-4855.20626074</v>
      </c>
      <c r="AW20" s="20">
        <f t="shared" si="17"/>
        <v>-484.8399999999999</v>
      </c>
    </row>
  </sheetData>
  <sheetProtection/>
  <mergeCells count="56">
    <mergeCell ref="AL5:AL6"/>
    <mergeCell ref="V5:V6"/>
    <mergeCell ref="W3:W6"/>
    <mergeCell ref="O3:P4"/>
    <mergeCell ref="Q3:V4"/>
    <mergeCell ref="AJ5:AJ6"/>
    <mergeCell ref="AK5:AK6"/>
    <mergeCell ref="AI5:AI6"/>
    <mergeCell ref="AE5:AE6"/>
    <mergeCell ref="AF5:AF6"/>
    <mergeCell ref="E5:E6"/>
    <mergeCell ref="F5:F6"/>
    <mergeCell ref="G5:G6"/>
    <mergeCell ref="H5:H6"/>
    <mergeCell ref="AG5:AG6"/>
    <mergeCell ref="AH5:AH6"/>
    <mergeCell ref="AC5:AC6"/>
    <mergeCell ref="AD5:AD6"/>
    <mergeCell ref="Y5:Y6"/>
    <mergeCell ref="Z5:Z6"/>
    <mergeCell ref="AA5:AA6"/>
    <mergeCell ref="AB5:AB6"/>
    <mergeCell ref="J5:J6"/>
    <mergeCell ref="K5:K6"/>
    <mergeCell ref="L5:L6"/>
    <mergeCell ref="O5:O6"/>
    <mergeCell ref="I5:I6"/>
    <mergeCell ref="A1:N1"/>
    <mergeCell ref="A3:A6"/>
    <mergeCell ref="B3:B6"/>
    <mergeCell ref="C3:C6"/>
    <mergeCell ref="D3:D6"/>
    <mergeCell ref="M5:M6"/>
    <mergeCell ref="N5:N6"/>
    <mergeCell ref="E3:F4"/>
    <mergeCell ref="G3:H4"/>
    <mergeCell ref="I3:J4"/>
    <mergeCell ref="K3:L4"/>
    <mergeCell ref="M3:N4"/>
    <mergeCell ref="X3:X6"/>
    <mergeCell ref="T5:T6"/>
    <mergeCell ref="U5:U6"/>
    <mergeCell ref="P5:P6"/>
    <mergeCell ref="Q5:Q6"/>
    <mergeCell ref="R5:R6"/>
    <mergeCell ref="S5:S6"/>
    <mergeCell ref="AV3:AV6"/>
    <mergeCell ref="AW3:AW6"/>
    <mergeCell ref="AT4:AT6"/>
    <mergeCell ref="AU4:AU6"/>
    <mergeCell ref="Y3:AS4"/>
    <mergeCell ref="AT3:AU3"/>
    <mergeCell ref="AN5:AP5"/>
    <mergeCell ref="AQ5:AQ6"/>
    <mergeCell ref="AR5:AR6"/>
    <mergeCell ref="AS5:A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3">
      <selection activeCell="C31" sqref="C31:D31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1" t="s">
        <v>42</v>
      </c>
    </row>
    <row r="2" ht="18.75">
      <c r="E2" s="21" t="s">
        <v>43</v>
      </c>
    </row>
    <row r="6" spans="1:16" ht="12.75">
      <c r="A6" s="197" t="s">
        <v>61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ht="12.75">
      <c r="A7" s="69" t="s">
        <v>76</v>
      </c>
      <c r="B7" s="69"/>
      <c r="C7" s="69"/>
      <c r="D7" s="69"/>
      <c r="E7" s="69"/>
      <c r="F7" s="69"/>
      <c r="G7" s="69"/>
      <c r="H7" s="68"/>
      <c r="I7" s="68"/>
      <c r="J7" s="68"/>
      <c r="K7" s="68"/>
      <c r="L7" s="68"/>
      <c r="M7" s="68"/>
      <c r="N7" s="68"/>
      <c r="O7" s="68"/>
      <c r="P7" s="68"/>
    </row>
    <row r="8" spans="1:16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5" ht="13.5" thickBot="1">
      <c r="A9" s="23" t="s">
        <v>44</v>
      </c>
      <c r="D9" s="4"/>
      <c r="E9" s="23">
        <v>8.65</v>
      </c>
    </row>
    <row r="10" spans="1:17" ht="12.75" customHeight="1">
      <c r="A10" s="198" t="s">
        <v>45</v>
      </c>
      <c r="B10" s="201" t="s">
        <v>0</v>
      </c>
      <c r="C10" s="204" t="s">
        <v>46</v>
      </c>
      <c r="D10" s="207" t="s">
        <v>2</v>
      </c>
      <c r="E10" s="210" t="s">
        <v>47</v>
      </c>
      <c r="F10" s="150"/>
      <c r="G10" s="215" t="s">
        <v>58</v>
      </c>
      <c r="H10" s="215"/>
      <c r="I10" s="225" t="s">
        <v>6</v>
      </c>
      <c r="J10" s="226"/>
      <c r="K10" s="226"/>
      <c r="L10" s="226"/>
      <c r="M10" s="226"/>
      <c r="N10" s="227"/>
      <c r="O10" s="228"/>
      <c r="P10" s="233" t="s">
        <v>48</v>
      </c>
      <c r="Q10" s="233" t="s">
        <v>8</v>
      </c>
    </row>
    <row r="11" spans="1:17" ht="12.75">
      <c r="A11" s="199"/>
      <c r="B11" s="202"/>
      <c r="C11" s="205"/>
      <c r="D11" s="208"/>
      <c r="E11" s="211"/>
      <c r="F11" s="212"/>
      <c r="G11" s="216"/>
      <c r="H11" s="216"/>
      <c r="I11" s="229"/>
      <c r="J11" s="230"/>
      <c r="K11" s="230"/>
      <c r="L11" s="230"/>
      <c r="M11" s="230"/>
      <c r="N11" s="231"/>
      <c r="O11" s="232"/>
      <c r="P11" s="234"/>
      <c r="Q11" s="234"/>
    </row>
    <row r="12" spans="1:17" ht="26.25" customHeight="1">
      <c r="A12" s="199"/>
      <c r="B12" s="202"/>
      <c r="C12" s="205"/>
      <c r="D12" s="208"/>
      <c r="E12" s="236" t="s">
        <v>49</v>
      </c>
      <c r="F12" s="155"/>
      <c r="G12" s="24" t="s">
        <v>50</v>
      </c>
      <c r="H12" s="237" t="s">
        <v>5</v>
      </c>
      <c r="I12" s="239" t="s">
        <v>51</v>
      </c>
      <c r="J12" s="213" t="s">
        <v>24</v>
      </c>
      <c r="K12" s="213" t="s">
        <v>52</v>
      </c>
      <c r="L12" s="213" t="s">
        <v>29</v>
      </c>
      <c r="M12" s="213" t="s">
        <v>53</v>
      </c>
      <c r="N12" s="214" t="s">
        <v>30</v>
      </c>
      <c r="O12" s="220" t="s">
        <v>31</v>
      </c>
      <c r="P12" s="234"/>
      <c r="Q12" s="234"/>
    </row>
    <row r="13" spans="1:17" ht="66.75" customHeight="1" thickBot="1">
      <c r="A13" s="200"/>
      <c r="B13" s="203"/>
      <c r="C13" s="206"/>
      <c r="D13" s="209"/>
      <c r="E13" s="25" t="s">
        <v>54</v>
      </c>
      <c r="F13" s="26" t="s">
        <v>15</v>
      </c>
      <c r="G13" s="27" t="s">
        <v>59</v>
      </c>
      <c r="H13" s="238"/>
      <c r="I13" s="240"/>
      <c r="J13" s="214"/>
      <c r="K13" s="214"/>
      <c r="L13" s="214"/>
      <c r="M13" s="214"/>
      <c r="N13" s="219"/>
      <c r="O13" s="221"/>
      <c r="P13" s="235"/>
      <c r="Q13" s="235"/>
    </row>
    <row r="14" spans="1:17" ht="13.5" thickBot="1">
      <c r="A14" s="28">
        <v>1</v>
      </c>
      <c r="B14" s="29">
        <v>2</v>
      </c>
      <c r="C14" s="30">
        <v>3</v>
      </c>
      <c r="D14" s="28">
        <v>4</v>
      </c>
      <c r="E14" s="29">
        <v>5</v>
      </c>
      <c r="F14" s="31">
        <v>6</v>
      </c>
      <c r="G14" s="32">
        <v>9</v>
      </c>
      <c r="H14" s="30">
        <v>11</v>
      </c>
      <c r="I14" s="28">
        <v>12</v>
      </c>
      <c r="J14" s="29">
        <v>13</v>
      </c>
      <c r="K14" s="29">
        <v>14</v>
      </c>
      <c r="L14" s="29">
        <v>15</v>
      </c>
      <c r="M14" s="29">
        <v>16</v>
      </c>
      <c r="N14" s="29">
        <v>17</v>
      </c>
      <c r="O14" s="31">
        <v>18</v>
      </c>
      <c r="P14" s="33">
        <v>19</v>
      </c>
      <c r="Q14" s="33">
        <v>20</v>
      </c>
    </row>
    <row r="15" spans="1:19" ht="12.75">
      <c r="A15" s="5" t="s">
        <v>75</v>
      </c>
      <c r="B15" s="61"/>
      <c r="C15" s="49"/>
      <c r="D15" s="50"/>
      <c r="E15" s="51"/>
      <c r="F15" s="52"/>
      <c r="G15" s="53"/>
      <c r="H15" s="53"/>
      <c r="I15" s="54"/>
      <c r="J15" s="51"/>
      <c r="K15" s="51"/>
      <c r="L15" s="62"/>
      <c r="M15" s="62"/>
      <c r="N15" s="63"/>
      <c r="O15" s="52"/>
      <c r="P15" s="64"/>
      <c r="Q15" s="64"/>
      <c r="R15" s="1"/>
      <c r="S15" s="1"/>
    </row>
    <row r="16" spans="1:19" ht="12.75">
      <c r="A16" s="7" t="s">
        <v>35</v>
      </c>
      <c r="B16" s="8">
        <f>Лист1!B9</f>
        <v>127</v>
      </c>
      <c r="C16" s="34">
        <f>Лист1!C9</f>
        <v>1098.55</v>
      </c>
      <c r="D16" s="35">
        <f>Лист1!D9</f>
        <v>109.855</v>
      </c>
      <c r="E16" s="9">
        <f>Лист1!O9</f>
        <v>0</v>
      </c>
      <c r="F16" s="11">
        <f>Лист1!P9</f>
        <v>0</v>
      </c>
      <c r="G16" s="36">
        <f>Лист1!V9</f>
        <v>0</v>
      </c>
      <c r="H16" s="36">
        <f>Лист1!W9</f>
        <v>109.855</v>
      </c>
      <c r="I16" s="37">
        <f>Лист1!Y9</f>
        <v>76.2</v>
      </c>
      <c r="J16" s="9">
        <f>Лист1!AA9+Лист1!AB9</f>
        <v>127</v>
      </c>
      <c r="K16" s="9">
        <f>Лист1!Z9+Лист1!AC9+Лист1!AD9+Лист1!AE9+Лист1!AF9+Лист1!AG9+Лист1!AH9+Лист1!AI9+Лист1!AJ9</f>
        <v>435.61</v>
      </c>
      <c r="L16" s="10">
        <f>Лист1!AK9+Лист1!AL9+Лист1!AM9</f>
        <v>0</v>
      </c>
      <c r="M16" s="10">
        <f>Лист1!AP9</f>
        <v>0</v>
      </c>
      <c r="N16" s="38">
        <f>Лист1!AQ9</f>
        <v>0</v>
      </c>
      <c r="O16" s="11">
        <f>Лист1!AS9</f>
        <v>638.81</v>
      </c>
      <c r="P16" s="39">
        <f>Лист1!AV9</f>
        <v>-528.9549999999999</v>
      </c>
      <c r="Q16" s="39">
        <f>Лист1!AW9</f>
        <v>0</v>
      </c>
      <c r="R16" s="1"/>
      <c r="S16" s="1"/>
    </row>
    <row r="17" spans="1:19" ht="12.75">
      <c r="A17" s="7" t="s">
        <v>36</v>
      </c>
      <c r="B17" s="8">
        <f>Лист1!B10</f>
        <v>127</v>
      </c>
      <c r="C17" s="34">
        <f>Лист1!C10</f>
        <v>1098.55</v>
      </c>
      <c r="D17" s="35">
        <f>Лист1!D10</f>
        <v>109.855</v>
      </c>
      <c r="E17" s="9">
        <f>Лист1!O10</f>
        <v>260.82</v>
      </c>
      <c r="F17" s="11">
        <f>Лист1!P10</f>
        <v>234</v>
      </c>
      <c r="G17" s="36">
        <f>Лист1!V10</f>
        <v>124.69999999999999</v>
      </c>
      <c r="H17" s="36">
        <f>Лист1!W10</f>
        <v>468.555</v>
      </c>
      <c r="I17" s="37">
        <f>Лист1!Y10</f>
        <v>76.2</v>
      </c>
      <c r="J17" s="9">
        <f>Лист1!AA10+Лист1!AB10</f>
        <v>127</v>
      </c>
      <c r="K17" s="9">
        <f>Лист1!Z10+Лист1!AC10+Лист1!AD10+Лист1!AE10+Лист1!AF10+Лист1!AG10+Лист1!AH10+Лист1!AI10+Лист1!AJ10</f>
        <v>435.61</v>
      </c>
      <c r="L17" s="10">
        <f>Лист1!AK10+Лист1!AL10+Лист1!AM10</f>
        <v>0</v>
      </c>
      <c r="M17" s="10">
        <f>Лист1!AP10</f>
        <v>0</v>
      </c>
      <c r="N17" s="38">
        <f>Лист1!AQ10</f>
        <v>0</v>
      </c>
      <c r="O17" s="11">
        <f>Лист1!AS10</f>
        <v>638.81</v>
      </c>
      <c r="P17" s="39">
        <f>Лист1!AV10</f>
        <v>-170.25499999999994</v>
      </c>
      <c r="Q17" s="39">
        <f>Лист1!AW10</f>
        <v>-136.12</v>
      </c>
      <c r="R17" s="1"/>
      <c r="S17" s="1"/>
    </row>
    <row r="18" spans="1:19" ht="12.75">
      <c r="A18" s="7" t="s">
        <v>37</v>
      </c>
      <c r="B18" s="8">
        <f>Лист1!B11</f>
        <v>127</v>
      </c>
      <c r="C18" s="34">
        <f>Лист1!C11</f>
        <v>1098.55</v>
      </c>
      <c r="D18" s="35">
        <f>Лист1!D11</f>
        <v>681.975925</v>
      </c>
      <c r="E18" s="9">
        <f>Лист1!O11</f>
        <v>130.41</v>
      </c>
      <c r="F18" s="11">
        <f>Лист1!P11</f>
        <v>117</v>
      </c>
      <c r="G18" s="36">
        <f>Лист1!V11</f>
        <v>0</v>
      </c>
      <c r="H18" s="36">
        <f>Лист1!W11</f>
        <v>798.975925</v>
      </c>
      <c r="I18" s="37">
        <f>Лист1!Y11</f>
        <v>76.2</v>
      </c>
      <c r="J18" s="9">
        <f>Лист1!AA11+Лист1!AB11</f>
        <v>127</v>
      </c>
      <c r="K18" s="9">
        <f>Лист1!Z11+Лист1!AC11+Лист1!AD11+Лист1!AE11+Лист1!AF11+Лист1!AG11+Лист1!AH11+Лист1!AI11+Лист1!AJ11</f>
        <v>435.61</v>
      </c>
      <c r="L18" s="10">
        <f>Лист1!AK11+Лист1!AL11+Лист1!AM11</f>
        <v>0</v>
      </c>
      <c r="M18" s="10">
        <f>Лист1!AP11</f>
        <v>0</v>
      </c>
      <c r="N18" s="38">
        <f>Лист1!AQ11</f>
        <v>0</v>
      </c>
      <c r="O18" s="11">
        <f>Лист1!AS11</f>
        <v>638.81</v>
      </c>
      <c r="P18" s="39">
        <f>Лист1!AV11</f>
        <v>160.16592500000002</v>
      </c>
      <c r="Q18" s="39">
        <f>Лист1!AW11</f>
        <v>-130.41</v>
      </c>
      <c r="R18" s="1"/>
      <c r="S18" s="1"/>
    </row>
    <row r="19" spans="1:19" ht="12.75">
      <c r="A19" s="7" t="s">
        <v>38</v>
      </c>
      <c r="B19" s="8">
        <f>Лист1!B12</f>
        <v>127</v>
      </c>
      <c r="C19" s="34">
        <f>Лист1!C12</f>
        <v>1098.55</v>
      </c>
      <c r="D19" s="35">
        <f>Лист1!D12</f>
        <v>685.9464930999999</v>
      </c>
      <c r="E19" s="9">
        <f>Лист1!O12</f>
        <v>247.41</v>
      </c>
      <c r="F19" s="11">
        <f>Лист1!P12</f>
        <v>0</v>
      </c>
      <c r="G19" s="36">
        <f>Лист1!V12</f>
        <v>137.77</v>
      </c>
      <c r="H19" s="36">
        <f>Лист1!W12</f>
        <v>823.7164930999999</v>
      </c>
      <c r="I19" s="37">
        <f>Лист1!Y12</f>
        <v>76.2</v>
      </c>
      <c r="J19" s="9">
        <f>Лист1!AA12+Лист1!AB12</f>
        <v>127</v>
      </c>
      <c r="K19" s="9">
        <f>Лист1!Z12+Лист1!AC12+Лист1!AD12+Лист1!AE12+Лист1!AF12+Лист1!AG12+Лист1!AH12+Лист1!AI12+Лист1!AJ12</f>
        <v>435.61</v>
      </c>
      <c r="L19" s="10">
        <f>Лист1!AK12+Лист1!AL12+Лист1!AM12</f>
        <v>1304</v>
      </c>
      <c r="M19" s="10">
        <f>Лист1!AP12</f>
        <v>0</v>
      </c>
      <c r="N19" s="38">
        <f>Лист1!AQ12</f>
        <v>0</v>
      </c>
      <c r="O19" s="11">
        <f>Лист1!AS12</f>
        <v>1942.81</v>
      </c>
      <c r="P19" s="39">
        <f>Лист1!AV12</f>
        <v>-1119.0935069000002</v>
      </c>
      <c r="Q19" s="39">
        <f>Лист1!AW12</f>
        <v>-109.63999999999999</v>
      </c>
      <c r="R19" s="1"/>
      <c r="S19" s="1"/>
    </row>
    <row r="20" spans="1:19" ht="12.75">
      <c r="A20" s="7" t="s">
        <v>39</v>
      </c>
      <c r="B20" s="8">
        <f>Лист1!B13</f>
        <v>127</v>
      </c>
      <c r="C20" s="34">
        <f>Лист1!C13</f>
        <v>1098.55</v>
      </c>
      <c r="D20" s="35">
        <f>Лист1!D13</f>
        <v>730.0372473799998</v>
      </c>
      <c r="E20" s="9">
        <f>Лист1!O13</f>
        <v>247.41</v>
      </c>
      <c r="F20" s="11">
        <f>Лист1!P13</f>
        <v>0</v>
      </c>
      <c r="G20" s="36">
        <f>Лист1!V13</f>
        <v>182.08</v>
      </c>
      <c r="H20" s="36">
        <f>Лист1!W13</f>
        <v>912.1172473799999</v>
      </c>
      <c r="I20" s="37">
        <f>Лист1!Y13</f>
        <v>76.2</v>
      </c>
      <c r="J20" s="9">
        <f>Лист1!AA13+Лист1!AB13</f>
        <v>127</v>
      </c>
      <c r="K20" s="9">
        <f>Лист1!Z13+Лист1!AC13+Лист1!AD13+Лист1!AE13+Лист1!AF13+Лист1!AG13+Лист1!AH13+Лист1!AI13+Лист1!AJ13</f>
        <v>435.61</v>
      </c>
      <c r="L20" s="10">
        <f>Лист1!AK13+Лист1!AL13+Лист1!AM13</f>
        <v>0</v>
      </c>
      <c r="M20" s="10">
        <f>Лист1!AP13</f>
        <v>0</v>
      </c>
      <c r="N20" s="38">
        <f>Лист1!AQ13</f>
        <v>0</v>
      </c>
      <c r="O20" s="11">
        <f>Лист1!AS13</f>
        <v>638.81</v>
      </c>
      <c r="P20" s="39">
        <f>Лист1!AV13</f>
        <v>273.3072473799999</v>
      </c>
      <c r="Q20" s="39">
        <f>Лист1!AW13</f>
        <v>-65.32999999999998</v>
      </c>
      <c r="R20" s="1"/>
      <c r="S20" s="1"/>
    </row>
    <row r="21" spans="1:19" ht="12.75">
      <c r="A21" s="7" t="s">
        <v>40</v>
      </c>
      <c r="B21" s="8">
        <f>Лист1!B14</f>
        <v>127</v>
      </c>
      <c r="C21" s="34">
        <f>Лист1!C14</f>
        <v>1098.55</v>
      </c>
      <c r="D21" s="35">
        <f>Лист1!D14</f>
        <v>745.1986041999999</v>
      </c>
      <c r="E21" s="9">
        <f>Лист1!O14</f>
        <v>247.41</v>
      </c>
      <c r="F21" s="11">
        <f>Лист1!P14</f>
        <v>0</v>
      </c>
      <c r="G21" s="36">
        <f>Лист1!V14</f>
        <v>204.85000000000002</v>
      </c>
      <c r="H21" s="36">
        <f>Лист1!W14</f>
        <v>950.0486041999999</v>
      </c>
      <c r="I21" s="37">
        <f>Лист1!Y14</f>
        <v>76.2</v>
      </c>
      <c r="J21" s="9">
        <f>Лист1!AA14+Лист1!AB14</f>
        <v>127</v>
      </c>
      <c r="K21" s="9">
        <f>Лист1!Z14+Лист1!AC14+Лист1!AD14+Лист1!AE14+Лист1!AF14+Лист1!AG14+Лист1!AH14+Лист1!AI14+Лист1!AJ14</f>
        <v>435.61</v>
      </c>
      <c r="L21" s="10">
        <f>Лист1!AK14+Лист1!AL14+Лист1!AM14</f>
        <v>0</v>
      </c>
      <c r="M21" s="10">
        <f>Лист1!AP14</f>
        <v>0</v>
      </c>
      <c r="N21" s="38">
        <f>Лист1!AQ14</f>
        <v>0</v>
      </c>
      <c r="O21" s="11">
        <f>Лист1!AS14</f>
        <v>638.81</v>
      </c>
      <c r="P21" s="39">
        <f>Лист1!AV14</f>
        <v>311.23860419999994</v>
      </c>
      <c r="Q21" s="39">
        <f>Лист1!AW14</f>
        <v>-42.559999999999974</v>
      </c>
      <c r="R21" s="1"/>
      <c r="S21" s="1"/>
    </row>
    <row r="22" spans="1:19" ht="12.75">
      <c r="A22" s="7" t="s">
        <v>32</v>
      </c>
      <c r="B22" s="8">
        <f>Лист1!B15</f>
        <v>127</v>
      </c>
      <c r="C22" s="34">
        <f>Лист1!C15</f>
        <v>1098.55</v>
      </c>
      <c r="D22" s="35">
        <f>Лист1!D15</f>
        <v>690.5366911199999</v>
      </c>
      <c r="E22" s="9">
        <f>Лист1!O15</f>
        <v>247.41</v>
      </c>
      <c r="F22" s="11">
        <f>Лист1!P15</f>
        <v>0</v>
      </c>
      <c r="G22" s="36">
        <f>Лист1!V15</f>
        <v>217.44</v>
      </c>
      <c r="H22" s="36">
        <f>Лист1!W15</f>
        <v>907.9766911199999</v>
      </c>
      <c r="I22" s="37">
        <f>Лист1!Y15</f>
        <v>76.2</v>
      </c>
      <c r="J22" s="9">
        <f>Лист1!AA15+Лист1!AB15</f>
        <v>127</v>
      </c>
      <c r="K22" s="9">
        <f>Лист1!Z15+Лист1!AC15+Лист1!AD15+Лист1!AE15+Лист1!AF15+Лист1!AG15+Лист1!AH15+Лист1!AI15+Лист1!AJ15</f>
        <v>435.61</v>
      </c>
      <c r="L22" s="10">
        <f>Лист1!AK15+Лист1!AL15+Лист1!AM15</f>
        <v>0</v>
      </c>
      <c r="M22" s="10">
        <f>Лист1!AP15</f>
        <v>0</v>
      </c>
      <c r="N22" s="38">
        <f>Лист1!AQ15</f>
        <v>0</v>
      </c>
      <c r="O22" s="11">
        <f>Лист1!AS15</f>
        <v>638.81</v>
      </c>
      <c r="P22" s="39">
        <f>Лист1!AV15</f>
        <v>269.16669112</v>
      </c>
      <c r="Q22" s="39">
        <f>Лист1!AW15</f>
        <v>-29.97</v>
      </c>
      <c r="R22" s="1"/>
      <c r="S22" s="1"/>
    </row>
    <row r="23" spans="1:19" ht="12.75">
      <c r="A23" s="7" t="s">
        <v>33</v>
      </c>
      <c r="B23" s="8">
        <f>Лист1!B16</f>
        <v>127</v>
      </c>
      <c r="C23" s="34">
        <f>Лист1!C16</f>
        <v>1098.55</v>
      </c>
      <c r="D23" s="35">
        <f>Лист1!D16</f>
        <v>741.0697240599999</v>
      </c>
      <c r="E23" s="9">
        <f>Лист1!O16</f>
        <v>247.41</v>
      </c>
      <c r="F23" s="11">
        <f>Лист1!P16</f>
        <v>0</v>
      </c>
      <c r="G23" s="36">
        <f>Лист1!V16</f>
        <v>226.12</v>
      </c>
      <c r="H23" s="36">
        <f>Лист1!W16</f>
        <v>967.1897240599999</v>
      </c>
      <c r="I23" s="37">
        <f>Лист1!Y16</f>
        <v>76.2</v>
      </c>
      <c r="J23" s="9">
        <f>Лист1!AA16+Лист1!AB16</f>
        <v>127</v>
      </c>
      <c r="K23" s="9">
        <f>Лист1!Z16+Лист1!AC16+Лист1!AD16+Лист1!AE16+Лист1!AF16+Лист1!AG16+Лист1!AH16+Лист1!AI16+Лист1!AJ16</f>
        <v>435.61</v>
      </c>
      <c r="L23" s="10">
        <f>Лист1!AK16+Лист1!AL16+Лист1!AM16</f>
        <v>0</v>
      </c>
      <c r="M23" s="10">
        <f>Лист1!AP16</f>
        <v>0</v>
      </c>
      <c r="N23" s="38">
        <f>Лист1!AQ16</f>
        <v>0</v>
      </c>
      <c r="O23" s="11">
        <f>Лист1!AS16</f>
        <v>638.81</v>
      </c>
      <c r="P23" s="39">
        <f>Лист1!AV16</f>
        <v>328.37972405999994</v>
      </c>
      <c r="Q23" s="39">
        <f>Лист1!AW16</f>
        <v>-21.289999999999992</v>
      </c>
      <c r="R23" s="1"/>
      <c r="S23" s="1"/>
    </row>
    <row r="24" spans="1:19" ht="13.5" thickBot="1">
      <c r="A24" s="40" t="s">
        <v>34</v>
      </c>
      <c r="B24" s="8">
        <f>Лист1!B17</f>
        <v>127</v>
      </c>
      <c r="C24" s="34">
        <f>Лист1!C17</f>
        <v>1098.55</v>
      </c>
      <c r="D24" s="35">
        <f>Лист1!D17</f>
        <v>778.7590543999999</v>
      </c>
      <c r="E24" s="9">
        <f>Лист1!O17</f>
        <v>247.41</v>
      </c>
      <c r="F24" s="11">
        <f>Лист1!P17</f>
        <v>0</v>
      </c>
      <c r="G24" s="36">
        <f>Лист1!V17</f>
        <v>297.89</v>
      </c>
      <c r="H24" s="36">
        <f>Лист1!W17</f>
        <v>1076.6490543999998</v>
      </c>
      <c r="I24" s="37">
        <f>Лист1!Y17</f>
        <v>76.2</v>
      </c>
      <c r="J24" s="9">
        <f>Лист1!AA17+Лист1!AB17</f>
        <v>127</v>
      </c>
      <c r="K24" s="9">
        <f>Лист1!Z17+Лист1!AC17+Лист1!AD17+Лист1!AE17+Лист1!AF17+Лист1!AG17+Лист1!AH17+Лист1!AI17+Лист1!AJ17</f>
        <v>435.61</v>
      </c>
      <c r="L24" s="10">
        <f>Лист1!AK17+Лист1!AL17+Лист1!AM17</f>
        <v>4817</v>
      </c>
      <c r="M24" s="10">
        <f>Лист1!AP17</f>
        <v>0</v>
      </c>
      <c r="N24" s="38">
        <f>Лист1!AQ17</f>
        <v>0</v>
      </c>
      <c r="O24" s="11">
        <f>Лист1!AS17</f>
        <v>5455.8099999999995</v>
      </c>
      <c r="P24" s="39">
        <f>Лист1!AV17</f>
        <v>-4379.1609456</v>
      </c>
      <c r="Q24" s="39">
        <f>Лист1!AW17</f>
        <v>50.47999999999999</v>
      </c>
      <c r="R24" s="1"/>
      <c r="S24" s="1"/>
    </row>
    <row r="25" spans="1:19" s="17" customFormat="1" ht="13.5" thickBot="1">
      <c r="A25" s="41" t="s">
        <v>3</v>
      </c>
      <c r="B25" s="42"/>
      <c r="C25" s="43">
        <f aca="true" t="shared" si="0" ref="C25:Q25">SUM(C16:C24)</f>
        <v>9886.949999999999</v>
      </c>
      <c r="D25" s="44">
        <f t="shared" si="0"/>
        <v>5273.233739259999</v>
      </c>
      <c r="E25" s="43">
        <f t="shared" si="0"/>
        <v>1875.6900000000003</v>
      </c>
      <c r="F25" s="45">
        <f t="shared" si="0"/>
        <v>351</v>
      </c>
      <c r="G25" s="46">
        <f t="shared" si="0"/>
        <v>1390.85</v>
      </c>
      <c r="H25" s="43">
        <f t="shared" si="0"/>
        <v>7015.083739259999</v>
      </c>
      <c r="I25" s="44">
        <f t="shared" si="0"/>
        <v>685.8000000000001</v>
      </c>
      <c r="J25" s="43">
        <f t="shared" si="0"/>
        <v>1143</v>
      </c>
      <c r="K25" s="43">
        <f t="shared" si="0"/>
        <v>3920.4900000000007</v>
      </c>
      <c r="L25" s="43">
        <f t="shared" si="0"/>
        <v>6121</v>
      </c>
      <c r="M25" s="43">
        <f t="shared" si="0"/>
        <v>0</v>
      </c>
      <c r="N25" s="43">
        <f t="shared" si="0"/>
        <v>0</v>
      </c>
      <c r="O25" s="45">
        <f t="shared" si="0"/>
        <v>11870.289999999997</v>
      </c>
      <c r="P25" s="47">
        <f t="shared" si="0"/>
        <v>-4855.20626074</v>
      </c>
      <c r="Q25" s="47">
        <f t="shared" si="0"/>
        <v>-484.8399999999999</v>
      </c>
      <c r="R25" s="48"/>
      <c r="S25" s="48"/>
    </row>
    <row r="26" spans="1:19" ht="13.5" thickBot="1">
      <c r="A26" s="217" t="s">
        <v>55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55"/>
      <c r="R26" s="1"/>
      <c r="S26" s="1"/>
    </row>
    <row r="27" spans="1:19" s="17" customFormat="1" ht="13.5" thickBot="1">
      <c r="A27" s="56" t="s">
        <v>41</v>
      </c>
      <c r="B27" s="57"/>
      <c r="C27" s="58">
        <f aca="true" t="shared" si="1" ref="C27:P27">C25</f>
        <v>9886.949999999999</v>
      </c>
      <c r="D27" s="58">
        <f t="shared" si="1"/>
        <v>5273.233739259999</v>
      </c>
      <c r="E27" s="58">
        <f t="shared" si="1"/>
        <v>1875.6900000000003</v>
      </c>
      <c r="F27" s="58">
        <f t="shared" si="1"/>
        <v>351</v>
      </c>
      <c r="G27" s="58">
        <f t="shared" si="1"/>
        <v>1390.85</v>
      </c>
      <c r="H27" s="58">
        <f t="shared" si="1"/>
        <v>7015.083739259999</v>
      </c>
      <c r="I27" s="58">
        <f t="shared" si="1"/>
        <v>685.8000000000001</v>
      </c>
      <c r="J27" s="58">
        <f t="shared" si="1"/>
        <v>1143</v>
      </c>
      <c r="K27" s="58">
        <f t="shared" si="1"/>
        <v>3920.4900000000007</v>
      </c>
      <c r="L27" s="58">
        <f t="shared" si="1"/>
        <v>6121</v>
      </c>
      <c r="M27" s="58">
        <f t="shared" si="1"/>
        <v>0</v>
      </c>
      <c r="N27" s="58">
        <f t="shared" si="1"/>
        <v>0</v>
      </c>
      <c r="O27" s="58">
        <f t="shared" si="1"/>
        <v>11870.289999999997</v>
      </c>
      <c r="P27" s="58">
        <f t="shared" si="1"/>
        <v>-4855.20626074</v>
      </c>
      <c r="Q27" s="58">
        <f>Q25</f>
        <v>-484.8399999999999</v>
      </c>
      <c r="R27" s="59"/>
      <c r="S27" s="48"/>
    </row>
    <row r="28" spans="1:19" ht="12.75">
      <c r="A28" s="60"/>
      <c r="R28" s="1"/>
      <c r="S28" s="1"/>
    </row>
    <row r="29" spans="1:19" ht="12.75">
      <c r="A29" s="17" t="s">
        <v>77</v>
      </c>
      <c r="B29" s="125"/>
      <c r="C29" s="125"/>
      <c r="D29" s="125" t="s">
        <v>78</v>
      </c>
      <c r="E29" s="125"/>
      <c r="F29" s="125"/>
      <c r="G29" s="125"/>
      <c r="H29" s="125"/>
      <c r="I29" s="125"/>
      <c r="J29" s="125"/>
      <c r="K29" s="125"/>
      <c r="R29" s="1"/>
      <c r="S29" s="1"/>
    </row>
    <row r="30" spans="1:19" ht="12.75">
      <c r="A30" s="126" t="s">
        <v>79</v>
      </c>
      <c r="B30" s="126" t="s">
        <v>80</v>
      </c>
      <c r="C30" s="222" t="s">
        <v>81</v>
      </c>
      <c r="D30" s="222"/>
      <c r="E30" s="125"/>
      <c r="F30" s="125"/>
      <c r="G30" s="125"/>
      <c r="H30" s="125"/>
      <c r="I30" s="125"/>
      <c r="J30" s="125"/>
      <c r="K30" s="125"/>
      <c r="R30" s="1"/>
      <c r="S30" s="1"/>
    </row>
    <row r="31" spans="1:11" ht="12.75">
      <c r="A31" s="127">
        <v>0</v>
      </c>
      <c r="B31" s="128">
        <v>0</v>
      </c>
      <c r="C31" s="223">
        <f>A31-B31</f>
        <v>0</v>
      </c>
      <c r="D31" s="224"/>
      <c r="E31" s="125"/>
      <c r="F31" s="125"/>
      <c r="G31" s="125"/>
      <c r="H31" s="125"/>
      <c r="I31" s="125"/>
      <c r="J31" s="125"/>
      <c r="K31" s="125"/>
    </row>
    <row r="32" spans="1:11" ht="12.75">
      <c r="A32" s="60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ht="12.75">
      <c r="A33" s="60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ht="12.75">
      <c r="A34" s="125" t="s">
        <v>56</v>
      </c>
      <c r="B34" s="125"/>
      <c r="C34" s="125"/>
      <c r="D34" s="125"/>
      <c r="E34" s="125"/>
      <c r="F34" s="125"/>
      <c r="G34" s="125" t="s">
        <v>57</v>
      </c>
      <c r="H34" s="125"/>
      <c r="I34" s="125"/>
      <c r="J34" s="125"/>
      <c r="K34" s="125"/>
    </row>
    <row r="35" spans="1:11" ht="12.75">
      <c r="A35" s="129"/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</sheetData>
  <sheetProtection/>
  <mergeCells count="22">
    <mergeCell ref="Q10:Q13"/>
    <mergeCell ref="E12:F12"/>
    <mergeCell ref="H12:H13"/>
    <mergeCell ref="I12:I13"/>
    <mergeCell ref="J12:J13"/>
    <mergeCell ref="K12:K13"/>
    <mergeCell ref="A26:P26"/>
    <mergeCell ref="M12:M13"/>
    <mergeCell ref="N12:N13"/>
    <mergeCell ref="O12:O13"/>
    <mergeCell ref="C30:D30"/>
    <mergeCell ref="C31:D31"/>
    <mergeCell ref="P10:P13"/>
    <mergeCell ref="A6:P6"/>
    <mergeCell ref="A10:A13"/>
    <mergeCell ref="B10:B13"/>
    <mergeCell ref="C10:C13"/>
    <mergeCell ref="D10:D13"/>
    <mergeCell ref="E10:F11"/>
    <mergeCell ref="L12:L13"/>
    <mergeCell ref="G10:H11"/>
    <mergeCell ref="I10:O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24" sqref="O24:AC24"/>
    </sheetView>
  </sheetViews>
  <sheetFormatPr defaultColWidth="9.00390625" defaultRowHeight="12.75"/>
  <cols>
    <col min="1" max="1" width="8.75390625" style="125" bestFit="1" customWidth="1"/>
    <col min="2" max="2" width="9.125" style="125" customWidth="1"/>
    <col min="3" max="3" width="10.125" style="125" customWidth="1"/>
    <col min="4" max="4" width="10.375" style="125" customWidth="1"/>
    <col min="5" max="5" width="11.125" style="125" customWidth="1"/>
    <col min="6" max="6" width="10.875" style="125" customWidth="1"/>
    <col min="7" max="8" width="12.125" style="125" customWidth="1"/>
    <col min="9" max="9" width="12.00390625" style="125" customWidth="1"/>
    <col min="10" max="10" width="11.125" style="125" customWidth="1"/>
    <col min="11" max="11" width="11.00390625" style="125" customWidth="1"/>
    <col min="12" max="12" width="12.375" style="125" customWidth="1"/>
    <col min="13" max="13" width="10.125" style="125" bestFit="1" customWidth="1"/>
    <col min="14" max="14" width="15.625" style="125" customWidth="1"/>
    <col min="15" max="15" width="16.375" style="125" customWidth="1"/>
    <col min="16" max="16" width="14.625" style="125" customWidth="1"/>
    <col min="17" max="17" width="11.625" style="125" customWidth="1"/>
    <col min="18" max="18" width="11.25390625" style="125" customWidth="1"/>
    <col min="19" max="19" width="10.625" style="125" customWidth="1"/>
    <col min="20" max="20" width="9.25390625" style="125" customWidth="1"/>
    <col min="21" max="22" width="11.375" style="125" customWidth="1"/>
    <col min="23" max="23" width="12.625" style="125" customWidth="1"/>
    <col min="24" max="24" width="9.25390625" style="125" bestFit="1" customWidth="1"/>
    <col min="25" max="25" width="11.625" style="125" customWidth="1"/>
    <col min="26" max="26" width="9.25390625" style="125" customWidth="1"/>
    <col min="27" max="27" width="10.625" style="125" customWidth="1"/>
    <col min="28" max="28" width="10.75390625" style="125" customWidth="1"/>
    <col min="29" max="29" width="12.125" style="125" customWidth="1"/>
    <col min="30" max="30" width="11.75390625" style="125" customWidth="1"/>
    <col min="31" max="32" width="10.375" style="125" customWidth="1"/>
    <col min="33" max="33" width="10.75390625" style="125" customWidth="1"/>
    <col min="34" max="34" width="9.125" style="125" customWidth="1"/>
    <col min="35" max="35" width="10.125" style="125" bestFit="1" customWidth="1"/>
    <col min="36" max="36" width="9.125" style="125" customWidth="1"/>
    <col min="37" max="37" width="9.75390625" style="125" bestFit="1" customWidth="1"/>
    <col min="38" max="16384" width="9.125" style="125" customWidth="1"/>
  </cols>
  <sheetData>
    <row r="1" spans="1:16" ht="21" customHeight="1">
      <c r="A1" s="165" t="s">
        <v>103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29"/>
    </row>
    <row r="2" spans="1:16" ht="15" customHeight="1">
      <c r="A2" s="129"/>
      <c r="B2" s="241"/>
      <c r="C2" s="242"/>
      <c r="D2" s="242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ht="13.5" thickBot="1"/>
    <row r="4" spans="1:29" ht="31.5" customHeight="1" thickBot="1">
      <c r="A4" s="198" t="s">
        <v>82</v>
      </c>
      <c r="B4" s="167" t="s">
        <v>0</v>
      </c>
      <c r="C4" s="169" t="s">
        <v>1</v>
      </c>
      <c r="D4" s="243" t="s">
        <v>2</v>
      </c>
      <c r="E4" s="149" t="s">
        <v>83</v>
      </c>
      <c r="F4" s="153"/>
      <c r="G4" s="150"/>
      <c r="H4" s="150" t="s">
        <v>84</v>
      </c>
      <c r="I4" s="244" t="s">
        <v>3</v>
      </c>
      <c r="J4" s="245" t="s">
        <v>4</v>
      </c>
      <c r="K4" s="246"/>
      <c r="L4" s="247"/>
      <c r="M4" s="248" t="s">
        <v>21</v>
      </c>
      <c r="N4" s="185" t="s">
        <v>85</v>
      </c>
      <c r="O4" s="137" t="s">
        <v>64</v>
      </c>
      <c r="P4" s="140" t="s">
        <v>6</v>
      </c>
      <c r="Q4" s="141"/>
      <c r="R4" s="141"/>
      <c r="S4" s="141"/>
      <c r="T4" s="141"/>
      <c r="U4" s="141"/>
      <c r="V4" s="141"/>
      <c r="W4" s="141"/>
      <c r="X4" s="141"/>
      <c r="Y4" s="142"/>
      <c r="Z4" s="146" t="s">
        <v>65</v>
      </c>
      <c r="AA4" s="147"/>
      <c r="AB4" s="131" t="s">
        <v>7</v>
      </c>
      <c r="AC4" s="131" t="s">
        <v>8</v>
      </c>
    </row>
    <row r="5" spans="1:29" ht="20.25" customHeight="1" thickBot="1">
      <c r="A5" s="199"/>
      <c r="B5" s="168"/>
      <c r="C5" s="170"/>
      <c r="D5" s="249"/>
      <c r="E5" s="151"/>
      <c r="F5" s="188"/>
      <c r="G5" s="152"/>
      <c r="H5" s="155"/>
      <c r="I5" s="250"/>
      <c r="J5" s="251"/>
      <c r="K5" s="252"/>
      <c r="L5" s="253"/>
      <c r="M5" s="254"/>
      <c r="N5" s="186"/>
      <c r="O5" s="138"/>
      <c r="P5" s="143"/>
      <c r="Q5" s="144"/>
      <c r="R5" s="144"/>
      <c r="S5" s="144"/>
      <c r="T5" s="144"/>
      <c r="U5" s="144"/>
      <c r="V5" s="144"/>
      <c r="W5" s="144"/>
      <c r="X5" s="144"/>
      <c r="Y5" s="145"/>
      <c r="Z5" s="134" t="s">
        <v>66</v>
      </c>
      <c r="AA5" s="137" t="s">
        <v>67</v>
      </c>
      <c r="AB5" s="132"/>
      <c r="AC5" s="132"/>
    </row>
    <row r="6" spans="1:29" ht="27" customHeight="1">
      <c r="A6" s="199"/>
      <c r="B6" s="168"/>
      <c r="C6" s="170"/>
      <c r="D6" s="249"/>
      <c r="E6" s="149" t="s">
        <v>86</v>
      </c>
      <c r="F6" s="244" t="s">
        <v>11</v>
      </c>
      <c r="G6" s="244" t="s">
        <v>13</v>
      </c>
      <c r="H6" s="155"/>
      <c r="I6" s="250"/>
      <c r="J6" s="166" t="s">
        <v>86</v>
      </c>
      <c r="K6" s="250" t="s">
        <v>11</v>
      </c>
      <c r="L6" s="154" t="s">
        <v>13</v>
      </c>
      <c r="M6" s="254"/>
      <c r="N6" s="186"/>
      <c r="O6" s="138"/>
      <c r="P6" s="255" t="s">
        <v>22</v>
      </c>
      <c r="Q6" s="256" t="s">
        <v>23</v>
      </c>
      <c r="R6" s="256" t="s">
        <v>86</v>
      </c>
      <c r="S6" s="257"/>
      <c r="T6" s="257"/>
      <c r="U6" s="258" t="s">
        <v>87</v>
      </c>
      <c r="V6" s="259" t="s">
        <v>88</v>
      </c>
      <c r="W6" s="260" t="s">
        <v>89</v>
      </c>
      <c r="X6" s="261" t="s">
        <v>30</v>
      </c>
      <c r="Y6" s="261" t="s">
        <v>25</v>
      </c>
      <c r="Z6" s="135"/>
      <c r="AA6" s="138"/>
      <c r="AB6" s="132"/>
      <c r="AC6" s="132"/>
    </row>
    <row r="7" spans="1:29" ht="26.25" customHeight="1" thickBot="1">
      <c r="A7" s="200"/>
      <c r="B7" s="168"/>
      <c r="C7" s="170"/>
      <c r="D7" s="249"/>
      <c r="E7" s="262"/>
      <c r="F7" s="250"/>
      <c r="G7" s="263"/>
      <c r="H7" s="212"/>
      <c r="I7" s="250"/>
      <c r="J7" s="262"/>
      <c r="K7" s="250"/>
      <c r="L7" s="154"/>
      <c r="M7" s="254"/>
      <c r="N7" s="186"/>
      <c r="O7" s="138"/>
      <c r="P7" s="264"/>
      <c r="Q7" s="265"/>
      <c r="R7" s="265"/>
      <c r="S7" s="266"/>
      <c r="T7" s="266"/>
      <c r="U7" s="267"/>
      <c r="V7" s="268"/>
      <c r="W7" s="269"/>
      <c r="X7" s="270"/>
      <c r="Y7" s="270"/>
      <c r="Z7" s="135"/>
      <c r="AA7" s="138"/>
      <c r="AB7" s="132"/>
      <c r="AC7" s="132"/>
    </row>
    <row r="8" spans="1:51" s="17" customFormat="1" ht="13.5" thickBot="1">
      <c r="A8" s="271" t="s">
        <v>41</v>
      </c>
      <c r="B8" s="20"/>
      <c r="C8" s="20">
        <f>Лист1!C20</f>
        <v>9886.949999999999</v>
      </c>
      <c r="D8" s="20">
        <f>Лист1!D20</f>
        <v>5273.233739259999</v>
      </c>
      <c r="E8" s="272">
        <f>Лист1!E20+Лист1!G20+Лист1!K20</f>
        <v>997.92</v>
      </c>
      <c r="F8" s="272">
        <f>Лист1!I20</f>
        <v>704.6100000000001</v>
      </c>
      <c r="G8" s="273">
        <f>Лист1!M20</f>
        <v>173.16</v>
      </c>
      <c r="H8" s="272">
        <f>Лист1!P20</f>
        <v>351</v>
      </c>
      <c r="I8" s="272">
        <f>Лист1!O20</f>
        <v>1875.6900000000003</v>
      </c>
      <c r="J8" s="272">
        <f>Лист1!Q20+Лист1!R20+Лист1!T20</f>
        <v>727.58</v>
      </c>
      <c r="K8" s="272">
        <f>Лист1!S20</f>
        <v>532.54</v>
      </c>
      <c r="L8" s="272">
        <f>Лист1!U20</f>
        <v>130.73000000000002</v>
      </c>
      <c r="M8" s="272">
        <f>Лист1!V20</f>
        <v>1390.85</v>
      </c>
      <c r="N8" s="272">
        <f>Лист1!W20</f>
        <v>7015.083739259999</v>
      </c>
      <c r="O8" s="272">
        <f>'[2]Лист1'!X44</f>
        <v>0</v>
      </c>
      <c r="P8" s="272">
        <f>Лист1!Y20</f>
        <v>685.8000000000001</v>
      </c>
      <c r="Q8" s="272">
        <f>Лист1!Z20</f>
        <v>228.60000000000002</v>
      </c>
      <c r="R8" s="274">
        <f>Лист1!AA20+Лист1!AC20+Лист1!AE20+Лист1!AG20+Лист1!AP20</f>
        <v>4834.89</v>
      </c>
      <c r="U8" s="274">
        <f>Лист1!AK20+Лист1!AM20</f>
        <v>6121</v>
      </c>
      <c r="V8" s="274">
        <f>Лист1!AL20</f>
        <v>0</v>
      </c>
      <c r="W8" s="274">
        <v>0</v>
      </c>
      <c r="X8" s="274">
        <v>0</v>
      </c>
      <c r="Y8" s="274">
        <v>0</v>
      </c>
      <c r="Z8" s="274">
        <f>'[3]Лист1'!$BC$39</f>
        <v>0</v>
      </c>
      <c r="AA8" s="20">
        <f>Лист1!AU20</f>
        <v>11870.289999999997</v>
      </c>
      <c r="AB8" s="20">
        <f>Лист1!AV20</f>
        <v>-4855.20626074</v>
      </c>
      <c r="AC8" s="20">
        <f>Лист1!AW20</f>
        <v>-484.8399999999999</v>
      </c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48"/>
    </row>
    <row r="9" spans="1:37" ht="12.75">
      <c r="A9" s="275" t="s">
        <v>90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369"/>
      <c r="AE9" s="369"/>
      <c r="AF9" s="369"/>
      <c r="AG9" s="369"/>
      <c r="AH9" s="129"/>
      <c r="AI9" s="129"/>
      <c r="AJ9" s="129"/>
      <c r="AK9" s="129"/>
    </row>
    <row r="10" spans="1:49" ht="12.75">
      <c r="A10" s="126" t="s">
        <v>91</v>
      </c>
      <c r="B10" s="75">
        <v>127</v>
      </c>
      <c r="C10" s="81">
        <f>B10*8.55*0.5</f>
        <v>542.9250000000001</v>
      </c>
      <c r="D10" s="82">
        <v>0</v>
      </c>
      <c r="E10" s="276">
        <v>660.58</v>
      </c>
      <c r="F10" s="276">
        <v>79.63</v>
      </c>
      <c r="G10" s="276">
        <v>27.6</v>
      </c>
      <c r="H10" s="277">
        <f>E10+F10+G10</f>
        <v>767.8100000000001</v>
      </c>
      <c r="I10" s="277"/>
      <c r="J10" s="83">
        <v>0</v>
      </c>
      <c r="K10" s="83">
        <v>103.93</v>
      </c>
      <c r="L10" s="278">
        <v>25.54</v>
      </c>
      <c r="M10" s="75">
        <f>SUM(J10:L10)</f>
        <v>129.47</v>
      </c>
      <c r="N10" s="279">
        <f>M10+D10</f>
        <v>129.47</v>
      </c>
      <c r="O10" s="279"/>
      <c r="P10" s="280">
        <f>0.67*B10</f>
        <v>85.09</v>
      </c>
      <c r="Q10" s="280">
        <f>B10*0.2</f>
        <v>25.400000000000002</v>
      </c>
      <c r="R10" s="280">
        <f>(4.23*B10)</f>
        <v>537.21</v>
      </c>
      <c r="S10" s="280"/>
      <c r="T10" s="280"/>
      <c r="U10" s="281"/>
      <c r="V10" s="281"/>
      <c r="W10" s="281"/>
      <c r="X10" s="282"/>
      <c r="Y10" s="283"/>
      <c r="Z10" s="283">
        <f aca="true" t="shared" si="0" ref="Z10:Z21">Y10*0.18</f>
        <v>0</v>
      </c>
      <c r="AA10" s="283">
        <f>SUM(P10:Z10)</f>
        <v>647.7</v>
      </c>
      <c r="AB10" s="284">
        <f>N10-AA10</f>
        <v>-518.23</v>
      </c>
      <c r="AC10" s="283">
        <f>M10-H10</f>
        <v>-638.34</v>
      </c>
      <c r="AD10" s="285"/>
      <c r="AE10" s="370"/>
      <c r="AF10" s="285"/>
      <c r="AG10" s="285"/>
      <c r="AH10" s="285"/>
      <c r="AI10" s="285"/>
      <c r="AJ10" s="280"/>
      <c r="AK10" s="280"/>
      <c r="AL10" s="280"/>
      <c r="AM10" s="241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</row>
    <row r="11" spans="1:50" ht="12.75">
      <c r="A11" s="126" t="s">
        <v>92</v>
      </c>
      <c r="B11" s="286">
        <v>127</v>
      </c>
      <c r="C11" s="81">
        <f>B11*8.55*0.5</f>
        <v>542.9250000000001</v>
      </c>
      <c r="D11" s="82">
        <v>0</v>
      </c>
      <c r="E11" s="287">
        <v>0</v>
      </c>
      <c r="F11" s="288">
        <v>79.63</v>
      </c>
      <c r="G11" s="289">
        <v>27.6</v>
      </c>
      <c r="H11" s="291">
        <f>E11+F11+G11</f>
        <v>107.22999999999999</v>
      </c>
      <c r="I11" s="291"/>
      <c r="J11" s="292">
        <v>79.33</v>
      </c>
      <c r="K11" s="288">
        <v>104</v>
      </c>
      <c r="L11" s="293">
        <v>29.44</v>
      </c>
      <c r="M11" s="294">
        <f>SUM(J11:L11)</f>
        <v>212.76999999999998</v>
      </c>
      <c r="N11" s="279">
        <f>M11+D11</f>
        <v>212.76999999999998</v>
      </c>
      <c r="O11" s="279"/>
      <c r="P11" s="280">
        <f>0.67*B11</f>
        <v>85.09</v>
      </c>
      <c r="Q11" s="280">
        <f>B11*0.2</f>
        <v>25.400000000000002</v>
      </c>
      <c r="R11" s="280">
        <f>(4.23*B11)</f>
        <v>537.21</v>
      </c>
      <c r="S11" s="295"/>
      <c r="T11" s="295"/>
      <c r="U11" s="281"/>
      <c r="V11" s="281"/>
      <c r="W11" s="281"/>
      <c r="X11" s="282"/>
      <c r="Y11" s="283"/>
      <c r="Z11" s="283">
        <f t="shared" si="0"/>
        <v>0</v>
      </c>
      <c r="AA11" s="283">
        <f>SUM(P11:Z11)</f>
        <v>647.7</v>
      </c>
      <c r="AB11" s="284">
        <f aca="true" t="shared" si="1" ref="AB11:AB21">N11-AA11</f>
        <v>-434.93000000000006</v>
      </c>
      <c r="AC11" s="283">
        <f aca="true" t="shared" si="2" ref="AC11:AC21">M11-H11</f>
        <v>105.53999999999999</v>
      </c>
      <c r="AD11" s="285"/>
      <c r="AE11" s="370"/>
      <c r="AF11" s="285"/>
      <c r="AG11" s="285"/>
      <c r="AH11" s="285"/>
      <c r="AI11" s="285"/>
      <c r="AJ11" s="280"/>
      <c r="AK11" s="241"/>
      <c r="AL11" s="241"/>
      <c r="AM11" s="241"/>
      <c r="AN11" s="241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</row>
    <row r="12" spans="1:40" ht="12.75">
      <c r="A12" s="126" t="s">
        <v>93</v>
      </c>
      <c r="B12" s="296">
        <v>127</v>
      </c>
      <c r="C12" s="81">
        <f>B12*8.55*0.5</f>
        <v>542.9250000000001</v>
      </c>
      <c r="D12" s="82">
        <v>0</v>
      </c>
      <c r="E12" s="287">
        <v>330.29</v>
      </c>
      <c r="F12" s="276">
        <v>79.63</v>
      </c>
      <c r="G12" s="276">
        <v>27.6</v>
      </c>
      <c r="H12" s="297">
        <f>E12+F12+G12</f>
        <v>437.52000000000004</v>
      </c>
      <c r="I12" s="290"/>
      <c r="J12" s="298">
        <v>319.08</v>
      </c>
      <c r="K12" s="298">
        <v>86.32</v>
      </c>
      <c r="L12" s="298">
        <v>27.67</v>
      </c>
      <c r="M12" s="75">
        <f>SUM(J12:L12)</f>
        <v>433.07</v>
      </c>
      <c r="N12" s="279">
        <f>M12+D12</f>
        <v>433.07</v>
      </c>
      <c r="O12" s="279"/>
      <c r="P12" s="280">
        <f>0.67*B12</f>
        <v>85.09</v>
      </c>
      <c r="Q12" s="280">
        <f>B12*0.2</f>
        <v>25.400000000000002</v>
      </c>
      <c r="R12" s="280">
        <f>(4.23*B12)</f>
        <v>537.21</v>
      </c>
      <c r="S12" s="295"/>
      <c r="T12" s="295"/>
      <c r="U12" s="281"/>
      <c r="V12" s="281"/>
      <c r="W12" s="281"/>
      <c r="X12" s="282"/>
      <c r="Y12" s="283"/>
      <c r="Z12" s="283">
        <f t="shared" si="0"/>
        <v>0</v>
      </c>
      <c r="AA12" s="283">
        <f>SUM(P12:Z12)</f>
        <v>647.7</v>
      </c>
      <c r="AB12" s="284">
        <f t="shared" si="1"/>
        <v>-214.63000000000005</v>
      </c>
      <c r="AC12" s="283">
        <f t="shared" si="2"/>
        <v>-4.4500000000000455</v>
      </c>
      <c r="AD12" s="285"/>
      <c r="AE12" s="370"/>
      <c r="AF12" s="285"/>
      <c r="AG12" s="285"/>
      <c r="AH12" s="285"/>
      <c r="AI12" s="285"/>
      <c r="AJ12" s="280"/>
      <c r="AK12" s="129"/>
      <c r="AL12" s="129"/>
      <c r="AM12" s="129"/>
      <c r="AN12" s="129"/>
    </row>
    <row r="13" spans="1:48" ht="12.75">
      <c r="A13" s="299" t="s">
        <v>35</v>
      </c>
      <c r="B13" s="75">
        <v>127</v>
      </c>
      <c r="C13" s="81">
        <f>B13*8.55</f>
        <v>1085.8500000000001</v>
      </c>
      <c r="D13" s="362">
        <v>0</v>
      </c>
      <c r="E13" s="287">
        <v>330.29</v>
      </c>
      <c r="F13" s="276">
        <v>79.63</v>
      </c>
      <c r="G13" s="276">
        <v>27.6</v>
      </c>
      <c r="H13" s="301">
        <f>E13+F13+G13</f>
        <v>437.52000000000004</v>
      </c>
      <c r="I13" s="366"/>
      <c r="J13" s="83">
        <v>114.1</v>
      </c>
      <c r="K13" s="83">
        <v>74.73</v>
      </c>
      <c r="L13" s="278">
        <v>23.95</v>
      </c>
      <c r="M13" s="302">
        <f>SUM(J13:L13)</f>
        <v>212.77999999999997</v>
      </c>
      <c r="N13" s="303">
        <f>M13+D13</f>
        <v>212.77999999999997</v>
      </c>
      <c r="O13" s="303"/>
      <c r="P13" s="304">
        <f>0.67*B13</f>
        <v>85.09</v>
      </c>
      <c r="Q13" s="304">
        <f>B13*0.2</f>
        <v>25.400000000000002</v>
      </c>
      <c r="R13" s="304">
        <f>(4.23*B13)</f>
        <v>537.21</v>
      </c>
      <c r="S13" s="304"/>
      <c r="T13" s="304"/>
      <c r="U13" s="305"/>
      <c r="V13" s="305"/>
      <c r="W13" s="305"/>
      <c r="X13" s="306"/>
      <c r="Y13" s="307"/>
      <c r="Z13" s="307">
        <f t="shared" si="0"/>
        <v>0</v>
      </c>
      <c r="AA13" s="307">
        <f>SUM(P13:Z13)</f>
        <v>647.7</v>
      </c>
      <c r="AB13" s="284">
        <f t="shared" si="1"/>
        <v>-434.9200000000001</v>
      </c>
      <c r="AC13" s="283">
        <f t="shared" si="2"/>
        <v>-224.74000000000007</v>
      </c>
      <c r="AD13" s="285"/>
      <c r="AE13" s="370"/>
      <c r="AF13" s="285"/>
      <c r="AG13" s="285"/>
      <c r="AH13" s="285"/>
      <c r="AI13" s="285"/>
      <c r="AJ13" s="280"/>
      <c r="AK13" s="241"/>
      <c r="AL13" s="241"/>
      <c r="AM13" s="241"/>
      <c r="AN13" s="241"/>
      <c r="AO13" s="129"/>
      <c r="AP13" s="129"/>
      <c r="AQ13" s="129"/>
      <c r="AR13" s="129"/>
      <c r="AS13" s="129"/>
      <c r="AT13" s="129"/>
      <c r="AU13" s="129"/>
      <c r="AV13" s="129"/>
    </row>
    <row r="14" spans="1:48" ht="12.75">
      <c r="A14" s="299" t="s">
        <v>36</v>
      </c>
      <c r="B14" s="75">
        <v>127</v>
      </c>
      <c r="C14" s="81">
        <f>B14*8.55*0.5</f>
        <v>542.9250000000001</v>
      </c>
      <c r="D14" s="362">
        <v>0</v>
      </c>
      <c r="E14" s="276">
        <v>660.59</v>
      </c>
      <c r="F14" s="276">
        <v>159.25</v>
      </c>
      <c r="G14" s="300">
        <v>55.2</v>
      </c>
      <c r="H14" s="308">
        <f>SUM(E14:G14)</f>
        <v>875.0400000000001</v>
      </c>
      <c r="I14" s="367"/>
      <c r="J14" s="83">
        <v>263.43</v>
      </c>
      <c r="K14" s="83">
        <v>74.71</v>
      </c>
      <c r="L14" s="278">
        <v>24.77</v>
      </c>
      <c r="M14" s="309">
        <f>SUM(J14:L14)</f>
        <v>362.90999999999997</v>
      </c>
      <c r="N14" s="310">
        <f>M14+D14</f>
        <v>362.90999999999997</v>
      </c>
      <c r="O14" s="303"/>
      <c r="P14" s="304">
        <f>0.67*B14</f>
        <v>85.09</v>
      </c>
      <c r="Q14" s="304">
        <f>B14*0.2</f>
        <v>25.400000000000002</v>
      </c>
      <c r="R14" s="304">
        <f>(4.23*B14)</f>
        <v>537.21</v>
      </c>
      <c r="S14" s="304"/>
      <c r="T14" s="304"/>
      <c r="U14" s="305"/>
      <c r="V14" s="305"/>
      <c r="W14" s="305"/>
      <c r="X14" s="306"/>
      <c r="Y14" s="307"/>
      <c r="Z14" s="307">
        <f t="shared" si="0"/>
        <v>0</v>
      </c>
      <c r="AA14" s="307">
        <f>SUM(P14:Z14)</f>
        <v>647.7</v>
      </c>
      <c r="AB14" s="284">
        <f t="shared" si="1"/>
        <v>-284.7900000000001</v>
      </c>
      <c r="AC14" s="283">
        <f t="shared" si="2"/>
        <v>-512.1300000000001</v>
      </c>
      <c r="AD14" s="285"/>
      <c r="AE14" s="370"/>
      <c r="AF14" s="285"/>
      <c r="AG14" s="285"/>
      <c r="AH14" s="285"/>
      <c r="AI14" s="285"/>
      <c r="AJ14" s="280"/>
      <c r="AK14" s="241"/>
      <c r="AL14" s="241"/>
      <c r="AM14" s="241"/>
      <c r="AN14" s="241"/>
      <c r="AO14" s="129"/>
      <c r="AP14" s="129"/>
      <c r="AQ14" s="129"/>
      <c r="AR14" s="129"/>
      <c r="AS14" s="129"/>
      <c r="AT14" s="129"/>
      <c r="AU14" s="129"/>
      <c r="AV14" s="129"/>
    </row>
    <row r="15" spans="1:48" ht="12.75">
      <c r="A15" s="299" t="s">
        <v>37</v>
      </c>
      <c r="B15" s="311">
        <f>127-63.9</f>
        <v>63.1</v>
      </c>
      <c r="C15" s="81">
        <f>B15*8.55</f>
        <v>539.5050000000001</v>
      </c>
      <c r="D15" s="312">
        <v>0</v>
      </c>
      <c r="E15" s="276">
        <v>660.58</v>
      </c>
      <c r="F15" s="276">
        <v>159.25</v>
      </c>
      <c r="G15" s="300">
        <v>55.21</v>
      </c>
      <c r="H15" s="313">
        <f>SUM(E15:G15)</f>
        <v>875.0400000000001</v>
      </c>
      <c r="I15" s="368"/>
      <c r="J15" s="314">
        <v>570.57</v>
      </c>
      <c r="K15" s="314">
        <v>101.29</v>
      </c>
      <c r="L15" s="315">
        <v>34.47</v>
      </c>
      <c r="M15" s="316">
        <v>706.33</v>
      </c>
      <c r="N15" s="303">
        <f>M15+D15</f>
        <v>706.33</v>
      </c>
      <c r="O15" s="303"/>
      <c r="P15" s="304">
        <f>0.67*B15</f>
        <v>42.277</v>
      </c>
      <c r="Q15" s="304">
        <f>B15*0.2</f>
        <v>12.620000000000001</v>
      </c>
      <c r="R15" s="304">
        <f>3.25*B15</f>
        <v>205.07500000000002</v>
      </c>
      <c r="S15" s="304"/>
      <c r="T15" s="304"/>
      <c r="U15" s="305"/>
      <c r="V15" s="305"/>
      <c r="W15" s="305"/>
      <c r="X15" s="305"/>
      <c r="Y15" s="304"/>
      <c r="Z15" s="307">
        <f t="shared" si="0"/>
        <v>0</v>
      </c>
      <c r="AA15" s="317">
        <f>SUM(P15:Z15)</f>
        <v>259.97200000000004</v>
      </c>
      <c r="AB15" s="284">
        <f t="shared" si="1"/>
        <v>446.358</v>
      </c>
      <c r="AC15" s="283">
        <f t="shared" si="2"/>
        <v>-168.71000000000004</v>
      </c>
      <c r="AD15" s="285"/>
      <c r="AE15" s="370"/>
      <c r="AF15" s="285"/>
      <c r="AG15" s="285"/>
      <c r="AH15" s="285"/>
      <c r="AI15" s="285"/>
      <c r="AJ15" s="280"/>
      <c r="AK15" s="241"/>
      <c r="AL15" s="241"/>
      <c r="AM15" s="241"/>
      <c r="AN15" s="241"/>
      <c r="AO15" s="129"/>
      <c r="AP15" s="129"/>
      <c r="AQ15" s="129"/>
      <c r="AR15" s="129"/>
      <c r="AS15" s="129"/>
      <c r="AT15" s="129"/>
      <c r="AU15" s="129"/>
      <c r="AV15" s="129"/>
    </row>
    <row r="16" spans="1:44" ht="12.75">
      <c r="A16" s="299" t="s">
        <v>38</v>
      </c>
      <c r="B16" s="363">
        <f>127-63.9</f>
        <v>63.1</v>
      </c>
      <c r="C16" s="364">
        <f>B16*8.55</f>
        <v>539.5050000000001</v>
      </c>
      <c r="D16" s="312">
        <v>0</v>
      </c>
      <c r="E16" s="318">
        <v>660.58</v>
      </c>
      <c r="F16" s="318">
        <v>159.25</v>
      </c>
      <c r="G16" s="319">
        <v>55.21</v>
      </c>
      <c r="H16" s="313">
        <f aca="true" t="shared" si="3" ref="H16:H21">SUM(E16:G16)</f>
        <v>875.0400000000001</v>
      </c>
      <c r="I16" s="368"/>
      <c r="J16" s="83">
        <v>634.07</v>
      </c>
      <c r="K16" s="83">
        <v>172.78</v>
      </c>
      <c r="L16" s="83">
        <v>59.33</v>
      </c>
      <c r="M16" s="320">
        <f>SUM(J16:L16)</f>
        <v>866.1800000000001</v>
      </c>
      <c r="N16" s="321">
        <f>M16+D16</f>
        <v>866.1800000000001</v>
      </c>
      <c r="O16" s="303"/>
      <c r="P16" s="304">
        <f>0.67*B16</f>
        <v>42.277</v>
      </c>
      <c r="Q16" s="304">
        <f>B16*0.2</f>
        <v>12.620000000000001</v>
      </c>
      <c r="R16" s="304">
        <f>3.25*B16</f>
        <v>205.07500000000002</v>
      </c>
      <c r="S16" s="304"/>
      <c r="T16" s="304"/>
      <c r="U16" s="305"/>
      <c r="V16" s="305"/>
      <c r="W16" s="305"/>
      <c r="X16" s="306"/>
      <c r="Y16" s="307"/>
      <c r="Z16" s="307">
        <f t="shared" si="0"/>
        <v>0</v>
      </c>
      <c r="AA16" s="307">
        <f>SUM(P16:Z16)</f>
        <v>259.97200000000004</v>
      </c>
      <c r="AB16" s="284">
        <f t="shared" si="1"/>
        <v>606.2080000000001</v>
      </c>
      <c r="AC16" s="283">
        <f t="shared" si="2"/>
        <v>-8.860000000000014</v>
      </c>
      <c r="AD16" s="285"/>
      <c r="AE16" s="370"/>
      <c r="AF16" s="285"/>
      <c r="AG16" s="285"/>
      <c r="AH16" s="285"/>
      <c r="AI16" s="285"/>
      <c r="AJ16" s="322"/>
      <c r="AK16" s="129"/>
      <c r="AL16" s="129"/>
      <c r="AM16" s="129"/>
      <c r="AN16" s="129"/>
      <c r="AO16" s="129"/>
      <c r="AP16" s="129"/>
      <c r="AQ16" s="129"/>
      <c r="AR16" s="129"/>
    </row>
    <row r="17" spans="1:43" ht="12.75">
      <c r="A17" s="299" t="s">
        <v>39</v>
      </c>
      <c r="B17" s="363">
        <f>127-63.9</f>
        <v>63.1</v>
      </c>
      <c r="C17" s="364">
        <f>B17*8.55</f>
        <v>539.5050000000001</v>
      </c>
      <c r="D17" s="312">
        <v>0</v>
      </c>
      <c r="E17" s="276">
        <v>-1334.94</v>
      </c>
      <c r="F17" s="276">
        <v>159.25</v>
      </c>
      <c r="G17" s="276">
        <v>55.21</v>
      </c>
      <c r="H17" s="313">
        <f t="shared" si="3"/>
        <v>-1120.48</v>
      </c>
      <c r="I17" s="368"/>
      <c r="J17" s="83">
        <v>151.89</v>
      </c>
      <c r="K17" s="83">
        <v>74.96</v>
      </c>
      <c r="L17" s="83">
        <v>25.86</v>
      </c>
      <c r="M17" s="320">
        <f>SUM(J17:L17)</f>
        <v>252.70999999999998</v>
      </c>
      <c r="N17" s="321">
        <f>M17+D17</f>
        <v>252.70999999999998</v>
      </c>
      <c r="O17" s="303"/>
      <c r="P17" s="304">
        <f>0.67*B17</f>
        <v>42.277</v>
      </c>
      <c r="Q17" s="304">
        <f>B17*0.2</f>
        <v>12.620000000000001</v>
      </c>
      <c r="R17" s="304">
        <f>3.25*B17</f>
        <v>205.07500000000002</v>
      </c>
      <c r="S17" s="304"/>
      <c r="T17" s="304"/>
      <c r="U17" s="305"/>
      <c r="V17" s="305"/>
      <c r="W17" s="305"/>
      <c r="X17" s="306"/>
      <c r="Y17" s="307"/>
      <c r="Z17" s="307">
        <f t="shared" si="0"/>
        <v>0</v>
      </c>
      <c r="AA17" s="307">
        <f>SUM(P17:Z17)</f>
        <v>259.97200000000004</v>
      </c>
      <c r="AB17" s="284">
        <f t="shared" si="1"/>
        <v>-7.262000000000057</v>
      </c>
      <c r="AC17" s="283">
        <f t="shared" si="2"/>
        <v>1373.19</v>
      </c>
      <c r="AD17" s="285"/>
      <c r="AE17" s="370"/>
      <c r="AF17" s="285"/>
      <c r="AG17" s="285"/>
      <c r="AH17" s="285"/>
      <c r="AI17" s="285"/>
      <c r="AJ17" s="129"/>
      <c r="AK17" s="129"/>
      <c r="AL17" s="129"/>
      <c r="AM17" s="129"/>
      <c r="AN17" s="129"/>
      <c r="AO17" s="129"/>
      <c r="AP17" s="129"/>
      <c r="AQ17" s="129"/>
    </row>
    <row r="18" spans="1:43" ht="12.75">
      <c r="A18" s="299" t="s">
        <v>40</v>
      </c>
      <c r="B18" s="365">
        <v>63.1</v>
      </c>
      <c r="C18" s="364">
        <f>B18*8.55</f>
        <v>539.5050000000001</v>
      </c>
      <c r="D18" s="312">
        <v>0</v>
      </c>
      <c r="E18" s="276">
        <v>327.99</v>
      </c>
      <c r="F18" s="276">
        <v>159.25</v>
      </c>
      <c r="G18" s="276">
        <v>55.21</v>
      </c>
      <c r="H18" s="313">
        <f t="shared" si="3"/>
        <v>542.45</v>
      </c>
      <c r="I18" s="368"/>
      <c r="J18" s="83">
        <v>277.53</v>
      </c>
      <c r="K18" s="83">
        <v>136.08</v>
      </c>
      <c r="L18" s="83">
        <v>47.04</v>
      </c>
      <c r="M18" s="323">
        <f>SUM(J18:L18)</f>
        <v>460.65000000000003</v>
      </c>
      <c r="N18" s="321">
        <f>M18+D18</f>
        <v>460.65000000000003</v>
      </c>
      <c r="O18" s="303"/>
      <c r="P18" s="304">
        <f>0.67*B18</f>
        <v>42.277</v>
      </c>
      <c r="Q18" s="304">
        <f>B18*0.2</f>
        <v>12.620000000000001</v>
      </c>
      <c r="R18" s="304">
        <f>3.25*B18</f>
        <v>205.07500000000002</v>
      </c>
      <c r="S18" s="304"/>
      <c r="T18" s="304"/>
      <c r="U18" s="305"/>
      <c r="V18" s="305"/>
      <c r="W18" s="305"/>
      <c r="X18" s="306"/>
      <c r="Y18" s="307"/>
      <c r="Z18" s="307">
        <f t="shared" si="0"/>
        <v>0</v>
      </c>
      <c r="AA18" s="307">
        <f>SUM(P18:Z18)</f>
        <v>259.97200000000004</v>
      </c>
      <c r="AB18" s="284">
        <f t="shared" si="1"/>
        <v>200.678</v>
      </c>
      <c r="AC18" s="283">
        <f t="shared" si="2"/>
        <v>-81.80000000000001</v>
      </c>
      <c r="AD18" s="285"/>
      <c r="AE18" s="370"/>
      <c r="AF18" s="285"/>
      <c r="AG18" s="285"/>
      <c r="AH18" s="285"/>
      <c r="AI18" s="285"/>
      <c r="AJ18" s="129"/>
      <c r="AK18" s="129"/>
      <c r="AL18" s="129"/>
      <c r="AM18" s="129"/>
      <c r="AN18" s="129"/>
      <c r="AO18" s="129"/>
      <c r="AP18" s="129"/>
      <c r="AQ18" s="129"/>
    </row>
    <row r="19" spans="1:43" ht="12.75">
      <c r="A19" s="299" t="s">
        <v>32</v>
      </c>
      <c r="B19" s="365">
        <v>63.1</v>
      </c>
      <c r="C19" s="364">
        <f>B19*8.55</f>
        <v>539.5050000000001</v>
      </c>
      <c r="D19" s="312">
        <v>0</v>
      </c>
      <c r="E19" s="276">
        <v>327.99</v>
      </c>
      <c r="F19" s="276">
        <v>159.25</v>
      </c>
      <c r="G19" s="289">
        <v>55.21</v>
      </c>
      <c r="H19" s="313">
        <f t="shared" si="3"/>
        <v>542.45</v>
      </c>
      <c r="I19" s="368"/>
      <c r="J19" s="298">
        <v>309.05</v>
      </c>
      <c r="K19" s="298">
        <v>150.97</v>
      </c>
      <c r="L19" s="296">
        <v>52.25</v>
      </c>
      <c r="M19" s="323">
        <f>SUM(J19:L19)</f>
        <v>512.27</v>
      </c>
      <c r="N19" s="321">
        <f>M19+D19</f>
        <v>512.27</v>
      </c>
      <c r="O19" s="303"/>
      <c r="P19" s="304">
        <f>0.67*B19</f>
        <v>42.277</v>
      </c>
      <c r="Q19" s="304">
        <f>B19*0.2</f>
        <v>12.620000000000001</v>
      </c>
      <c r="R19" s="304">
        <f>3.25*B19</f>
        <v>205.07500000000002</v>
      </c>
      <c r="S19" s="304"/>
      <c r="T19" s="304"/>
      <c r="U19" s="305"/>
      <c r="V19" s="305"/>
      <c r="W19" s="305"/>
      <c r="X19" s="306"/>
      <c r="Y19" s="307"/>
      <c r="Z19" s="307">
        <f t="shared" si="0"/>
        <v>0</v>
      </c>
      <c r="AA19" s="307">
        <f>SUM(P19:Z19)</f>
        <v>259.97200000000004</v>
      </c>
      <c r="AB19" s="284">
        <f t="shared" si="1"/>
        <v>252.29799999999994</v>
      </c>
      <c r="AC19" s="283">
        <f t="shared" si="2"/>
        <v>-30.180000000000064</v>
      </c>
      <c r="AD19" s="285"/>
      <c r="AE19" s="370"/>
      <c r="AF19" s="285"/>
      <c r="AG19" s="285"/>
      <c r="AH19" s="285"/>
      <c r="AI19" s="285"/>
      <c r="AJ19" s="129"/>
      <c r="AK19" s="129"/>
      <c r="AL19" s="129"/>
      <c r="AM19" s="129"/>
      <c r="AN19" s="129"/>
      <c r="AO19" s="129"/>
      <c r="AP19" s="129"/>
      <c r="AQ19" s="129"/>
    </row>
    <row r="20" spans="1:43" ht="12.75">
      <c r="A20" s="126" t="s">
        <v>33</v>
      </c>
      <c r="B20" s="365">
        <v>63.1</v>
      </c>
      <c r="C20" s="364">
        <f>B20*8.55</f>
        <v>539.5050000000001</v>
      </c>
      <c r="D20" s="312">
        <v>0</v>
      </c>
      <c r="E20" s="276">
        <v>327.99</v>
      </c>
      <c r="F20" s="276">
        <v>159.25</v>
      </c>
      <c r="G20" s="276">
        <v>55.21</v>
      </c>
      <c r="H20" s="313">
        <f t="shared" si="3"/>
        <v>542.45</v>
      </c>
      <c r="I20" s="368"/>
      <c r="J20" s="298">
        <v>357.51</v>
      </c>
      <c r="K20" s="298">
        <v>174.25</v>
      </c>
      <c r="L20" s="298">
        <v>60.34</v>
      </c>
      <c r="M20" s="323">
        <f>SUM(J20:L20)</f>
        <v>592.1</v>
      </c>
      <c r="N20" s="321">
        <f>M20+D20</f>
        <v>592.1</v>
      </c>
      <c r="O20" s="303"/>
      <c r="P20" s="304">
        <f>0.67*B20</f>
        <v>42.277</v>
      </c>
      <c r="Q20" s="304">
        <f>B20*0.2</f>
        <v>12.620000000000001</v>
      </c>
      <c r="R20" s="304">
        <f>3.25*B20</f>
        <v>205.07500000000002</v>
      </c>
      <c r="S20" s="304"/>
      <c r="T20" s="304"/>
      <c r="U20" s="305"/>
      <c r="V20" s="305"/>
      <c r="W20" s="305"/>
      <c r="X20" s="306"/>
      <c r="Y20" s="307"/>
      <c r="Z20" s="307">
        <f t="shared" si="0"/>
        <v>0</v>
      </c>
      <c r="AA20" s="307">
        <f>SUM(P20:Z20)</f>
        <v>259.97200000000004</v>
      </c>
      <c r="AB20" s="284">
        <f t="shared" si="1"/>
        <v>332.128</v>
      </c>
      <c r="AC20" s="283">
        <f t="shared" si="2"/>
        <v>49.64999999999998</v>
      </c>
      <c r="AD20" s="285"/>
      <c r="AE20" s="370"/>
      <c r="AF20" s="285"/>
      <c r="AG20" s="285"/>
      <c r="AH20" s="285"/>
      <c r="AI20" s="285"/>
      <c r="AJ20" s="129"/>
      <c r="AK20" s="129"/>
      <c r="AL20" s="129"/>
      <c r="AM20" s="129"/>
      <c r="AN20" s="129"/>
      <c r="AO20" s="129"/>
      <c r="AP20" s="129"/>
      <c r="AQ20" s="129"/>
    </row>
    <row r="21" spans="1:43" ht="13.5" thickBot="1">
      <c r="A21" s="324" t="s">
        <v>34</v>
      </c>
      <c r="B21" s="365">
        <v>63.1</v>
      </c>
      <c r="C21" s="364">
        <f>B21*8.55</f>
        <v>539.5050000000001</v>
      </c>
      <c r="D21" s="312">
        <v>0</v>
      </c>
      <c r="E21" s="318">
        <v>327.99</v>
      </c>
      <c r="F21" s="318">
        <v>159.25</v>
      </c>
      <c r="G21" s="318">
        <v>55.21</v>
      </c>
      <c r="H21" s="313">
        <f t="shared" si="3"/>
        <v>542.45</v>
      </c>
      <c r="I21" s="368"/>
      <c r="J21" s="314">
        <v>348.05</v>
      </c>
      <c r="K21" s="314">
        <v>169.4</v>
      </c>
      <c r="L21" s="311">
        <v>58.69</v>
      </c>
      <c r="M21" s="323">
        <f>SUM(J21:L21)</f>
        <v>576.1400000000001</v>
      </c>
      <c r="N21" s="321">
        <f>M21+D21</f>
        <v>576.1400000000001</v>
      </c>
      <c r="O21" s="303"/>
      <c r="P21" s="304">
        <f>0.67*B21</f>
        <v>42.277</v>
      </c>
      <c r="Q21" s="304">
        <f>B21*0.2</f>
        <v>12.620000000000001</v>
      </c>
      <c r="R21" s="304">
        <f>3.25*B21</f>
        <v>205.07500000000002</v>
      </c>
      <c r="S21" s="325"/>
      <c r="T21" s="325"/>
      <c r="U21" s="305"/>
      <c r="V21" s="305"/>
      <c r="W21" s="326">
        <f>36</f>
        <v>36</v>
      </c>
      <c r="X21" s="327"/>
      <c r="Y21" s="307"/>
      <c r="Z21" s="307">
        <f t="shared" si="0"/>
        <v>0</v>
      </c>
      <c r="AA21" s="307">
        <f>SUM(P21:Z21)</f>
        <v>295.97200000000004</v>
      </c>
      <c r="AB21" s="284">
        <f t="shared" si="1"/>
        <v>280.16800000000006</v>
      </c>
      <c r="AC21" s="283">
        <f t="shared" si="2"/>
        <v>33.690000000000055</v>
      </c>
      <c r="AD21" s="285"/>
      <c r="AE21" s="370"/>
      <c r="AF21" s="285"/>
      <c r="AG21" s="285"/>
      <c r="AH21" s="285"/>
      <c r="AI21" s="285"/>
      <c r="AJ21" s="129"/>
      <c r="AK21" s="129"/>
      <c r="AL21" s="129"/>
      <c r="AM21" s="129"/>
      <c r="AN21" s="129"/>
      <c r="AO21" s="129"/>
      <c r="AP21" s="129"/>
      <c r="AQ21" s="129"/>
    </row>
    <row r="22" spans="1:37" s="17" customFormat="1" ht="13.5" thickBot="1">
      <c r="A22" s="328" t="s">
        <v>3</v>
      </c>
      <c r="B22" s="329"/>
      <c r="C22" s="329"/>
      <c r="D22" s="330">
        <f aca="true" t="shared" si="4" ref="D22:AB22">SUM(D10:D21)</f>
        <v>0</v>
      </c>
      <c r="E22" s="330">
        <f t="shared" si="4"/>
        <v>3279.9299999999994</v>
      </c>
      <c r="F22" s="330">
        <f t="shared" si="4"/>
        <v>1592.52</v>
      </c>
      <c r="G22" s="330">
        <f t="shared" si="4"/>
        <v>552.0699999999999</v>
      </c>
      <c r="H22" s="330">
        <f t="shared" si="4"/>
        <v>5424.52</v>
      </c>
      <c r="I22" s="330">
        <f t="shared" si="4"/>
        <v>0</v>
      </c>
      <c r="J22" s="330">
        <f t="shared" si="4"/>
        <v>3424.6100000000006</v>
      </c>
      <c r="K22" s="330">
        <f t="shared" si="4"/>
        <v>1423.42</v>
      </c>
      <c r="L22" s="330">
        <f t="shared" si="4"/>
        <v>469.3500000000001</v>
      </c>
      <c r="M22" s="330">
        <f t="shared" si="4"/>
        <v>5317.380000000001</v>
      </c>
      <c r="N22" s="330">
        <f t="shared" si="4"/>
        <v>5317.380000000001</v>
      </c>
      <c r="O22" s="330">
        <f t="shared" si="4"/>
        <v>0</v>
      </c>
      <c r="P22" s="330">
        <f t="shared" si="4"/>
        <v>721.3890000000002</v>
      </c>
      <c r="Q22" s="330">
        <f t="shared" si="4"/>
        <v>215.34000000000003</v>
      </c>
      <c r="R22" s="330">
        <f t="shared" si="4"/>
        <v>4121.574999999999</v>
      </c>
      <c r="S22" s="330">
        <f t="shared" si="4"/>
        <v>0</v>
      </c>
      <c r="T22" s="330">
        <f t="shared" si="4"/>
        <v>0</v>
      </c>
      <c r="U22" s="330">
        <f t="shared" si="4"/>
        <v>0</v>
      </c>
      <c r="V22" s="330">
        <f t="shared" si="4"/>
        <v>0</v>
      </c>
      <c r="W22" s="330">
        <f t="shared" si="4"/>
        <v>36</v>
      </c>
      <c r="X22" s="330">
        <f t="shared" si="4"/>
        <v>0</v>
      </c>
      <c r="Y22" s="330">
        <f t="shared" si="4"/>
        <v>0</v>
      </c>
      <c r="Z22" s="330">
        <f t="shared" si="4"/>
        <v>0</v>
      </c>
      <c r="AA22" s="330">
        <f t="shared" si="4"/>
        <v>5094.304</v>
      </c>
      <c r="AB22" s="330">
        <f t="shared" si="4"/>
        <v>223.0759999999995</v>
      </c>
      <c r="AC22" s="330">
        <f>SUM(AC10:AC21)</f>
        <v>-107.1400000000005</v>
      </c>
      <c r="AD22" s="331"/>
      <c r="AE22" s="331"/>
      <c r="AF22" s="331"/>
      <c r="AG22" s="331"/>
      <c r="AH22" s="48"/>
      <c r="AI22" s="48"/>
      <c r="AJ22" s="48"/>
      <c r="AK22" s="48"/>
    </row>
    <row r="23" spans="1:37" ht="13.5" thickBot="1">
      <c r="A23" s="332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129"/>
      <c r="AE23" s="129"/>
      <c r="AF23" s="129"/>
      <c r="AG23" s="129"/>
      <c r="AH23" s="129"/>
      <c r="AI23" s="129"/>
      <c r="AJ23" s="129"/>
      <c r="AK23" s="129"/>
    </row>
    <row r="24" spans="1:29" s="17" customFormat="1" ht="13.5" thickBot="1">
      <c r="A24" s="328" t="s">
        <v>94</v>
      </c>
      <c r="B24" s="329"/>
      <c r="C24" s="329"/>
      <c r="D24" s="330">
        <v>9330.22</v>
      </c>
      <c r="E24" s="330">
        <v>263129.61</v>
      </c>
      <c r="F24" s="330">
        <v>181875.86</v>
      </c>
      <c r="G24" s="330">
        <v>45624.38</v>
      </c>
      <c r="H24" s="330">
        <v>71944.81</v>
      </c>
      <c r="I24" s="330">
        <v>490629.85</v>
      </c>
      <c r="J24" s="330">
        <v>216840.97</v>
      </c>
      <c r="K24" s="330">
        <v>151570.93</v>
      </c>
      <c r="L24" s="330">
        <v>38052.74</v>
      </c>
      <c r="M24" s="330">
        <v>406464.64</v>
      </c>
      <c r="N24" s="330">
        <v>534624.38</v>
      </c>
      <c r="O24" s="333">
        <f aca="true" t="shared" si="5" ref="O24:AB24">O8+O22</f>
        <v>0</v>
      </c>
      <c r="P24" s="333">
        <f t="shared" si="5"/>
        <v>1407.1890000000003</v>
      </c>
      <c r="Q24" s="333">
        <f t="shared" si="5"/>
        <v>443.94000000000005</v>
      </c>
      <c r="R24" s="333">
        <f t="shared" si="5"/>
        <v>8956.465</v>
      </c>
      <c r="S24" s="333">
        <f t="shared" si="5"/>
        <v>0</v>
      </c>
      <c r="T24" s="333">
        <f t="shared" si="5"/>
        <v>0</v>
      </c>
      <c r="U24" s="333">
        <f t="shared" si="5"/>
        <v>6121</v>
      </c>
      <c r="V24" s="333">
        <f t="shared" si="5"/>
        <v>0</v>
      </c>
      <c r="W24" s="333">
        <f t="shared" si="5"/>
        <v>36</v>
      </c>
      <c r="X24" s="333">
        <f t="shared" si="5"/>
        <v>0</v>
      </c>
      <c r="Y24" s="333">
        <f t="shared" si="5"/>
        <v>0</v>
      </c>
      <c r="Z24" s="333">
        <f t="shared" si="5"/>
        <v>0</v>
      </c>
      <c r="AA24" s="333">
        <f t="shared" si="5"/>
        <v>16964.593999999997</v>
      </c>
      <c r="AB24" s="333">
        <f t="shared" si="5"/>
        <v>-4632.130260740001</v>
      </c>
      <c r="AC24" s="333">
        <f>AC8+AC22</f>
        <v>-591.9800000000005</v>
      </c>
    </row>
    <row r="25" spans="1:29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</row>
  </sheetData>
  <sheetProtection/>
  <mergeCells count="34">
    <mergeCell ref="X6:X7"/>
    <mergeCell ref="Y6:Y7"/>
    <mergeCell ref="R6:R7"/>
    <mergeCell ref="S6:S7"/>
    <mergeCell ref="T6:T7"/>
    <mergeCell ref="U6:U7"/>
    <mergeCell ref="V6:V7"/>
    <mergeCell ref="W6:W7"/>
    <mergeCell ref="E6:E7"/>
    <mergeCell ref="F6:F7"/>
    <mergeCell ref="G6:G7"/>
    <mergeCell ref="J6:J7"/>
    <mergeCell ref="K6:K7"/>
    <mergeCell ref="L6:L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B36" sqref="B36"/>
    </sheetView>
  </sheetViews>
  <sheetFormatPr defaultColWidth="9.00390625" defaultRowHeight="12.75"/>
  <cols>
    <col min="1" max="1" width="10.00390625" style="125" customWidth="1"/>
    <col min="2" max="2" width="9.125" style="125" customWidth="1"/>
    <col min="3" max="3" width="9.875" style="125" customWidth="1"/>
    <col min="4" max="4" width="9.625" style="125" customWidth="1"/>
    <col min="5" max="5" width="10.125" style="125" bestFit="1" customWidth="1"/>
    <col min="6" max="6" width="9.875" style="125" customWidth="1"/>
    <col min="7" max="7" width="11.00390625" style="125" customWidth="1"/>
    <col min="8" max="8" width="10.125" style="125" customWidth="1"/>
    <col min="9" max="9" width="9.25390625" style="125" customWidth="1"/>
    <col min="10" max="10" width="9.875" style="125" customWidth="1"/>
    <col min="11" max="11" width="10.875" style="125" customWidth="1"/>
    <col min="12" max="12" width="10.125" style="125" customWidth="1"/>
    <col min="13" max="13" width="10.375" style="125" customWidth="1"/>
    <col min="14" max="14" width="10.75390625" style="125" customWidth="1"/>
    <col min="15" max="15" width="13.00390625" style="125" customWidth="1"/>
    <col min="16" max="16384" width="9.125" style="125" customWidth="1"/>
  </cols>
  <sheetData>
    <row r="1" spans="2:8" ht="20.25" customHeight="1">
      <c r="B1" s="334" t="s">
        <v>42</v>
      </c>
      <c r="C1" s="334"/>
      <c r="D1" s="334"/>
      <c r="E1" s="334"/>
      <c r="F1" s="334"/>
      <c r="G1" s="334"/>
      <c r="H1" s="334"/>
    </row>
    <row r="2" spans="2:8" ht="21" customHeight="1">
      <c r="B2" s="334" t="s">
        <v>43</v>
      </c>
      <c r="C2" s="334"/>
      <c r="D2" s="334"/>
      <c r="E2" s="334"/>
      <c r="F2" s="334"/>
      <c r="G2" s="334"/>
      <c r="H2" s="334"/>
    </row>
    <row r="5" spans="1:14" ht="12.75">
      <c r="A5" s="197" t="s">
        <v>104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14" ht="12.75">
      <c r="A6" s="335" t="s">
        <v>95</v>
      </c>
      <c r="B6" s="335"/>
      <c r="C6" s="335"/>
      <c r="D6" s="335"/>
      <c r="E6" s="335"/>
      <c r="F6" s="335"/>
      <c r="G6" s="335"/>
      <c r="H6" s="68"/>
      <c r="I6" s="68"/>
      <c r="J6" s="68"/>
      <c r="K6" s="68"/>
      <c r="L6" s="68"/>
      <c r="M6" s="68"/>
      <c r="N6" s="68"/>
    </row>
    <row r="7" spans="1:14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6" ht="13.5" thickBot="1">
      <c r="A8" s="336" t="s">
        <v>44</v>
      </c>
      <c r="B8" s="336"/>
      <c r="C8" s="336"/>
      <c r="D8" s="336"/>
      <c r="E8" s="336">
        <v>8.55</v>
      </c>
      <c r="F8" s="336"/>
    </row>
    <row r="9" spans="1:15" ht="12.75" customHeight="1">
      <c r="A9" s="198" t="s">
        <v>45</v>
      </c>
      <c r="B9" s="201" t="s">
        <v>0</v>
      </c>
      <c r="C9" s="204" t="s">
        <v>96</v>
      </c>
      <c r="D9" s="207" t="s">
        <v>2</v>
      </c>
      <c r="E9" s="210" t="s">
        <v>47</v>
      </c>
      <c r="F9" s="150"/>
      <c r="G9" s="337" t="s">
        <v>97</v>
      </c>
      <c r="H9" s="338"/>
      <c r="I9" s="225" t="s">
        <v>6</v>
      </c>
      <c r="J9" s="226"/>
      <c r="K9" s="226"/>
      <c r="L9" s="226"/>
      <c r="M9" s="228"/>
      <c r="N9" s="233" t="s">
        <v>48</v>
      </c>
      <c r="O9" s="233" t="s">
        <v>8</v>
      </c>
    </row>
    <row r="10" spans="1:15" ht="12.75">
      <c r="A10" s="199"/>
      <c r="B10" s="202"/>
      <c r="C10" s="205"/>
      <c r="D10" s="208"/>
      <c r="E10" s="211"/>
      <c r="F10" s="212"/>
      <c r="G10" s="339"/>
      <c r="H10" s="340"/>
      <c r="I10" s="229"/>
      <c r="J10" s="230"/>
      <c r="K10" s="230"/>
      <c r="L10" s="230"/>
      <c r="M10" s="232"/>
      <c r="N10" s="234"/>
      <c r="O10" s="234"/>
    </row>
    <row r="11" spans="1:15" ht="26.25" customHeight="1">
      <c r="A11" s="199"/>
      <c r="B11" s="202"/>
      <c r="C11" s="205"/>
      <c r="D11" s="208"/>
      <c r="E11" s="236" t="s">
        <v>49</v>
      </c>
      <c r="F11" s="155"/>
      <c r="G11" s="341" t="s">
        <v>50</v>
      </c>
      <c r="H11" s="220" t="s">
        <v>5</v>
      </c>
      <c r="I11" s="239" t="s">
        <v>51</v>
      </c>
      <c r="J11" s="213" t="s">
        <v>98</v>
      </c>
      <c r="K11" s="213" t="s">
        <v>52</v>
      </c>
      <c r="L11" s="213" t="s">
        <v>29</v>
      </c>
      <c r="M11" s="220" t="s">
        <v>31</v>
      </c>
      <c r="N11" s="234"/>
      <c r="O11" s="234"/>
    </row>
    <row r="12" spans="1:15" ht="66.75" customHeight="1" thickBot="1">
      <c r="A12" s="200"/>
      <c r="B12" s="203"/>
      <c r="C12" s="206"/>
      <c r="D12" s="209"/>
      <c r="E12" s="25" t="s">
        <v>54</v>
      </c>
      <c r="F12" s="26" t="s">
        <v>15</v>
      </c>
      <c r="G12" s="130" t="s">
        <v>99</v>
      </c>
      <c r="H12" s="221"/>
      <c r="I12" s="240"/>
      <c r="J12" s="214"/>
      <c r="K12" s="214"/>
      <c r="L12" s="214"/>
      <c r="M12" s="221"/>
      <c r="N12" s="235"/>
      <c r="O12" s="235"/>
    </row>
    <row r="13" spans="1:15" ht="13.5" thickBot="1">
      <c r="A13" s="28">
        <v>1</v>
      </c>
      <c r="B13" s="29">
        <v>2</v>
      </c>
      <c r="C13" s="28">
        <v>3</v>
      </c>
      <c r="D13" s="29">
        <v>4</v>
      </c>
      <c r="E13" s="28">
        <v>5</v>
      </c>
      <c r="F13" s="29">
        <v>6</v>
      </c>
      <c r="G13" s="28">
        <v>7</v>
      </c>
      <c r="H13" s="29">
        <v>8</v>
      </c>
      <c r="I13" s="28">
        <v>9</v>
      </c>
      <c r="J13" s="29">
        <v>10</v>
      </c>
      <c r="K13" s="28">
        <v>11</v>
      </c>
      <c r="L13" s="29">
        <v>12</v>
      </c>
      <c r="M13" s="29">
        <v>13</v>
      </c>
      <c r="N13" s="28">
        <v>14</v>
      </c>
      <c r="O13" s="29">
        <v>15</v>
      </c>
    </row>
    <row r="14" spans="1:17" s="17" customFormat="1" ht="13.5" thickBot="1">
      <c r="A14" s="56" t="s">
        <v>41</v>
      </c>
      <c r="B14" s="57"/>
      <c r="C14" s="342">
        <f>'2011'!C8</f>
        <v>9886.949999999999</v>
      </c>
      <c r="D14" s="342">
        <f>'2011'!D8</f>
        <v>5273.233739259999</v>
      </c>
      <c r="E14" s="57">
        <f>'2011'!I8</f>
        <v>1875.6900000000003</v>
      </c>
      <c r="F14" s="57">
        <f>'2011'!H8</f>
        <v>351</v>
      </c>
      <c r="G14" s="343">
        <f>'2011'!M8</f>
        <v>1390.85</v>
      </c>
      <c r="H14" s="343">
        <f>'2011'!N8</f>
        <v>7015.083739259999</v>
      </c>
      <c r="I14" s="343">
        <f>'2011'!P8</f>
        <v>685.8000000000001</v>
      </c>
      <c r="J14" s="343">
        <f>'2011'!Q8</f>
        <v>228.60000000000002</v>
      </c>
      <c r="K14" s="343">
        <f>'2011'!R8</f>
        <v>4834.89</v>
      </c>
      <c r="L14" s="57">
        <f>'2011'!U8+'2011'!V8+'2011'!W8</f>
        <v>6121</v>
      </c>
      <c r="M14" s="344">
        <f>'2011'!AA8</f>
        <v>11870.289999999997</v>
      </c>
      <c r="N14" s="344">
        <f>'2011'!AB8</f>
        <v>-4855.20626074</v>
      </c>
      <c r="O14" s="344">
        <f>'2011'!AC8</f>
        <v>-484.8399999999999</v>
      </c>
      <c r="P14" s="59"/>
      <c r="Q14" s="48"/>
    </row>
    <row r="15" spans="1:17" ht="12.75">
      <c r="A15" s="5" t="s">
        <v>90</v>
      </c>
      <c r="B15" s="345"/>
      <c r="C15" s="49"/>
      <c r="D15" s="50"/>
      <c r="E15" s="346"/>
      <c r="F15" s="347"/>
      <c r="G15" s="348"/>
      <c r="H15" s="347"/>
      <c r="I15" s="348"/>
      <c r="J15" s="349"/>
      <c r="K15" s="350"/>
      <c r="L15" s="351"/>
      <c r="M15" s="352"/>
      <c r="N15" s="353"/>
      <c r="O15" s="353"/>
      <c r="P15" s="129"/>
      <c r="Q15" s="129"/>
    </row>
    <row r="16" spans="1:17" ht="12.75">
      <c r="A16" s="354" t="s">
        <v>91</v>
      </c>
      <c r="B16" s="355">
        <f>'2011'!B10</f>
        <v>127</v>
      </c>
      <c r="C16" s="355">
        <f>'2011'!C10</f>
        <v>542.9250000000001</v>
      </c>
      <c r="D16" s="355">
        <f>'2011'!D10</f>
        <v>0</v>
      </c>
      <c r="E16" s="350">
        <f>'2011'!H10</f>
        <v>767.8100000000001</v>
      </c>
      <c r="F16" s="352">
        <v>0</v>
      </c>
      <c r="G16" s="352">
        <f>'2011'!M10</f>
        <v>129.47</v>
      </c>
      <c r="H16" s="352">
        <f>'2011'!N10</f>
        <v>129.47</v>
      </c>
      <c r="I16" s="356">
        <f>'2011'!P10</f>
        <v>85.09</v>
      </c>
      <c r="J16" s="356">
        <f>'2011'!Q10</f>
        <v>25.400000000000002</v>
      </c>
      <c r="K16" s="356">
        <f>'2011'!R10</f>
        <v>537.21</v>
      </c>
      <c r="L16" s="351">
        <f>'2011'!U10+'2011'!V10+'2011'!W10</f>
        <v>0</v>
      </c>
      <c r="M16" s="352">
        <f>'2011'!AA10</f>
        <v>647.7</v>
      </c>
      <c r="N16" s="352">
        <f>'2011'!AB10</f>
        <v>-518.23</v>
      </c>
      <c r="O16" s="352">
        <f>'2011'!AC10</f>
        <v>-638.34</v>
      </c>
      <c r="P16" s="129"/>
      <c r="Q16" s="129"/>
    </row>
    <row r="17" spans="1:17" ht="12.75">
      <c r="A17" s="354" t="s">
        <v>92</v>
      </c>
      <c r="B17" s="355">
        <f>'2011'!B11</f>
        <v>127</v>
      </c>
      <c r="C17" s="355">
        <f>'2011'!C11</f>
        <v>542.9250000000001</v>
      </c>
      <c r="D17" s="355">
        <f>'2011'!D11</f>
        <v>0</v>
      </c>
      <c r="E17" s="350">
        <f>'2011'!H11</f>
        <v>107.22999999999999</v>
      </c>
      <c r="F17" s="352">
        <v>1</v>
      </c>
      <c r="G17" s="352">
        <f>'2011'!M11</f>
        <v>212.76999999999998</v>
      </c>
      <c r="H17" s="352">
        <f>'2011'!N11</f>
        <v>212.76999999999998</v>
      </c>
      <c r="I17" s="356">
        <f>'2011'!P11</f>
        <v>85.09</v>
      </c>
      <c r="J17" s="356">
        <f>'2011'!Q11</f>
        <v>25.400000000000002</v>
      </c>
      <c r="K17" s="356">
        <f>'2011'!R11</f>
        <v>537.21</v>
      </c>
      <c r="L17" s="351">
        <f>'2011'!U11+'2011'!V11+'2011'!W11</f>
        <v>0</v>
      </c>
      <c r="M17" s="352">
        <f>'2011'!AA11</f>
        <v>647.7</v>
      </c>
      <c r="N17" s="352">
        <f>'2011'!AB11</f>
        <v>-434.93000000000006</v>
      </c>
      <c r="O17" s="352">
        <f>'2011'!AC11</f>
        <v>105.53999999999999</v>
      </c>
      <c r="P17" s="129"/>
      <c r="Q17" s="129"/>
    </row>
    <row r="18" spans="1:17" ht="12.75">
      <c r="A18" s="354" t="s">
        <v>93</v>
      </c>
      <c r="B18" s="355">
        <f>'2011'!B12</f>
        <v>127</v>
      </c>
      <c r="C18" s="355">
        <f>'2011'!C12</f>
        <v>542.9250000000001</v>
      </c>
      <c r="D18" s="355">
        <f>'2011'!D12</f>
        <v>0</v>
      </c>
      <c r="E18" s="350">
        <f>'2011'!H12</f>
        <v>437.52000000000004</v>
      </c>
      <c r="F18" s="352">
        <v>2</v>
      </c>
      <c r="G18" s="352">
        <f>'2011'!M12</f>
        <v>433.07</v>
      </c>
      <c r="H18" s="352">
        <f>'2011'!N12</f>
        <v>433.07</v>
      </c>
      <c r="I18" s="356">
        <f>'2011'!P12</f>
        <v>85.09</v>
      </c>
      <c r="J18" s="356">
        <f>'2011'!Q12</f>
        <v>25.400000000000002</v>
      </c>
      <c r="K18" s="356">
        <f>'2011'!R12</f>
        <v>537.21</v>
      </c>
      <c r="L18" s="351">
        <f>'2011'!U12+'2011'!V12+'2011'!W12</f>
        <v>0</v>
      </c>
      <c r="M18" s="352">
        <f>'2011'!AA12</f>
        <v>647.7</v>
      </c>
      <c r="N18" s="352">
        <f>'2011'!AB12</f>
        <v>-214.63000000000005</v>
      </c>
      <c r="O18" s="352">
        <f>'2011'!AC12</f>
        <v>-4.4500000000000455</v>
      </c>
      <c r="P18" s="129"/>
      <c r="Q18" s="129"/>
    </row>
    <row r="19" spans="1:17" ht="12.75">
      <c r="A19" s="354" t="s">
        <v>35</v>
      </c>
      <c r="B19" s="355">
        <f>'2011'!B13</f>
        <v>127</v>
      </c>
      <c r="C19" s="355">
        <f>'2011'!C13</f>
        <v>1085.8500000000001</v>
      </c>
      <c r="D19" s="355">
        <f>'2011'!D13</f>
        <v>0</v>
      </c>
      <c r="E19" s="350">
        <f>'2011'!H13</f>
        <v>437.52000000000004</v>
      </c>
      <c r="F19" s="352">
        <v>3</v>
      </c>
      <c r="G19" s="352">
        <f>'2011'!M13</f>
        <v>212.77999999999997</v>
      </c>
      <c r="H19" s="352">
        <f>'2011'!N13</f>
        <v>212.77999999999997</v>
      </c>
      <c r="I19" s="356">
        <f>'2011'!P13</f>
        <v>85.09</v>
      </c>
      <c r="J19" s="356">
        <f>'2011'!Q13</f>
        <v>25.400000000000002</v>
      </c>
      <c r="K19" s="356">
        <f>'2011'!R13</f>
        <v>537.21</v>
      </c>
      <c r="L19" s="351">
        <f>'2011'!U13+'2011'!V13+'2011'!W13</f>
        <v>0</v>
      </c>
      <c r="M19" s="352">
        <f>'2011'!AA13</f>
        <v>647.7</v>
      </c>
      <c r="N19" s="352">
        <f>'2011'!AB13</f>
        <v>-434.9200000000001</v>
      </c>
      <c r="O19" s="352">
        <f>'2011'!AC13</f>
        <v>-224.74000000000007</v>
      </c>
      <c r="P19" s="129"/>
      <c r="Q19" s="129"/>
    </row>
    <row r="20" spans="1:17" ht="12.75">
      <c r="A20" s="354" t="s">
        <v>36</v>
      </c>
      <c r="B20" s="355">
        <f>'2011'!B14</f>
        <v>127</v>
      </c>
      <c r="C20" s="355">
        <f>'2011'!C14</f>
        <v>542.9250000000001</v>
      </c>
      <c r="D20" s="355">
        <f>'2011'!D14</f>
        <v>0</v>
      </c>
      <c r="E20" s="350">
        <f>'2011'!H14</f>
        <v>875.0400000000001</v>
      </c>
      <c r="F20" s="352">
        <v>4</v>
      </c>
      <c r="G20" s="352">
        <f>'2011'!M14</f>
        <v>362.90999999999997</v>
      </c>
      <c r="H20" s="352">
        <f>'2011'!N14</f>
        <v>362.90999999999997</v>
      </c>
      <c r="I20" s="356">
        <f>'2011'!P14</f>
        <v>85.09</v>
      </c>
      <c r="J20" s="356">
        <f>'2011'!Q14</f>
        <v>25.400000000000002</v>
      </c>
      <c r="K20" s="356">
        <f>'2011'!R14</f>
        <v>537.21</v>
      </c>
      <c r="L20" s="351">
        <f>'2011'!U14+'2011'!V14+'2011'!W14</f>
        <v>0</v>
      </c>
      <c r="M20" s="352">
        <f>'2011'!AA14</f>
        <v>647.7</v>
      </c>
      <c r="N20" s="352">
        <f>'2011'!AB14</f>
        <v>-284.7900000000001</v>
      </c>
      <c r="O20" s="352">
        <f>'2011'!AC14</f>
        <v>-512.1300000000001</v>
      </c>
      <c r="P20" s="129"/>
      <c r="Q20" s="129"/>
    </row>
    <row r="21" spans="1:17" ht="12.75">
      <c r="A21" s="354" t="s">
        <v>37</v>
      </c>
      <c r="B21" s="355">
        <f>'2011'!B15</f>
        <v>63.1</v>
      </c>
      <c r="C21" s="355">
        <f>'2011'!C15</f>
        <v>539.5050000000001</v>
      </c>
      <c r="D21" s="355">
        <f>'2011'!D15</f>
        <v>0</v>
      </c>
      <c r="E21" s="350">
        <f>'2011'!H15</f>
        <v>875.0400000000001</v>
      </c>
      <c r="F21" s="352">
        <v>5</v>
      </c>
      <c r="G21" s="352">
        <f>'2011'!M15</f>
        <v>706.33</v>
      </c>
      <c r="H21" s="352">
        <f>'2011'!N15</f>
        <v>706.33</v>
      </c>
      <c r="I21" s="356">
        <f>'2011'!P15</f>
        <v>42.277</v>
      </c>
      <c r="J21" s="356">
        <f>'2011'!Q15</f>
        <v>12.620000000000001</v>
      </c>
      <c r="K21" s="356">
        <f>'2011'!R15</f>
        <v>205.07500000000002</v>
      </c>
      <c r="L21" s="351">
        <f>'2011'!U15+'2011'!V15+'2011'!W15</f>
        <v>0</v>
      </c>
      <c r="M21" s="352">
        <f>'2011'!AA15</f>
        <v>259.97200000000004</v>
      </c>
      <c r="N21" s="352">
        <f>'2011'!AB15</f>
        <v>446.358</v>
      </c>
      <c r="O21" s="352">
        <f>'2011'!AC15</f>
        <v>-168.71000000000004</v>
      </c>
      <c r="P21" s="129"/>
      <c r="Q21" s="129"/>
    </row>
    <row r="22" spans="1:17" ht="12.75">
      <c r="A22" s="354" t="s">
        <v>38</v>
      </c>
      <c r="B22" s="355">
        <f>'2011'!B16</f>
        <v>63.1</v>
      </c>
      <c r="C22" s="355">
        <f>'2011'!C16</f>
        <v>539.5050000000001</v>
      </c>
      <c r="D22" s="355">
        <f>'2011'!D16</f>
        <v>0</v>
      </c>
      <c r="E22" s="350">
        <f>'2011'!H16</f>
        <v>875.0400000000001</v>
      </c>
      <c r="F22" s="352">
        <v>6</v>
      </c>
      <c r="G22" s="352">
        <f>'2011'!M16</f>
        <v>866.1800000000001</v>
      </c>
      <c r="H22" s="352">
        <f>'2011'!N16</f>
        <v>866.1800000000001</v>
      </c>
      <c r="I22" s="356">
        <f>'2011'!P16</f>
        <v>42.277</v>
      </c>
      <c r="J22" s="356">
        <f>'2011'!Q16</f>
        <v>12.620000000000001</v>
      </c>
      <c r="K22" s="356">
        <f>'2011'!R16</f>
        <v>205.07500000000002</v>
      </c>
      <c r="L22" s="351">
        <f>'2011'!U16+'2011'!V16+'2011'!W16</f>
        <v>0</v>
      </c>
      <c r="M22" s="352">
        <f>'2011'!AA16</f>
        <v>259.97200000000004</v>
      </c>
      <c r="N22" s="352">
        <f>'2011'!AB16</f>
        <v>606.2080000000001</v>
      </c>
      <c r="O22" s="352">
        <f>'2011'!AC16</f>
        <v>-8.860000000000014</v>
      </c>
      <c r="P22" s="129"/>
      <c r="Q22" s="129"/>
    </row>
    <row r="23" spans="1:17" ht="12.75">
      <c r="A23" s="354" t="s">
        <v>39</v>
      </c>
      <c r="B23" s="355">
        <f>'2011'!B17</f>
        <v>63.1</v>
      </c>
      <c r="C23" s="355">
        <f>'2011'!C17</f>
        <v>539.5050000000001</v>
      </c>
      <c r="D23" s="355">
        <f>'2011'!D17</f>
        <v>0</v>
      </c>
      <c r="E23" s="350">
        <f>'2011'!H17</f>
        <v>-1120.48</v>
      </c>
      <c r="F23" s="352">
        <v>7</v>
      </c>
      <c r="G23" s="352">
        <f>'2011'!M17</f>
        <v>252.70999999999998</v>
      </c>
      <c r="H23" s="352">
        <f>'2011'!N17</f>
        <v>252.70999999999998</v>
      </c>
      <c r="I23" s="356">
        <f>'2011'!P17</f>
        <v>42.277</v>
      </c>
      <c r="J23" s="356">
        <f>'2011'!Q17</f>
        <v>12.620000000000001</v>
      </c>
      <c r="K23" s="356">
        <f>'2011'!R17</f>
        <v>205.07500000000002</v>
      </c>
      <c r="L23" s="351">
        <f>'2011'!U17+'2011'!V17+'2011'!W17</f>
        <v>0</v>
      </c>
      <c r="M23" s="352">
        <f>'2011'!AA17</f>
        <v>259.97200000000004</v>
      </c>
      <c r="N23" s="352">
        <f>'2011'!AB17</f>
        <v>-7.262000000000057</v>
      </c>
      <c r="O23" s="352">
        <f>'2011'!AC17</f>
        <v>1373.19</v>
      </c>
      <c r="P23" s="129"/>
      <c r="Q23" s="129"/>
    </row>
    <row r="24" spans="1:17" ht="12.75">
      <c r="A24" s="354" t="s">
        <v>40</v>
      </c>
      <c r="B24" s="355">
        <f>'2011'!B18</f>
        <v>63.1</v>
      </c>
      <c r="C24" s="355">
        <f>'2011'!C18</f>
        <v>539.5050000000001</v>
      </c>
      <c r="D24" s="355">
        <f>'2011'!D18</f>
        <v>0</v>
      </c>
      <c r="E24" s="350">
        <f>'2011'!H18</f>
        <v>542.45</v>
      </c>
      <c r="F24" s="352">
        <v>8</v>
      </c>
      <c r="G24" s="352">
        <f>'2011'!M18</f>
        <v>460.65000000000003</v>
      </c>
      <c r="H24" s="352">
        <f>'2011'!N18</f>
        <v>460.65000000000003</v>
      </c>
      <c r="I24" s="356">
        <f>'2011'!P18</f>
        <v>42.277</v>
      </c>
      <c r="J24" s="356">
        <f>'2011'!Q18</f>
        <v>12.620000000000001</v>
      </c>
      <c r="K24" s="356">
        <f>'2011'!R18</f>
        <v>205.07500000000002</v>
      </c>
      <c r="L24" s="351">
        <f>'2011'!U18+'2011'!V18+'2011'!W18</f>
        <v>0</v>
      </c>
      <c r="M24" s="352">
        <f>'2011'!AA18</f>
        <v>259.97200000000004</v>
      </c>
      <c r="N24" s="352">
        <f>'2011'!AB18</f>
        <v>200.678</v>
      </c>
      <c r="O24" s="352">
        <f>'2011'!AC18</f>
        <v>-81.80000000000001</v>
      </c>
      <c r="P24" s="129"/>
      <c r="Q24" s="129"/>
    </row>
    <row r="25" spans="1:17" ht="12.75">
      <c r="A25" s="354" t="s">
        <v>32</v>
      </c>
      <c r="B25" s="355">
        <f>'2011'!B19</f>
        <v>63.1</v>
      </c>
      <c r="C25" s="355">
        <f>'2011'!C19</f>
        <v>539.5050000000001</v>
      </c>
      <c r="D25" s="355">
        <f>'2011'!D19</f>
        <v>0</v>
      </c>
      <c r="E25" s="350">
        <f>'2011'!H19</f>
        <v>542.45</v>
      </c>
      <c r="F25" s="352">
        <v>9</v>
      </c>
      <c r="G25" s="352">
        <f>'2011'!M19</f>
        <v>512.27</v>
      </c>
      <c r="H25" s="352">
        <f>'2011'!N19</f>
        <v>512.27</v>
      </c>
      <c r="I25" s="356">
        <f>'2011'!P19</f>
        <v>42.277</v>
      </c>
      <c r="J25" s="356">
        <f>'2011'!Q19</f>
        <v>12.620000000000001</v>
      </c>
      <c r="K25" s="356">
        <f>'2011'!R19</f>
        <v>205.07500000000002</v>
      </c>
      <c r="L25" s="351">
        <f>'2011'!U19+'2011'!V19+'2011'!W19</f>
        <v>0</v>
      </c>
      <c r="M25" s="352">
        <f>'2011'!AA19</f>
        <v>259.97200000000004</v>
      </c>
      <c r="N25" s="352">
        <f>'2011'!AB19</f>
        <v>252.29799999999994</v>
      </c>
      <c r="O25" s="352">
        <f>'2011'!AC19</f>
        <v>-30.180000000000064</v>
      </c>
      <c r="P25" s="129"/>
      <c r="Q25" s="129"/>
    </row>
    <row r="26" spans="1:17" ht="12.75">
      <c r="A26" s="354" t="s">
        <v>33</v>
      </c>
      <c r="B26" s="355">
        <f>'2011'!B20</f>
        <v>63.1</v>
      </c>
      <c r="C26" s="355">
        <f>'2011'!C20</f>
        <v>539.5050000000001</v>
      </c>
      <c r="D26" s="355">
        <f>'2011'!D20</f>
        <v>0</v>
      </c>
      <c r="E26" s="350">
        <f>'2011'!H20</f>
        <v>542.45</v>
      </c>
      <c r="F26" s="352">
        <v>10</v>
      </c>
      <c r="G26" s="352">
        <f>'2011'!M20</f>
        <v>592.1</v>
      </c>
      <c r="H26" s="352">
        <f>'2011'!N20</f>
        <v>592.1</v>
      </c>
      <c r="I26" s="356">
        <f>'2011'!P20</f>
        <v>42.277</v>
      </c>
      <c r="J26" s="356">
        <f>'2011'!Q20</f>
        <v>12.620000000000001</v>
      </c>
      <c r="K26" s="356">
        <f>'2011'!R20</f>
        <v>205.07500000000002</v>
      </c>
      <c r="L26" s="351">
        <f>'2011'!U20+'2011'!V20+'2011'!W20</f>
        <v>0</v>
      </c>
      <c r="M26" s="352">
        <f>'2011'!AA20</f>
        <v>259.97200000000004</v>
      </c>
      <c r="N26" s="352">
        <f>'2011'!AB20</f>
        <v>332.128</v>
      </c>
      <c r="O26" s="352">
        <f>'2011'!AC20</f>
        <v>49.64999999999998</v>
      </c>
      <c r="P26" s="129"/>
      <c r="Q26" s="129"/>
    </row>
    <row r="27" spans="1:17" ht="13.5" thickBot="1">
      <c r="A27" s="354" t="s">
        <v>34</v>
      </c>
      <c r="B27" s="355">
        <f>'2011'!B21</f>
        <v>63.1</v>
      </c>
      <c r="C27" s="355">
        <f>'2011'!C21</f>
        <v>539.5050000000001</v>
      </c>
      <c r="D27" s="355">
        <f>'2011'!D21</f>
        <v>0</v>
      </c>
      <c r="E27" s="350">
        <f>'2011'!H21</f>
        <v>542.45</v>
      </c>
      <c r="F27" s="352">
        <v>11</v>
      </c>
      <c r="G27" s="352">
        <f>'2011'!M21</f>
        <v>576.1400000000001</v>
      </c>
      <c r="H27" s="352">
        <f>'2011'!N21</f>
        <v>576.1400000000001</v>
      </c>
      <c r="I27" s="356">
        <f>'2011'!P21</f>
        <v>42.277</v>
      </c>
      <c r="J27" s="356">
        <f>'2011'!Q21</f>
        <v>12.620000000000001</v>
      </c>
      <c r="K27" s="356">
        <f>'2011'!R21</f>
        <v>205.07500000000002</v>
      </c>
      <c r="L27" s="351">
        <f>'2011'!U21+'2011'!V21+'2011'!W21</f>
        <v>36</v>
      </c>
      <c r="M27" s="352">
        <f>'2011'!AA21</f>
        <v>295.97200000000004</v>
      </c>
      <c r="N27" s="352">
        <f>'2011'!AB21</f>
        <v>280.16800000000006</v>
      </c>
      <c r="O27" s="352">
        <f>'2011'!AC21</f>
        <v>33.690000000000055</v>
      </c>
      <c r="P27" s="129"/>
      <c r="Q27" s="129"/>
    </row>
    <row r="28" spans="1:17" s="17" customFormat="1" ht="13.5" thickBot="1">
      <c r="A28" s="41" t="s">
        <v>3</v>
      </c>
      <c r="B28" s="42"/>
      <c r="C28" s="47">
        <f aca="true" t="shared" si="0" ref="C28:N28">SUM(C16:C27)</f>
        <v>7034.085000000001</v>
      </c>
      <c r="D28" s="47">
        <f t="shared" si="0"/>
        <v>0</v>
      </c>
      <c r="E28" s="47">
        <f t="shared" si="0"/>
        <v>5424.52</v>
      </c>
      <c r="F28" s="47">
        <f t="shared" si="0"/>
        <v>66</v>
      </c>
      <c r="G28" s="47">
        <f t="shared" si="0"/>
        <v>5317.380000000001</v>
      </c>
      <c r="H28" s="47">
        <f t="shared" si="0"/>
        <v>5317.380000000001</v>
      </c>
      <c r="I28" s="47">
        <f>SUM(I16:I27)</f>
        <v>721.3890000000002</v>
      </c>
      <c r="J28" s="47">
        <f t="shared" si="0"/>
        <v>215.34000000000003</v>
      </c>
      <c r="K28" s="47">
        <f t="shared" si="0"/>
        <v>4121.574999999999</v>
      </c>
      <c r="L28" s="47">
        <f t="shared" si="0"/>
        <v>36</v>
      </c>
      <c r="M28" s="47">
        <f t="shared" si="0"/>
        <v>5094.304</v>
      </c>
      <c r="N28" s="47">
        <f t="shared" si="0"/>
        <v>223.0759999999995</v>
      </c>
      <c r="O28" s="47">
        <f>SUM(O16:O27)</f>
        <v>-107.1400000000005</v>
      </c>
      <c r="P28" s="48"/>
      <c r="Q28" s="48"/>
    </row>
    <row r="29" spans="1:17" ht="13.5" thickBot="1">
      <c r="A29" s="217" t="s">
        <v>55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357"/>
      <c r="P29" s="129"/>
      <c r="Q29" s="129"/>
    </row>
    <row r="30" spans="1:17" s="17" customFormat="1" ht="13.5" thickBot="1">
      <c r="A30" s="56" t="s">
        <v>41</v>
      </c>
      <c r="B30" s="57"/>
      <c r="C30" s="342">
        <f aca="true" t="shared" si="1" ref="C30:K30">C14+C28</f>
        <v>16921.035</v>
      </c>
      <c r="D30" s="343">
        <f t="shared" si="1"/>
        <v>5273.233739259999</v>
      </c>
      <c r="E30" s="57">
        <f t="shared" si="1"/>
        <v>7300.210000000001</v>
      </c>
      <c r="F30" s="342">
        <f t="shared" si="1"/>
        <v>417</v>
      </c>
      <c r="G30" s="343">
        <f t="shared" si="1"/>
        <v>6708.230000000001</v>
      </c>
      <c r="H30" s="342">
        <f t="shared" si="1"/>
        <v>12332.46373926</v>
      </c>
      <c r="I30" s="343">
        <f t="shared" si="1"/>
        <v>1407.1890000000003</v>
      </c>
      <c r="J30" s="343">
        <f t="shared" si="1"/>
        <v>443.94000000000005</v>
      </c>
      <c r="K30" s="343">
        <f t="shared" si="1"/>
        <v>8956.465</v>
      </c>
      <c r="L30" s="57">
        <f>L14+L28</f>
        <v>6157</v>
      </c>
      <c r="M30" s="344">
        <f>M14+M28</f>
        <v>16964.593999999997</v>
      </c>
      <c r="N30" s="58">
        <f>N14+N28</f>
        <v>-4632.130260740001</v>
      </c>
      <c r="O30" s="58">
        <f>O14+O28</f>
        <v>-591.9800000000005</v>
      </c>
      <c r="P30" s="59"/>
      <c r="Q30" s="48"/>
    </row>
    <row r="32" spans="1:17" ht="12.75">
      <c r="A32" s="17" t="s">
        <v>105</v>
      </c>
      <c r="D32" s="358" t="s">
        <v>100</v>
      </c>
      <c r="P32" s="129"/>
      <c r="Q32" s="129"/>
    </row>
    <row r="33" spans="1:17" ht="12.75">
      <c r="A33" s="126" t="s">
        <v>79</v>
      </c>
      <c r="B33" s="126" t="s">
        <v>80</v>
      </c>
      <c r="C33" s="222" t="s">
        <v>81</v>
      </c>
      <c r="D33" s="222"/>
      <c r="P33" s="129"/>
      <c r="Q33" s="129"/>
    </row>
    <row r="34" spans="1:17" ht="12.75">
      <c r="A34" s="359">
        <v>127.19</v>
      </c>
      <c r="B34" s="359">
        <v>0</v>
      </c>
      <c r="C34" s="360">
        <f>A34-B34</f>
        <v>127.19</v>
      </c>
      <c r="D34" s="361"/>
      <c r="P34" s="129"/>
      <c r="Q34" s="129"/>
    </row>
    <row r="35" spans="1:17" ht="12.75">
      <c r="A35" s="60"/>
      <c r="P35" s="129"/>
      <c r="Q35" s="129"/>
    </row>
    <row r="36" spans="1:17" ht="12.75">
      <c r="A36" s="125" t="s">
        <v>56</v>
      </c>
      <c r="G36" s="125" t="s">
        <v>57</v>
      </c>
      <c r="P36" s="129"/>
      <c r="Q36" s="129"/>
    </row>
    <row r="37" ht="12.75">
      <c r="A37" s="129"/>
    </row>
    <row r="38" ht="12.75">
      <c r="A38" s="358" t="s">
        <v>101</v>
      </c>
    </row>
    <row r="39" ht="12.75">
      <c r="A39" s="125" t="s">
        <v>102</v>
      </c>
    </row>
  </sheetData>
  <sheetProtection/>
  <mergeCells count="25">
    <mergeCell ref="A29:N29"/>
    <mergeCell ref="C33:D33"/>
    <mergeCell ref="C34:D34"/>
    <mergeCell ref="I9:M10"/>
    <mergeCell ref="N9:N12"/>
    <mergeCell ref="O9:O12"/>
    <mergeCell ref="E11:F11"/>
    <mergeCell ref="H11:H12"/>
    <mergeCell ref="I11:I12"/>
    <mergeCell ref="J11:J12"/>
    <mergeCell ref="K11:K12"/>
    <mergeCell ref="L11:L12"/>
    <mergeCell ref="M11:M12"/>
    <mergeCell ref="A9:A12"/>
    <mergeCell ref="B9:B12"/>
    <mergeCell ref="C9:C12"/>
    <mergeCell ref="D9:D12"/>
    <mergeCell ref="E9:F10"/>
    <mergeCell ref="G9:H10"/>
    <mergeCell ref="B1:H1"/>
    <mergeCell ref="B2:H2"/>
    <mergeCell ref="A5:N5"/>
    <mergeCell ref="A6:G6"/>
    <mergeCell ref="A8:D8"/>
    <mergeCell ref="E8:F8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2010-06-15T10:55:48Z</cp:lastPrinted>
  <dcterms:created xsi:type="dcterms:W3CDTF">2010-04-03T04:08:20Z</dcterms:created>
  <dcterms:modified xsi:type="dcterms:W3CDTF">2012-05-30T04:16:30Z</dcterms:modified>
  <cp:category/>
  <cp:version/>
  <cp:contentType/>
  <cp:contentStatus/>
</cp:coreProperties>
</file>