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" sheetId="3" r:id="rId3"/>
    <sheet name="2011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<sst xmlns="http://schemas.openxmlformats.org/spreadsheetml/2006/main" count="264" uniqueCount="108">
  <si>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</si>
  <si>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</si>
  <si>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</si>
  <si>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</si>
  <si>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</si>
  <si>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</si>
  <si>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</si>
  <si>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</si>
  <si>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</si>
  <si>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</si>
  <si>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</si>
  <si>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</si>
  <si>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</si>
  <si>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</si>
  <si>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</si>
  <si>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</si>
  <si>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</si>
  <si>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</si>
  <si>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</si>
  <si>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</si>
  <si>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</si>
  <si>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</si>
  <si>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</si>
  <si>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</si>
  <si>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</si>
  <si>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</si>
  <si>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</si>
  <si>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</si>
  <si>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</si>
  <si>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</si>
  <si>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</si>
  <si>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</si>
  <si>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</si>
  <si>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</si>
  <si>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</si>
  <si>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</si>
  <si>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</si>
  <si>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</si>
  <si>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</si>
  <si>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</si>
  <si>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</si>
  <si>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</si>
  <si>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</si>
  <si>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</si>
  <si>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</si>
  <si>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</si>
  <si>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</si>
  <si>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</si>
  <si>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</si>
  <si>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</si>
  <si>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</si>
  <si>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</si>
  <si>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</si>
  <si>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</si>
  <si>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</si>
  <si>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</si>
  <si>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</si>
  <si>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</si>
  <si>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</si>
  <si>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</si>
  <si>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</si>
  <si>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</si>
  <si>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</si>
  <si>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3</t>
  </si>
  <si>
    <t>Выписка по лицевому счету по адресу г. Таштагол, ул. 28 Панфиловцев, д. 3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</si>
  <si>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</si>
  <si>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</si>
  <si>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</si>
  <si>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</si>
  <si>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</si>
  <si>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</si>
  <si>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</si>
  <si>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</si>
  <si>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</si>
  <si>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</si>
  <si>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</si>
  <si>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</si>
  <si>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</si>
  <si>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</si>
  <si>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</si>
  <si>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</si>
  <si>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</si>
  <si>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</si>
  <si>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</si>
  <si>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</si>
  <si>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</si>
  <si>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</si>
  <si>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</si>
  <si>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</si>
  <si>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</si>
  <si>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</si>
  <si>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</si>
  <si>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</si>
  <si>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</si>
  <si>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</si>
  <si>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</si>
  <si>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</si>
  <si>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</si>
  <si>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</si>
  <si>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</si>
  <si>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</si>
  <si>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</si>
  <si>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</si>
  <si>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</si>
  <si>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</si>
  <si>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Лицевой счет по адресу г. Таштагол, ул. 28 Панфиловцев, д.3</t>
  </si>
  <si>
    <t>Выписка по лицевому счету по адресу г. Таштагол ул. 28 панфиловцев, д.3</t>
  </si>
  <si>
    <t>Тариф по содержанию и тек.ремонту 100 % (0руб.*площадь)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</si>
</sst>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" fontId="2" fillId="0" borderId="36" xfId="34" applyNumberFormat="1" applyFont="1" applyFill="1" applyBorder="1" applyAlignment="1">
      <alignment horizontal="center" vertical="center" wrapText="1"/>
      <protection/>
    </xf>
    <xf numFmtId="43" fontId="2" fillId="34" borderId="29" xfId="62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9" borderId="38" xfId="0" applyNumberFormat="1" applyFont="1" applyFill="1" applyBorder="1" applyAlignment="1">
      <alignment/>
    </xf>
    <xf numFmtId="2" fontId="0" fillId="39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2" fillId="34" borderId="11" xfId="6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9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3" fontId="2" fillId="34" borderId="13" xfId="62" applyFont="1" applyFill="1" applyBorder="1" applyAlignment="1">
      <alignment vertical="center" wrapText="1"/>
    </xf>
    <xf numFmtId="4" fontId="0" fillId="34" borderId="37" xfId="0" applyNumberFormat="1" applyFont="1" applyFill="1" applyBorder="1" applyAlignment="1">
      <alignment horizontal="right"/>
    </xf>
    <xf numFmtId="2" fontId="0" fillId="39" borderId="38" xfId="0" applyNumberFormat="1" applyFont="1" applyFill="1" applyBorder="1" applyAlignment="1">
      <alignment horizontal="right"/>
    </xf>
    <xf numFmtId="2" fontId="0" fillId="39" borderId="40" xfId="0" applyNumberFormat="1" applyFont="1" applyFill="1" applyBorder="1" applyAlignment="1">
      <alignment horizontal="right"/>
    </xf>
    <xf numFmtId="4" fontId="2" fillId="0" borderId="28" xfId="34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43" fontId="2" fillId="34" borderId="13" xfId="6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4" fontId="0" fillId="34" borderId="3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7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3" fillId="0" borderId="15" xfId="34" applyNumberFormat="1" applyFont="1" applyBorder="1" applyAlignment="1">
      <alignment horizontal="center" vertical="center" wrapText="1"/>
      <protection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3" fillId="0" borderId="37" xfId="34" applyNumberFormat="1" applyFont="1" applyBorder="1" applyAlignment="1">
      <alignment horizontal="center" vertical="center" wrapText="1"/>
      <protection/>
    </xf>
    <xf numFmtId="43" fontId="8" fillId="34" borderId="11" xfId="62" applyFont="1" applyFill="1" applyBorder="1" applyAlignment="1">
      <alignment horizontal="center" vertical="center" wrapText="1"/>
    </xf>
    <xf numFmtId="4" fontId="3" fillId="0" borderId="11" xfId="34" applyNumberFormat="1" applyFont="1" applyBorder="1" applyAlignment="1">
      <alignment horizontal="center" vertical="center" wrapText="1"/>
      <protection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35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37" borderId="3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right"/>
    </xf>
    <xf numFmtId="2" fontId="0" fillId="39" borderId="41" xfId="0" applyNumberFormat="1" applyFont="1" applyFill="1" applyBorder="1" applyAlignment="1">
      <alignment horizontal="right"/>
    </xf>
    <xf numFmtId="2" fontId="0" fillId="39" borderId="42" xfId="0" applyNumberFormat="1" applyFont="1" applyFill="1" applyBorder="1" applyAlignment="1">
      <alignment horizontal="right"/>
    </xf>
    <xf numFmtId="0" fontId="0" fillId="0" borderId="38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9" borderId="38" xfId="0" applyNumberFormat="1" applyFont="1" applyFill="1" applyBorder="1" applyAlignment="1">
      <alignment horizontal="right"/>
    </xf>
    <xf numFmtId="2" fontId="7" fillId="39" borderId="40" xfId="0" applyNumberFormat="1" applyFont="1" applyFill="1" applyBorder="1" applyAlignment="1">
      <alignment horizontal="right"/>
    </xf>
    <xf numFmtId="4" fontId="0" fillId="39" borderId="39" xfId="0" applyNumberFormat="1" applyFont="1" applyFill="1" applyBorder="1" applyAlignment="1">
      <alignment horizontal="right"/>
    </xf>
    <xf numFmtId="4" fontId="0" fillId="39" borderId="40" xfId="0" applyNumberFormat="1" applyFont="1" applyFill="1" applyBorder="1" applyAlignment="1">
      <alignment horizontal="right"/>
    </xf>
    <xf numFmtId="4" fontId="0" fillId="39" borderId="28" xfId="0" applyNumberFormat="1" applyFont="1" applyFill="1" applyBorder="1" applyAlignment="1">
      <alignment horizontal="right"/>
    </xf>
    <xf numFmtId="4" fontId="0" fillId="39" borderId="27" xfId="0" applyNumberFormat="1" applyFont="1" applyFill="1" applyBorder="1" applyAlignment="1">
      <alignment horizontal="right"/>
    </xf>
    <xf numFmtId="4" fontId="0" fillId="39" borderId="3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5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164" fontId="0" fillId="0" borderId="37" xfId="0" applyNumberFormat="1" applyBorder="1" applyAlignment="1">
      <alignment horizontal="center"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7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164" fontId="0" fillId="0" borderId="15" xfId="0" applyNumberFormat="1" applyBorder="1" applyAlignment="1">
      <alignment horizontal="center"/>
    </xf>
    <xf numFmtId="43" fontId="8" fillId="34" borderId="11" xfId="62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4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9" borderId="48" xfId="0" applyFont="1" applyFill="1" applyBorder="1" applyAlignment="1">
      <alignment horizontal="center" vertical="center" wrapText="1"/>
    </xf>
    <xf numFmtId="0" fontId="1" fillId="39" borderId="33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 wrapText="1"/>
    </xf>
    <xf numFmtId="2" fontId="1" fillId="38" borderId="33" xfId="0" applyNumberFormat="1" applyFont="1" applyFill="1" applyBorder="1" applyAlignment="1">
      <alignment horizontal="center" vertical="center" wrapText="1"/>
    </xf>
    <xf numFmtId="2" fontId="1" fillId="38" borderId="34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3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3" xfId="0" applyFont="1" applyFill="1" applyBorder="1" applyAlignment="1">
      <alignment horizontal="center" textRotation="90"/>
    </xf>
    <xf numFmtId="2" fontId="1" fillId="36" borderId="55" xfId="0" applyNumberFormat="1" applyFont="1" applyFill="1" applyBorder="1" applyAlignment="1">
      <alignment horizontal="center" vertical="center" wrapText="1"/>
    </xf>
    <xf numFmtId="2" fontId="1" fillId="36" borderId="56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textRotation="90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33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textRotation="90"/>
    </xf>
    <xf numFmtId="0" fontId="1" fillId="37" borderId="33" xfId="0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67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2" fontId="1" fillId="33" borderId="37" xfId="0" applyNumberFormat="1" applyFont="1" applyFill="1" applyBorder="1" applyAlignment="1">
      <alignment horizontal="center" vertical="center" textRotation="90" wrapText="1"/>
    </xf>
    <xf numFmtId="2" fontId="1" fillId="33" borderId="44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7" xfId="62" applyFont="1" applyFill="1" applyBorder="1" applyAlignment="1">
      <alignment horizontal="center"/>
    </xf>
    <xf numFmtId="43" fontId="0" fillId="0" borderId="28" xfId="62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6" fillId="34" borderId="48" xfId="64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 wrapText="1"/>
    </xf>
    <xf numFmtId="43" fontId="6" fillId="34" borderId="33" xfId="64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36" borderId="48" xfId="55" applyNumberFormat="1" applyFont="1" applyFill="1" applyBorder="1" applyAlignment="1">
      <alignment horizontal="center" vertical="center" wrapText="1"/>
      <protection/>
    </xf>
    <xf numFmtId="2" fontId="1" fillId="33" borderId="61" xfId="55" applyNumberFormat="1" applyFont="1" applyFill="1" applyBorder="1" applyAlignment="1">
      <alignment horizontal="center" vertical="center" wrapText="1"/>
      <protection/>
    </xf>
    <xf numFmtId="2" fontId="1" fillId="33" borderId="48" xfId="55" applyNumberFormat="1" applyFont="1" applyFill="1" applyBorder="1" applyAlignment="1">
      <alignment horizontal="center" vertical="center" wrapText="1"/>
      <protection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8" xfId="55" applyNumberFormat="1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36" borderId="34" xfId="55" applyNumberFormat="1" applyFont="1" applyFill="1" applyBorder="1" applyAlignment="1">
      <alignment horizontal="center" vertical="center" wrapText="1"/>
      <protection/>
    </xf>
    <xf numFmtId="2" fontId="1" fillId="33" borderId="41" xfId="55" applyNumberFormat="1" applyFont="1" applyFill="1" applyBorder="1" applyAlignment="1">
      <alignment horizontal="center" vertical="center" wrapText="1"/>
      <protection/>
    </xf>
    <xf numFmtId="2" fontId="1" fillId="33" borderId="34" xfId="55" applyNumberFormat="1" applyFont="1" applyFill="1" applyBorder="1" applyAlignment="1">
      <alignment horizontal="center" vertical="center" wrapText="1"/>
      <protection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4" xfId="55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left"/>
    </xf>
    <xf numFmtId="4" fontId="1" fillId="33" borderId="56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0" fontId="0" fillId="0" borderId="37" xfId="0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34" borderId="37" xfId="55" applyNumberFormat="1" applyFont="1" applyFill="1" applyBorder="1">
      <alignment/>
      <protection/>
    </xf>
    <xf numFmtId="4" fontId="0" fillId="0" borderId="11" xfId="55" applyNumberFormat="1" applyFont="1" applyFill="1" applyBorder="1">
      <alignment/>
      <protection/>
    </xf>
    <xf numFmtId="4" fontId="0" fillId="33" borderId="11" xfId="55" applyNumberFormat="1" applyFont="1" applyFill="1" applyBorder="1">
      <alignment/>
      <protection/>
    </xf>
    <xf numFmtId="4" fontId="0" fillId="0" borderId="37" xfId="55" applyNumberFormat="1" applyFont="1" applyFill="1" applyBorder="1">
      <alignment/>
      <protection/>
    </xf>
    <xf numFmtId="4" fontId="0" fillId="38" borderId="11" xfId="55" applyNumberFormat="1" applyFont="1" applyFill="1" applyBorder="1">
      <alignment/>
      <protection/>
    </xf>
    <xf numFmtId="4" fontId="0" fillId="0" borderId="37" xfId="0" applyNumberFormat="1" applyFont="1" applyBorder="1" applyAlignment="1">
      <alignment horizontal="center"/>
    </xf>
    <xf numFmtId="4" fontId="0" fillId="34" borderId="39" xfId="55" applyNumberFormat="1" applyFont="1" applyFill="1" applyBorder="1">
      <alignment/>
      <protection/>
    </xf>
    <xf numFmtId="43" fontId="2" fillId="34" borderId="37" xfId="65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" fontId="1" fillId="0" borderId="37" xfId="55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37" xfId="55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/>
    </xf>
    <xf numFmtId="0" fontId="27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" fontId="0" fillId="36" borderId="11" xfId="55" applyNumberFormat="1" applyFont="1" applyFill="1" applyBorder="1">
      <alignment/>
      <protection/>
    </xf>
    <xf numFmtId="4" fontId="0" fillId="33" borderId="11" xfId="55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textRotation="90" wrapText="1"/>
    </xf>
    <xf numFmtId="0" fontId="1" fillId="0" borderId="67" xfId="0" applyFont="1" applyFill="1" applyBorder="1" applyAlignment="1">
      <alignment horizontal="center" textRotation="90"/>
    </xf>
    <xf numFmtId="2" fontId="1" fillId="0" borderId="67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1" fillId="0" borderId="51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167" fontId="2" fillId="34" borderId="11" xfId="62" applyNumberFormat="1" applyFont="1" applyFill="1" applyBorder="1" applyAlignment="1">
      <alignment horizontal="center" vertical="center" wrapText="1"/>
    </xf>
    <xf numFmtId="4" fontId="0" fillId="0" borderId="15" xfId="55" applyNumberFormat="1" applyFont="1" applyFill="1" applyBorder="1" applyAlignment="1">
      <alignment horizontal="center"/>
      <protection/>
    </xf>
    <xf numFmtId="4" fontId="0" fillId="0" borderId="29" xfId="0" applyNumberFormat="1" applyFont="1" applyBorder="1" applyAlignment="1">
      <alignment/>
    </xf>
    <xf numFmtId="0" fontId="0" fillId="0" borderId="29" xfId="55" applyBorder="1" applyAlignment="1">
      <alignment horizontal="center"/>
      <protection/>
    </xf>
    <xf numFmtId="0" fontId="27" fillId="0" borderId="29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  <sheetDataSet>
      <sheetData sheetId="0">
        <row r="44">
          <cell r="X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9">
      <selection activeCell="AU14" sqref="AU14:AU25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1.125" style="2" customWidth="1"/>
    <col min="46" max="16384" width="9.125" style="2" customWidth="1"/>
  </cols>
  <sheetData>
    <row r="1" spans="1:14" ht="12.75">
      <c r="A1" s="283" t="s">
        <v>63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254" t="s">
        <v>65</v>
      </c>
      <c r="B3" s="285" t="s">
        <v>0</v>
      </c>
      <c r="C3" s="287" t="s">
        <v>1</v>
      </c>
      <c r="D3" s="289" t="s">
        <v>2</v>
      </c>
      <c r="E3" s="254" t="s">
        <v>9</v>
      </c>
      <c r="F3" s="255"/>
      <c r="G3" s="254" t="s">
        <v>10</v>
      </c>
      <c r="H3" s="239"/>
      <c r="I3" s="254" t="s">
        <v>11</v>
      </c>
      <c r="J3" s="239"/>
      <c r="K3" s="254" t="s">
        <v>12</v>
      </c>
      <c r="L3" s="239"/>
      <c r="M3" s="238" t="s">
        <v>13</v>
      </c>
      <c r="N3" s="239"/>
      <c r="O3" s="254" t="s">
        <v>3</v>
      </c>
      <c r="P3" s="238"/>
      <c r="Q3" s="267" t="s">
        <v>4</v>
      </c>
      <c r="R3" s="268"/>
      <c r="S3" s="268"/>
      <c r="T3" s="268"/>
      <c r="U3" s="268"/>
      <c r="V3" s="268"/>
      <c r="W3" s="263" t="s">
        <v>66</v>
      </c>
      <c r="X3" s="242" t="s">
        <v>67</v>
      </c>
      <c r="Y3" s="245" t="s">
        <v>6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7"/>
      <c r="AT3" s="251" t="s">
        <v>68</v>
      </c>
      <c r="AU3" s="252"/>
      <c r="AV3" s="229" t="s">
        <v>7</v>
      </c>
      <c r="AW3" s="229" t="s">
        <v>8</v>
      </c>
    </row>
    <row r="4" spans="1:49" ht="36" customHeight="1" thickBot="1">
      <c r="A4" s="284"/>
      <c r="B4" s="286"/>
      <c r="C4" s="288"/>
      <c r="D4" s="290"/>
      <c r="E4" s="256"/>
      <c r="F4" s="257"/>
      <c r="G4" s="258"/>
      <c r="H4" s="259"/>
      <c r="I4" s="258"/>
      <c r="J4" s="259"/>
      <c r="K4" s="258"/>
      <c r="L4" s="259"/>
      <c r="M4" s="240"/>
      <c r="N4" s="241"/>
      <c r="O4" s="258"/>
      <c r="P4" s="266"/>
      <c r="Q4" s="269"/>
      <c r="R4" s="270"/>
      <c r="S4" s="270"/>
      <c r="T4" s="270"/>
      <c r="U4" s="270"/>
      <c r="V4" s="270"/>
      <c r="W4" s="264"/>
      <c r="X4" s="243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50"/>
      <c r="AT4" s="232" t="s">
        <v>69</v>
      </c>
      <c r="AU4" s="235" t="s">
        <v>70</v>
      </c>
      <c r="AV4" s="230"/>
      <c r="AW4" s="230"/>
    </row>
    <row r="5" spans="1:49" ht="29.25" customHeight="1" thickBot="1">
      <c r="A5" s="284"/>
      <c r="B5" s="286"/>
      <c r="C5" s="288"/>
      <c r="D5" s="290"/>
      <c r="E5" s="277" t="s">
        <v>14</v>
      </c>
      <c r="F5" s="273" t="s">
        <v>15</v>
      </c>
      <c r="G5" s="273" t="s">
        <v>14</v>
      </c>
      <c r="H5" s="273" t="s">
        <v>15</v>
      </c>
      <c r="I5" s="273" t="s">
        <v>14</v>
      </c>
      <c r="J5" s="273" t="s">
        <v>15</v>
      </c>
      <c r="K5" s="273" t="s">
        <v>14</v>
      </c>
      <c r="L5" s="273" t="s">
        <v>15</v>
      </c>
      <c r="M5" s="273" t="s">
        <v>14</v>
      </c>
      <c r="N5" s="273" t="s">
        <v>15</v>
      </c>
      <c r="O5" s="273" t="s">
        <v>14</v>
      </c>
      <c r="P5" s="293" t="s">
        <v>15</v>
      </c>
      <c r="Q5" s="291" t="s">
        <v>16</v>
      </c>
      <c r="R5" s="291" t="s">
        <v>17</v>
      </c>
      <c r="S5" s="291" t="s">
        <v>18</v>
      </c>
      <c r="T5" s="291" t="s">
        <v>19</v>
      </c>
      <c r="U5" s="291" t="s">
        <v>20</v>
      </c>
      <c r="V5" s="262" t="s">
        <v>21</v>
      </c>
      <c r="W5" s="264"/>
      <c r="X5" s="243"/>
      <c r="Y5" s="279" t="s">
        <v>22</v>
      </c>
      <c r="Z5" s="281" t="s">
        <v>23</v>
      </c>
      <c r="AA5" s="281" t="s">
        <v>24</v>
      </c>
      <c r="AB5" s="236" t="s">
        <v>25</v>
      </c>
      <c r="AC5" s="281" t="s">
        <v>26</v>
      </c>
      <c r="AD5" s="236" t="s">
        <v>25</v>
      </c>
      <c r="AE5" s="236" t="s">
        <v>27</v>
      </c>
      <c r="AF5" s="236" t="s">
        <v>25</v>
      </c>
      <c r="AG5" s="236" t="s">
        <v>28</v>
      </c>
      <c r="AH5" s="236" t="s">
        <v>25</v>
      </c>
      <c r="AI5" s="275" t="s">
        <v>71</v>
      </c>
      <c r="AJ5" s="271" t="s">
        <v>25</v>
      </c>
      <c r="AK5" s="260" t="s">
        <v>72</v>
      </c>
      <c r="AL5" s="260" t="s">
        <v>73</v>
      </c>
      <c r="AM5" s="78" t="s">
        <v>25</v>
      </c>
      <c r="AN5" s="251" t="s">
        <v>74</v>
      </c>
      <c r="AO5" s="253"/>
      <c r="AP5" s="252"/>
      <c r="AQ5" s="235" t="s">
        <v>30</v>
      </c>
      <c r="AR5" s="235" t="s">
        <v>25</v>
      </c>
      <c r="AS5" s="235" t="s">
        <v>31</v>
      </c>
      <c r="AT5" s="233"/>
      <c r="AU5" s="236"/>
      <c r="AV5" s="230"/>
      <c r="AW5" s="230"/>
    </row>
    <row r="6" spans="1:49" ht="54" customHeight="1" thickBot="1">
      <c r="A6" s="284"/>
      <c r="B6" s="286"/>
      <c r="C6" s="288"/>
      <c r="D6" s="290"/>
      <c r="E6" s="278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94"/>
      <c r="Q6" s="292"/>
      <c r="R6" s="292"/>
      <c r="S6" s="292"/>
      <c r="T6" s="292"/>
      <c r="U6" s="292"/>
      <c r="V6" s="248"/>
      <c r="W6" s="265"/>
      <c r="X6" s="244"/>
      <c r="Y6" s="280"/>
      <c r="Z6" s="282"/>
      <c r="AA6" s="282"/>
      <c r="AB6" s="237"/>
      <c r="AC6" s="282"/>
      <c r="AD6" s="237"/>
      <c r="AE6" s="237"/>
      <c r="AF6" s="237"/>
      <c r="AG6" s="237"/>
      <c r="AH6" s="237"/>
      <c r="AI6" s="276"/>
      <c r="AJ6" s="272"/>
      <c r="AK6" s="261"/>
      <c r="AL6" s="261"/>
      <c r="AM6" s="80"/>
      <c r="AN6" s="79" t="s">
        <v>75</v>
      </c>
      <c r="AO6" s="79" t="s">
        <v>76</v>
      </c>
      <c r="AP6" s="79" t="s">
        <v>77</v>
      </c>
      <c r="AQ6" s="237"/>
      <c r="AR6" s="237"/>
      <c r="AS6" s="237"/>
      <c r="AT6" s="234"/>
      <c r="AU6" s="237"/>
      <c r="AV6" s="231"/>
      <c r="AW6" s="231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2.75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3" customFormat="1" ht="12.75">
      <c r="A9" s="83" t="s">
        <v>33</v>
      </c>
      <c r="B9" s="84">
        <v>137</v>
      </c>
      <c r="C9" s="85">
        <f>B9*8.65</f>
        <v>1185.05</v>
      </c>
      <c r="D9" s="86">
        <f>C9*0.24088-1</f>
        <v>284.454844</v>
      </c>
      <c r="E9" s="87">
        <v>87.8</v>
      </c>
      <c r="F9" s="88">
        <v>30</v>
      </c>
      <c r="G9" s="88">
        <v>118.54</v>
      </c>
      <c r="H9" s="88">
        <v>40.5</v>
      </c>
      <c r="I9" s="88">
        <v>285.35</v>
      </c>
      <c r="J9" s="88">
        <v>97.5</v>
      </c>
      <c r="K9" s="88">
        <v>197.56</v>
      </c>
      <c r="L9" s="88">
        <v>67.5</v>
      </c>
      <c r="M9" s="88">
        <v>70.24</v>
      </c>
      <c r="N9" s="89">
        <v>24</v>
      </c>
      <c r="O9" s="90">
        <f>E9+G9+I9+K9+M9</f>
        <v>759.49</v>
      </c>
      <c r="P9" s="91">
        <f>N9+L9+J9+H9+F9</f>
        <v>259.5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3">
        <f>SUM(Q9:U9)</f>
        <v>0</v>
      </c>
      <c r="W9" s="94">
        <f>D9+P9+V9</f>
        <v>543.954844</v>
      </c>
      <c r="X9" s="94"/>
      <c r="Y9" s="67">
        <f>0.6*B9</f>
        <v>82.2</v>
      </c>
      <c r="Z9" s="67">
        <f>B9*0.2*1.05826</f>
        <v>28.996324</v>
      </c>
      <c r="AA9" s="67">
        <f>0.8476*B9</f>
        <v>116.1212</v>
      </c>
      <c r="AB9" s="67">
        <f>AA9*0.18</f>
        <v>20.901816</v>
      </c>
      <c r="AC9" s="67">
        <f>(1.04)*B9*0.75645</f>
        <v>107.778996</v>
      </c>
      <c r="AD9" s="67">
        <f>AC9*0.18</f>
        <v>19.40021928</v>
      </c>
      <c r="AE9" s="67">
        <f>1.91*B9*0.75645</f>
        <v>197.9402715</v>
      </c>
      <c r="AF9" s="67">
        <f>AE9*0.18</f>
        <v>35.62924887</v>
      </c>
      <c r="AG9" s="67">
        <v>0</v>
      </c>
      <c r="AH9" s="67">
        <f>AG9*0.18</f>
        <v>0</v>
      </c>
      <c r="AI9" s="95"/>
      <c r="AJ9" s="95"/>
      <c r="AK9" s="72">
        <v>2375.9</v>
      </c>
      <c r="AL9" s="72"/>
      <c r="AM9" s="72">
        <f>AK9*0.18</f>
        <v>427.662</v>
      </c>
      <c r="AN9" s="96"/>
      <c r="AO9" s="97"/>
      <c r="AP9" s="67">
        <f>AN9*AO9*1.12*1.18</f>
        <v>0</v>
      </c>
      <c r="AQ9" s="98"/>
      <c r="AR9" s="98">
        <f>AQ9*0.18</f>
        <v>0</v>
      </c>
      <c r="AS9" s="98">
        <f>SUM(Y9:AM9)+AP9</f>
        <v>3412.5300756499996</v>
      </c>
      <c r="AT9" s="99"/>
      <c r="AU9" s="100">
        <f>AS9-(X9-AT9)</f>
        <v>3412.5300756499996</v>
      </c>
      <c r="AV9" s="101">
        <f>W9-AS9</f>
        <v>-2868.5752316499998</v>
      </c>
      <c r="AW9" s="102">
        <f>V9-O9</f>
        <v>-759.49</v>
      </c>
    </row>
    <row r="10" spans="1:49" ht="12.75">
      <c r="A10" s="13" t="s">
        <v>34</v>
      </c>
      <c r="B10" s="84">
        <v>137</v>
      </c>
      <c r="C10" s="104">
        <f>B10*8.65</f>
        <v>1185.05</v>
      </c>
      <c r="D10" s="105">
        <f>C10*0.24088-1</f>
        <v>284.454844</v>
      </c>
      <c r="E10" s="88">
        <v>0</v>
      </c>
      <c r="F10" s="88">
        <v>0</v>
      </c>
      <c r="G10" s="88">
        <v>0</v>
      </c>
      <c r="H10" s="88">
        <v>0</v>
      </c>
      <c r="I10" s="88">
        <v>0.01</v>
      </c>
      <c r="J10" s="88">
        <v>0</v>
      </c>
      <c r="K10" s="88">
        <v>0.032</v>
      </c>
      <c r="L10" s="88">
        <v>0</v>
      </c>
      <c r="M10" s="88">
        <v>0</v>
      </c>
      <c r="N10" s="89">
        <v>0</v>
      </c>
      <c r="O10" s="90">
        <f>E10+G10+I10+K10+M10</f>
        <v>0.042</v>
      </c>
      <c r="P10" s="91">
        <f>N10+L10+J10+H10+F10</f>
        <v>0</v>
      </c>
      <c r="Q10" s="106">
        <v>70.17</v>
      </c>
      <c r="R10" s="107">
        <v>94.73</v>
      </c>
      <c r="S10" s="107">
        <v>228.03</v>
      </c>
      <c r="T10" s="107">
        <v>157.87</v>
      </c>
      <c r="U10" s="107">
        <v>56.13</v>
      </c>
      <c r="V10" s="84">
        <f>SUM(Q10:U10)</f>
        <v>606.93</v>
      </c>
      <c r="W10" s="108">
        <f>D10+P10+V10</f>
        <v>891.3848439999999</v>
      </c>
      <c r="X10" s="109"/>
      <c r="Y10" s="24">
        <f>0.6*B10</f>
        <v>82.2</v>
      </c>
      <c r="Z10" s="24">
        <f>B10*0.201</f>
        <v>27.537000000000003</v>
      </c>
      <c r="AA10" s="67">
        <f>0.8476*B10</f>
        <v>116.1212</v>
      </c>
      <c r="AB10" s="24">
        <f>AA10*0.18</f>
        <v>20.901816</v>
      </c>
      <c r="AC10" s="67">
        <f>(1.04)*B10*0.75645</f>
        <v>107.778996</v>
      </c>
      <c r="AD10" s="67">
        <f>AC10*0.18</f>
        <v>19.40021928</v>
      </c>
      <c r="AE10" s="67">
        <f>1.91*B10*0.75645</f>
        <v>197.9402715</v>
      </c>
      <c r="AF10" s="24">
        <f>AE10*0.18</f>
        <v>35.62924887</v>
      </c>
      <c r="AG10" s="24">
        <v>0</v>
      </c>
      <c r="AH10" s="24">
        <f>AG10*0.18</f>
        <v>0</v>
      </c>
      <c r="AI10" s="110"/>
      <c r="AJ10" s="110"/>
      <c r="AK10" s="111"/>
      <c r="AL10" s="111"/>
      <c r="AM10" s="111">
        <f>AK10*0.18</f>
        <v>0</v>
      </c>
      <c r="AN10" s="112"/>
      <c r="AO10" s="113"/>
      <c r="AP10" s="24">
        <f>AN10*AO10*1.12*1.18</f>
        <v>0</v>
      </c>
      <c r="AQ10" s="114"/>
      <c r="AR10" s="114">
        <f>AQ10*0.18</f>
        <v>0</v>
      </c>
      <c r="AS10" s="114">
        <f>SUM(Y10:AM10)+AP10</f>
        <v>607.5087516499999</v>
      </c>
      <c r="AT10" s="115"/>
      <c r="AU10" s="70">
        <f>AS10-(X10-AT10)</f>
        <v>607.5087516499999</v>
      </c>
      <c r="AV10" s="101">
        <f>W10-AS10</f>
        <v>283.87609235</v>
      </c>
      <c r="AW10" s="102">
        <f>V10-O10</f>
        <v>606.8879999999999</v>
      </c>
    </row>
    <row r="11" spans="1:49" ht="13.5" thickBot="1">
      <c r="A11" s="42" t="s">
        <v>35</v>
      </c>
      <c r="B11" s="84">
        <v>137</v>
      </c>
      <c r="C11" s="104">
        <f>B11*8.65</f>
        <v>1185.05</v>
      </c>
      <c r="D11" s="105">
        <f>C11*0.24035+1</f>
        <v>285.8267675</v>
      </c>
      <c r="E11" s="88">
        <v>43.9</v>
      </c>
      <c r="F11" s="88">
        <v>15</v>
      </c>
      <c r="G11" s="88">
        <v>59.27</v>
      </c>
      <c r="H11" s="88">
        <v>20.25</v>
      </c>
      <c r="I11" s="88">
        <v>142.67</v>
      </c>
      <c r="J11" s="88">
        <v>48.75</v>
      </c>
      <c r="K11" s="88">
        <v>98.77</v>
      </c>
      <c r="L11" s="88">
        <v>33.75</v>
      </c>
      <c r="M11" s="88">
        <v>35.12</v>
      </c>
      <c r="N11" s="89">
        <v>12</v>
      </c>
      <c r="O11" s="90">
        <f>E11+G11+I11+K11+M11</f>
        <v>379.72999999999996</v>
      </c>
      <c r="P11" s="91">
        <f>N11+L11+J11+H11+F11</f>
        <v>129.75</v>
      </c>
      <c r="Q11" s="107">
        <v>18.58</v>
      </c>
      <c r="R11" s="107">
        <v>25.09</v>
      </c>
      <c r="S11" s="107">
        <v>60.39</v>
      </c>
      <c r="T11" s="107">
        <v>41.81</v>
      </c>
      <c r="U11" s="107">
        <v>14.87</v>
      </c>
      <c r="V11" s="84">
        <f>SUM(Q11:U11)</f>
        <v>160.74</v>
      </c>
      <c r="W11" s="109">
        <f>D11+P11+V11</f>
        <v>576.3167675</v>
      </c>
      <c r="X11" s="109"/>
      <c r="Y11" s="24">
        <f>0.6*B11</f>
        <v>82.2</v>
      </c>
      <c r="Z11" s="24">
        <f>B11*0.2*1.02524</f>
        <v>28.091576</v>
      </c>
      <c r="AA11" s="67">
        <f>0.8476*B11</f>
        <v>116.1212</v>
      </c>
      <c r="AB11" s="24">
        <f>AA11*0.18</f>
        <v>20.901816</v>
      </c>
      <c r="AC11" s="67">
        <f>(1.04)*B11*0.75645</f>
        <v>107.778996</v>
      </c>
      <c r="AD11" s="67">
        <f>AC11*0.18</f>
        <v>19.40021928</v>
      </c>
      <c r="AE11" s="67">
        <f>1.91*B11*0.75645</f>
        <v>197.9402715</v>
      </c>
      <c r="AF11" s="24">
        <f>AE11*0.18</f>
        <v>35.62924887</v>
      </c>
      <c r="AG11" s="24">
        <v>0</v>
      </c>
      <c r="AH11" s="24">
        <f>AG11*0.18</f>
        <v>0</v>
      </c>
      <c r="AI11" s="110"/>
      <c r="AJ11" s="110"/>
      <c r="AK11" s="111"/>
      <c r="AL11" s="111"/>
      <c r="AM11" s="111">
        <f>AK11*0.18</f>
        <v>0</v>
      </c>
      <c r="AN11" s="112"/>
      <c r="AO11" s="113"/>
      <c r="AP11" s="24">
        <f>AN11*AO11*1.12*1.18</f>
        <v>0</v>
      </c>
      <c r="AQ11" s="114"/>
      <c r="AR11" s="114">
        <f>AQ11*0.18</f>
        <v>0</v>
      </c>
      <c r="AS11" s="114">
        <f>SUM(Y11:AM11)+AP11</f>
        <v>608.0633276499999</v>
      </c>
      <c r="AT11" s="115"/>
      <c r="AU11" s="70">
        <f>AS11-(X11-AT11)</f>
        <v>608.0633276499999</v>
      </c>
      <c r="AV11" s="101">
        <f>W11-AS11</f>
        <v>-31.746560149999937</v>
      </c>
      <c r="AW11" s="102">
        <f>V11-O11</f>
        <v>-218.98999999999995</v>
      </c>
    </row>
    <row r="12" spans="1:49" s="23" customFormat="1" ht="15" customHeight="1" thickBot="1">
      <c r="A12" s="43" t="s">
        <v>3</v>
      </c>
      <c r="B12" s="65"/>
      <c r="C12" s="65">
        <f>SUM(C9:C11)</f>
        <v>3555.1499999999996</v>
      </c>
      <c r="D12" s="65">
        <f aca="true" t="shared" si="0" ref="D12:AW12">SUM(D9:D11)</f>
        <v>854.7364554999999</v>
      </c>
      <c r="E12" s="65">
        <f t="shared" si="0"/>
        <v>131.7</v>
      </c>
      <c r="F12" s="65">
        <f t="shared" si="0"/>
        <v>45</v>
      </c>
      <c r="G12" s="65">
        <f t="shared" si="0"/>
        <v>177.81</v>
      </c>
      <c r="H12" s="65">
        <f t="shared" si="0"/>
        <v>60.75</v>
      </c>
      <c r="I12" s="65">
        <f t="shared" si="0"/>
        <v>428.03</v>
      </c>
      <c r="J12" s="65">
        <f t="shared" si="0"/>
        <v>146.25</v>
      </c>
      <c r="K12" s="65">
        <f t="shared" si="0"/>
        <v>296.362</v>
      </c>
      <c r="L12" s="65">
        <f t="shared" si="0"/>
        <v>101.25</v>
      </c>
      <c r="M12" s="65">
        <f t="shared" si="0"/>
        <v>105.35999999999999</v>
      </c>
      <c r="N12" s="65">
        <f t="shared" si="0"/>
        <v>36</v>
      </c>
      <c r="O12" s="65">
        <f t="shared" si="0"/>
        <v>1139.262</v>
      </c>
      <c r="P12" s="65">
        <f t="shared" si="0"/>
        <v>389.25</v>
      </c>
      <c r="Q12" s="65">
        <f t="shared" si="0"/>
        <v>88.75</v>
      </c>
      <c r="R12" s="65">
        <f t="shared" si="0"/>
        <v>119.82000000000001</v>
      </c>
      <c r="S12" s="65">
        <f t="shared" si="0"/>
        <v>288.42</v>
      </c>
      <c r="T12" s="65">
        <f t="shared" si="0"/>
        <v>199.68</v>
      </c>
      <c r="U12" s="65">
        <f t="shared" si="0"/>
        <v>71</v>
      </c>
      <c r="V12" s="65">
        <f t="shared" si="0"/>
        <v>767.67</v>
      </c>
      <c r="W12" s="65">
        <f t="shared" si="0"/>
        <v>2011.6564555</v>
      </c>
      <c r="X12" s="65">
        <f t="shared" si="0"/>
        <v>0</v>
      </c>
      <c r="Y12" s="65">
        <f t="shared" si="0"/>
        <v>246.60000000000002</v>
      </c>
      <c r="Z12" s="65">
        <f t="shared" si="0"/>
        <v>84.62490000000001</v>
      </c>
      <c r="AA12" s="65">
        <f t="shared" si="0"/>
        <v>348.3636</v>
      </c>
      <c r="AB12" s="65">
        <f t="shared" si="0"/>
        <v>62.705448000000004</v>
      </c>
      <c r="AC12" s="65">
        <f t="shared" si="0"/>
        <v>323.336988</v>
      </c>
      <c r="AD12" s="65">
        <f t="shared" si="0"/>
        <v>58.200657840000005</v>
      </c>
      <c r="AE12" s="65">
        <f t="shared" si="0"/>
        <v>593.8208145</v>
      </c>
      <c r="AF12" s="65">
        <f t="shared" si="0"/>
        <v>106.88774661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2375.9</v>
      </c>
      <c r="AL12" s="65">
        <f t="shared" si="0"/>
        <v>0</v>
      </c>
      <c r="AM12" s="65">
        <f t="shared" si="0"/>
        <v>427.662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4628.102154949999</v>
      </c>
      <c r="AT12" s="65">
        <f t="shared" si="0"/>
        <v>0</v>
      </c>
      <c r="AU12" s="65">
        <f t="shared" si="0"/>
        <v>4628.102154949999</v>
      </c>
      <c r="AV12" s="65">
        <f t="shared" si="0"/>
        <v>-2616.4456994499997</v>
      </c>
      <c r="AW12" s="65">
        <f t="shared" si="0"/>
        <v>-371.59200000000004</v>
      </c>
    </row>
    <row r="13" spans="1:49" ht="15" customHeight="1">
      <c r="A13" s="8" t="s">
        <v>36</v>
      </c>
      <c r="B13" s="62"/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18"/>
      <c r="Q13" s="119"/>
      <c r="R13" s="119"/>
      <c r="S13" s="119"/>
      <c r="T13" s="119"/>
      <c r="U13" s="119"/>
      <c r="V13" s="120"/>
      <c r="W13" s="121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22"/>
      <c r="AJ13" s="123"/>
      <c r="AK13" s="124"/>
      <c r="AL13" s="124"/>
      <c r="AM13" s="125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2.75">
      <c r="A14" s="13" t="s">
        <v>37</v>
      </c>
      <c r="B14" s="207">
        <v>137</v>
      </c>
      <c r="C14" s="208">
        <f aca="true" t="shared" si="1" ref="C14:C22">B14*8.65</f>
        <v>1185.05</v>
      </c>
      <c r="D14" s="126">
        <f>C14*0.125</f>
        <v>148.13125</v>
      </c>
      <c r="E14" s="88">
        <v>-44.3</v>
      </c>
      <c r="F14" s="88">
        <v>-18.6</v>
      </c>
      <c r="G14" s="88">
        <v>-59.81</v>
      </c>
      <c r="H14" s="88">
        <v>-25.11</v>
      </c>
      <c r="I14" s="88">
        <v>-143.97</v>
      </c>
      <c r="J14" s="88">
        <v>-60.45</v>
      </c>
      <c r="K14" s="88">
        <v>-99.67</v>
      </c>
      <c r="L14" s="88">
        <v>-41.85</v>
      </c>
      <c r="M14" s="88">
        <v>-35.44</v>
      </c>
      <c r="N14" s="89">
        <v>-14.88</v>
      </c>
      <c r="O14" s="90">
        <f aca="true" t="shared" si="2" ref="O14:O25">E14+G14+I14+K14+M14</f>
        <v>-383.19</v>
      </c>
      <c r="P14" s="91">
        <f aca="true" t="shared" si="3" ref="P14:P25">N14+L14+J14+H14+F14</f>
        <v>-160.89000000000001</v>
      </c>
      <c r="Q14" s="71">
        <v>21.8</v>
      </c>
      <c r="R14" s="69">
        <v>29.43</v>
      </c>
      <c r="S14" s="69">
        <v>70.85</v>
      </c>
      <c r="T14" s="69">
        <v>49.05</v>
      </c>
      <c r="U14" s="69">
        <v>17.43</v>
      </c>
      <c r="V14" s="209">
        <f aca="true" t="shared" si="4" ref="V14:V25">SUM(Q14:U14)</f>
        <v>188.56</v>
      </c>
      <c r="W14" s="127">
        <f aca="true" t="shared" si="5" ref="W14:W25">D14+P14+V14</f>
        <v>175.80124999999998</v>
      </c>
      <c r="X14" s="94"/>
      <c r="Y14" s="67">
        <f>0.6*B14*0.9</f>
        <v>73.98</v>
      </c>
      <c r="Z14" s="67">
        <f>B14*0.2*0.8913+0.01</f>
        <v>24.431620000000002</v>
      </c>
      <c r="AA14" s="67">
        <f>0.85*B14*0.8852+0.01</f>
        <v>103.09154000000001</v>
      </c>
      <c r="AB14" s="67">
        <f aca="true" t="shared" si="6" ref="AB14:AB25">AA14*0.18</f>
        <v>18.5564772</v>
      </c>
      <c r="AC14" s="67">
        <f>0.83*B14*0.887</f>
        <v>100.86077</v>
      </c>
      <c r="AD14" s="67">
        <f aca="true" t="shared" si="7" ref="AD14:AD25">AC14*0.18</f>
        <v>18.1549386</v>
      </c>
      <c r="AE14" s="67">
        <f>(1.91)*B14*0.887</f>
        <v>232.10129</v>
      </c>
      <c r="AF14" s="67">
        <f aca="true" t="shared" si="8" ref="AF14:AF25">AE14*0.18</f>
        <v>41.7782322</v>
      </c>
      <c r="AG14" s="67">
        <v>0</v>
      </c>
      <c r="AH14" s="67">
        <f aca="true" t="shared" si="9" ref="AH14:AJ25">AG14*0.18</f>
        <v>0</v>
      </c>
      <c r="AI14" s="95"/>
      <c r="AJ14" s="95"/>
      <c r="AK14" s="15"/>
      <c r="AL14" s="15"/>
      <c r="AM14" s="15">
        <f>AK14*0.18</f>
        <v>0</v>
      </c>
      <c r="AN14" s="96">
        <v>508</v>
      </c>
      <c r="AO14" s="97">
        <v>0</v>
      </c>
      <c r="AP14" s="67">
        <f aca="true" t="shared" si="10" ref="AP14:AP25">AN14*AO14*1.12*1.18</f>
        <v>0</v>
      </c>
      <c r="AQ14" s="98"/>
      <c r="AR14" s="98">
        <f>AQ14*0.18</f>
        <v>0</v>
      </c>
      <c r="AS14" s="98">
        <f aca="true" t="shared" si="11" ref="AS14:AS25">SUM(Y14:AM14)</f>
        <v>612.954868</v>
      </c>
      <c r="AT14" s="99"/>
      <c r="AU14" s="70">
        <f>AS14-(X14-AT14)</f>
        <v>612.954868</v>
      </c>
      <c r="AV14" s="128">
        <f aca="true" t="shared" si="12" ref="AV14:AV25">W14-AS14</f>
        <v>-437.15361800000005</v>
      </c>
      <c r="AW14" s="129">
        <f>V14-O14</f>
        <v>571.75</v>
      </c>
    </row>
    <row r="15" spans="1:49" ht="12.75">
      <c r="A15" s="13" t="s">
        <v>38</v>
      </c>
      <c r="B15" s="84">
        <v>137</v>
      </c>
      <c r="C15" s="130">
        <f t="shared" si="1"/>
        <v>1185.05</v>
      </c>
      <c r="D15" s="126">
        <f>C15*0.125</f>
        <v>148.13125</v>
      </c>
      <c r="E15" s="88">
        <v>21.85</v>
      </c>
      <c r="F15" s="88">
        <v>6.6</v>
      </c>
      <c r="G15" s="88">
        <v>29.5</v>
      </c>
      <c r="H15" s="88">
        <v>8.91</v>
      </c>
      <c r="I15" s="88">
        <v>71.01</v>
      </c>
      <c r="J15" s="88">
        <v>21.45</v>
      </c>
      <c r="K15" s="88">
        <v>49.16</v>
      </c>
      <c r="L15" s="88">
        <v>14.85</v>
      </c>
      <c r="M15" s="88">
        <v>17.48</v>
      </c>
      <c r="N15" s="89">
        <v>5.28</v>
      </c>
      <c r="O15" s="90">
        <f t="shared" si="2"/>
        <v>189</v>
      </c>
      <c r="P15" s="91">
        <f t="shared" si="3"/>
        <v>57.089999999999996</v>
      </c>
      <c r="Q15" s="107">
        <v>13.42</v>
      </c>
      <c r="R15" s="107">
        <v>18.13</v>
      </c>
      <c r="S15" s="107">
        <v>43.64</v>
      </c>
      <c r="T15" s="107">
        <v>30.21</v>
      </c>
      <c r="U15" s="107">
        <v>10.74</v>
      </c>
      <c r="V15" s="84">
        <f t="shared" si="4"/>
        <v>116.14</v>
      </c>
      <c r="W15" s="94">
        <f t="shared" si="5"/>
        <v>321.36125</v>
      </c>
      <c r="X15" s="94"/>
      <c r="Y15" s="67">
        <f>0.6*B15*0.9</f>
        <v>73.98</v>
      </c>
      <c r="Z15" s="67">
        <f>B15*0.2*0.9152</f>
        <v>25.076480000000004</v>
      </c>
      <c r="AA15" s="67">
        <f>0.85*B15*0.8853</f>
        <v>103.093185</v>
      </c>
      <c r="AB15" s="67">
        <f t="shared" si="6"/>
        <v>18.5567733</v>
      </c>
      <c r="AC15" s="67">
        <f>0.83*B15*0.9</f>
        <v>102.339</v>
      </c>
      <c r="AD15" s="67">
        <f t="shared" si="7"/>
        <v>18.42102</v>
      </c>
      <c r="AE15" s="67">
        <f>(1.91)*B15*0.9+0.01</f>
        <v>235.513</v>
      </c>
      <c r="AF15" s="67">
        <f t="shared" si="8"/>
        <v>42.39234</v>
      </c>
      <c r="AG15" s="67">
        <v>0</v>
      </c>
      <c r="AH15" s="67">
        <f t="shared" si="9"/>
        <v>0</v>
      </c>
      <c r="AI15" s="95"/>
      <c r="AJ15" s="95"/>
      <c r="AK15" s="15"/>
      <c r="AL15" s="15"/>
      <c r="AM15" s="68">
        <f>(AK15+AL15)*0.18</f>
        <v>0</v>
      </c>
      <c r="AN15" s="96">
        <v>407</v>
      </c>
      <c r="AO15" s="97">
        <v>0</v>
      </c>
      <c r="AP15" s="67">
        <f t="shared" si="10"/>
        <v>0</v>
      </c>
      <c r="AQ15" s="98"/>
      <c r="AR15" s="98">
        <f>AQ15*0.18</f>
        <v>0</v>
      </c>
      <c r="AS15" s="98">
        <f t="shared" si="11"/>
        <v>619.3717983</v>
      </c>
      <c r="AT15" s="99"/>
      <c r="AU15" s="70">
        <f aca="true" t="shared" si="13" ref="AU15:AU25">AS15-(X15-AT15)</f>
        <v>619.3717983</v>
      </c>
      <c r="AV15" s="128">
        <f t="shared" si="12"/>
        <v>-298.01054830000004</v>
      </c>
      <c r="AW15" s="129">
        <f aca="true" t="shared" si="14" ref="AW15:AW25">V15-O15</f>
        <v>-72.86</v>
      </c>
    </row>
    <row r="16" spans="1:49" ht="13.5" thickBot="1">
      <c r="A16" s="131" t="s">
        <v>39</v>
      </c>
      <c r="B16" s="84">
        <v>137</v>
      </c>
      <c r="C16" s="130">
        <f t="shared" si="1"/>
        <v>1185.05</v>
      </c>
      <c r="D16" s="132">
        <f>C16*0.125</f>
        <v>148.13125</v>
      </c>
      <c r="E16" s="88">
        <v>-58.85</v>
      </c>
      <c r="F16" s="88">
        <v>-33</v>
      </c>
      <c r="G16" s="88">
        <v>-79.46</v>
      </c>
      <c r="H16" s="88">
        <v>-44.55</v>
      </c>
      <c r="I16" s="88">
        <v>-191.25</v>
      </c>
      <c r="J16" s="88">
        <v>-107.25</v>
      </c>
      <c r="K16" s="88">
        <v>-132.4</v>
      </c>
      <c r="L16" s="88">
        <v>-74.25</v>
      </c>
      <c r="M16" s="88">
        <v>-47.08</v>
      </c>
      <c r="N16" s="89">
        <v>-26.4</v>
      </c>
      <c r="O16" s="90">
        <f t="shared" si="2"/>
        <v>-509.04</v>
      </c>
      <c r="P16" s="91">
        <f t="shared" si="3"/>
        <v>-285.45</v>
      </c>
      <c r="Q16" s="107">
        <v>18.29</v>
      </c>
      <c r="R16" s="107">
        <v>24.69</v>
      </c>
      <c r="S16" s="107">
        <v>59.43</v>
      </c>
      <c r="T16" s="107">
        <v>41.14</v>
      </c>
      <c r="U16" s="107">
        <v>14.64</v>
      </c>
      <c r="V16" s="84">
        <f t="shared" si="4"/>
        <v>158.19</v>
      </c>
      <c r="W16" s="94">
        <f t="shared" si="5"/>
        <v>20.871250000000003</v>
      </c>
      <c r="X16" s="94"/>
      <c r="Y16" s="67">
        <f>0.6*B16*0.9</f>
        <v>73.98</v>
      </c>
      <c r="Z16" s="67">
        <f>B16*0.2*0.9081</f>
        <v>24.881940000000004</v>
      </c>
      <c r="AA16" s="67">
        <f>0.85*B16*0.8909</f>
        <v>103.745305</v>
      </c>
      <c r="AB16" s="67">
        <f t="shared" si="6"/>
        <v>18.6741549</v>
      </c>
      <c r="AC16" s="67">
        <f>(0.83*B16)*0.8927</f>
        <v>101.508917</v>
      </c>
      <c r="AD16" s="67">
        <f t="shared" si="7"/>
        <v>18.27160506</v>
      </c>
      <c r="AE16" s="67">
        <f>1.91*B16*0.8927</f>
        <v>233.59280900000002</v>
      </c>
      <c r="AF16" s="67">
        <f t="shared" si="8"/>
        <v>42.046705620000004</v>
      </c>
      <c r="AG16" s="67">
        <v>0</v>
      </c>
      <c r="AH16" s="67">
        <f t="shared" si="9"/>
        <v>0</v>
      </c>
      <c r="AI16" s="95"/>
      <c r="AJ16" s="95">
        <f t="shared" si="9"/>
        <v>0</v>
      </c>
      <c r="AK16" s="72"/>
      <c r="AL16" s="72"/>
      <c r="AM16" s="72">
        <f>(AK16)*0.18</f>
        <v>0</v>
      </c>
      <c r="AN16" s="96">
        <v>383</v>
      </c>
      <c r="AO16" s="97">
        <v>0</v>
      </c>
      <c r="AP16" s="67">
        <f t="shared" si="10"/>
        <v>0</v>
      </c>
      <c r="AQ16" s="98"/>
      <c r="AR16" s="98">
        <f>AQ16*0.18</f>
        <v>0</v>
      </c>
      <c r="AS16" s="98">
        <f t="shared" si="11"/>
        <v>616.7014365800001</v>
      </c>
      <c r="AT16" s="99"/>
      <c r="AU16" s="70">
        <f t="shared" si="13"/>
        <v>616.7014365800001</v>
      </c>
      <c r="AV16" s="128">
        <f t="shared" si="12"/>
        <v>-595.83018658</v>
      </c>
      <c r="AW16" s="129">
        <f t="shared" si="14"/>
        <v>667.23</v>
      </c>
    </row>
    <row r="17" spans="1:49" ht="12.75">
      <c r="A17" s="133" t="s">
        <v>40</v>
      </c>
      <c r="B17" s="210">
        <v>137</v>
      </c>
      <c r="C17" s="104">
        <f t="shared" si="1"/>
        <v>1185.05</v>
      </c>
      <c r="D17" s="132">
        <f>C17*0.125</f>
        <v>148.13125</v>
      </c>
      <c r="E17" s="88">
        <v>8.4</v>
      </c>
      <c r="F17" s="88">
        <v>0</v>
      </c>
      <c r="G17" s="88">
        <v>11.34</v>
      </c>
      <c r="H17" s="88">
        <v>0</v>
      </c>
      <c r="I17" s="88">
        <v>27.3</v>
      </c>
      <c r="J17" s="88">
        <v>0</v>
      </c>
      <c r="K17" s="88">
        <v>18.9</v>
      </c>
      <c r="L17" s="88">
        <v>0</v>
      </c>
      <c r="M17" s="88">
        <v>6.72</v>
      </c>
      <c r="N17" s="89">
        <v>0</v>
      </c>
      <c r="O17" s="134">
        <f t="shared" si="2"/>
        <v>72.66</v>
      </c>
      <c r="P17" s="91">
        <f t="shared" si="3"/>
        <v>0</v>
      </c>
      <c r="Q17" s="106">
        <v>8.45</v>
      </c>
      <c r="R17" s="107">
        <v>11.4</v>
      </c>
      <c r="S17" s="107">
        <v>27.45</v>
      </c>
      <c r="T17" s="107">
        <v>19.01</v>
      </c>
      <c r="U17" s="107">
        <v>6.76</v>
      </c>
      <c r="V17" s="84">
        <f t="shared" si="4"/>
        <v>73.07000000000001</v>
      </c>
      <c r="W17" s="135">
        <f t="shared" si="5"/>
        <v>221.20125000000002</v>
      </c>
      <c r="X17" s="94"/>
      <c r="Y17" s="67">
        <f>0.6*B17*0.9</f>
        <v>73.98</v>
      </c>
      <c r="Z17" s="67">
        <f>B17*0.2*0.9234</f>
        <v>25.301160000000003</v>
      </c>
      <c r="AA17" s="67">
        <f>0.85*B17*0.8909</f>
        <v>103.745305</v>
      </c>
      <c r="AB17" s="67">
        <f t="shared" si="6"/>
        <v>18.6741549</v>
      </c>
      <c r="AC17" s="67">
        <f>(0.83*B17)*0.8927</f>
        <v>101.508917</v>
      </c>
      <c r="AD17" s="67">
        <f t="shared" si="7"/>
        <v>18.27160506</v>
      </c>
      <c r="AE17" s="67">
        <f>1.91*B17*0.8927</f>
        <v>233.59280900000002</v>
      </c>
      <c r="AF17" s="67">
        <f t="shared" si="8"/>
        <v>42.046705620000004</v>
      </c>
      <c r="AG17" s="67">
        <v>0</v>
      </c>
      <c r="AH17" s="67">
        <f t="shared" si="9"/>
        <v>0</v>
      </c>
      <c r="AI17" s="95"/>
      <c r="AJ17" s="110">
        <f t="shared" si="9"/>
        <v>0</v>
      </c>
      <c r="AK17" s="72">
        <v>331.1</v>
      </c>
      <c r="AL17" s="72"/>
      <c r="AM17" s="68">
        <f>(AK17+AL17)*0.18</f>
        <v>59.598</v>
      </c>
      <c r="AN17" s="136">
        <v>307</v>
      </c>
      <c r="AO17" s="97">
        <v>0</v>
      </c>
      <c r="AP17" s="67">
        <f t="shared" si="10"/>
        <v>0</v>
      </c>
      <c r="AQ17" s="98"/>
      <c r="AR17" s="98">
        <f>AQ17*0.18</f>
        <v>0</v>
      </c>
      <c r="AS17" s="98">
        <f t="shared" si="11"/>
        <v>1007.81865658</v>
      </c>
      <c r="AT17" s="99"/>
      <c r="AU17" s="70">
        <f t="shared" si="13"/>
        <v>1007.81865658</v>
      </c>
      <c r="AV17" s="128">
        <f t="shared" si="12"/>
        <v>-786.6174065800001</v>
      </c>
      <c r="AW17" s="129">
        <f t="shared" si="14"/>
        <v>0.4100000000000108</v>
      </c>
    </row>
    <row r="18" spans="1:49" ht="12.75">
      <c r="A18" s="13" t="s">
        <v>41</v>
      </c>
      <c r="B18" s="84">
        <v>137</v>
      </c>
      <c r="C18" s="104">
        <f t="shared" si="1"/>
        <v>1185.05</v>
      </c>
      <c r="D18" s="132">
        <f>C18-E18-F18-G18-H18-I18-J18-K18-L18-M18-N18</f>
        <v>1103.14</v>
      </c>
      <c r="E18" s="140">
        <v>9.45</v>
      </c>
      <c r="F18" s="140">
        <v>0</v>
      </c>
      <c r="G18" s="140">
        <v>12.81</v>
      </c>
      <c r="H18" s="140">
        <v>0</v>
      </c>
      <c r="I18" s="140">
        <v>30.77</v>
      </c>
      <c r="J18" s="140">
        <v>0</v>
      </c>
      <c r="K18" s="140">
        <v>21.32</v>
      </c>
      <c r="L18" s="140">
        <v>0</v>
      </c>
      <c r="M18" s="140">
        <v>7.56</v>
      </c>
      <c r="N18" s="211">
        <v>0</v>
      </c>
      <c r="O18" s="138">
        <f t="shared" si="2"/>
        <v>81.91</v>
      </c>
      <c r="P18" s="139">
        <f t="shared" si="3"/>
        <v>0</v>
      </c>
      <c r="Q18" s="107">
        <v>8.39</v>
      </c>
      <c r="R18" s="107">
        <v>11.33</v>
      </c>
      <c r="S18" s="107">
        <v>27.27</v>
      </c>
      <c r="T18" s="107">
        <v>18.87</v>
      </c>
      <c r="U18" s="107">
        <v>6.7</v>
      </c>
      <c r="V18" s="84">
        <f t="shared" si="4"/>
        <v>72.56</v>
      </c>
      <c r="W18" s="94">
        <f t="shared" si="5"/>
        <v>1175.7</v>
      </c>
      <c r="X18" s="94"/>
      <c r="Y18" s="67">
        <f aca="true" t="shared" si="15" ref="Y18:Y25">0.6*B18</f>
        <v>82.2</v>
      </c>
      <c r="Z18" s="67">
        <f>B18*0.2*1.011</f>
        <v>27.7014</v>
      </c>
      <c r="AA18" s="67">
        <f>0.85*B18*0.9899</f>
        <v>115.273855</v>
      </c>
      <c r="AB18" s="67">
        <f t="shared" si="6"/>
        <v>20.749293899999998</v>
      </c>
      <c r="AC18" s="67">
        <f>(0.83*B18)*0.992</f>
        <v>112.80032</v>
      </c>
      <c r="AD18" s="67">
        <f t="shared" si="7"/>
        <v>20.3040576</v>
      </c>
      <c r="AE18" s="67">
        <f>1.91*B18*0.992</f>
        <v>259.57664</v>
      </c>
      <c r="AF18" s="67">
        <f t="shared" si="8"/>
        <v>46.7237952</v>
      </c>
      <c r="AG18" s="67">
        <v>0</v>
      </c>
      <c r="AH18" s="67">
        <f t="shared" si="9"/>
        <v>0</v>
      </c>
      <c r="AI18" s="95"/>
      <c r="AJ18" s="110">
        <f t="shared" si="9"/>
        <v>0</v>
      </c>
      <c r="AK18" s="72"/>
      <c r="AL18" s="72"/>
      <c r="AM18" s="68">
        <f>(AK18+AL18)*0.18</f>
        <v>0</v>
      </c>
      <c r="AN18" s="136">
        <v>263</v>
      </c>
      <c r="AO18" s="97">
        <v>0</v>
      </c>
      <c r="AP18" s="67">
        <f t="shared" si="10"/>
        <v>0</v>
      </c>
      <c r="AQ18" s="98"/>
      <c r="AR18" s="98">
        <f aca="true" t="shared" si="16" ref="AR18:AR25">AQ18*0.18</f>
        <v>0</v>
      </c>
      <c r="AS18" s="98">
        <f t="shared" si="11"/>
        <v>685.3293617</v>
      </c>
      <c r="AT18" s="99"/>
      <c r="AU18" s="70">
        <f t="shared" si="13"/>
        <v>685.3293617</v>
      </c>
      <c r="AV18" s="128">
        <f t="shared" si="12"/>
        <v>490.3706383</v>
      </c>
      <c r="AW18" s="129">
        <f t="shared" si="14"/>
        <v>-9.349999999999994</v>
      </c>
    </row>
    <row r="19" spans="1:49" ht="13.5" thickBot="1">
      <c r="A19" s="131" t="s">
        <v>42</v>
      </c>
      <c r="B19" s="84">
        <v>137</v>
      </c>
      <c r="C19" s="104">
        <f t="shared" si="1"/>
        <v>1185.05</v>
      </c>
      <c r="D19" s="132">
        <v>1103.15</v>
      </c>
      <c r="E19" s="140">
        <v>18.9</v>
      </c>
      <c r="F19" s="140">
        <v>0</v>
      </c>
      <c r="G19" s="140">
        <v>25.62</v>
      </c>
      <c r="H19" s="140">
        <v>0</v>
      </c>
      <c r="I19" s="140">
        <v>30.77</v>
      </c>
      <c r="J19" s="140">
        <v>0</v>
      </c>
      <c r="K19" s="140">
        <v>42.63</v>
      </c>
      <c r="L19" s="140">
        <v>0</v>
      </c>
      <c r="M19" s="140">
        <v>15.12</v>
      </c>
      <c r="N19" s="141">
        <v>0</v>
      </c>
      <c r="O19" s="134">
        <f t="shared" si="2"/>
        <v>133.04</v>
      </c>
      <c r="P19" s="91">
        <f t="shared" si="3"/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84">
        <f t="shared" si="4"/>
        <v>0</v>
      </c>
      <c r="W19" s="94">
        <f t="shared" si="5"/>
        <v>1103.15</v>
      </c>
      <c r="X19" s="94"/>
      <c r="Y19" s="67">
        <f t="shared" si="15"/>
        <v>82.2</v>
      </c>
      <c r="Z19" s="67">
        <f>B19*0.2*1.01045</f>
        <v>27.686330000000005</v>
      </c>
      <c r="AA19" s="67">
        <f>0.85*B19*0.98824</f>
        <v>115.08054800000001</v>
      </c>
      <c r="AB19" s="67">
        <f t="shared" si="6"/>
        <v>20.714498640000002</v>
      </c>
      <c r="AC19" s="67">
        <f>(0.83*B19)*0.99023</f>
        <v>112.5990533</v>
      </c>
      <c r="AD19" s="67">
        <f t="shared" si="7"/>
        <v>20.267829594</v>
      </c>
      <c r="AE19" s="67">
        <f>(1.91)*B19*0.99023</f>
        <v>259.11348410000005</v>
      </c>
      <c r="AF19" s="67">
        <f t="shared" si="8"/>
        <v>46.64042713800001</v>
      </c>
      <c r="AG19" s="67">
        <v>0</v>
      </c>
      <c r="AH19" s="67">
        <f t="shared" si="9"/>
        <v>0</v>
      </c>
      <c r="AI19" s="95"/>
      <c r="AJ19" s="95">
        <f t="shared" si="9"/>
        <v>0</v>
      </c>
      <c r="AK19" s="72"/>
      <c r="AL19" s="72"/>
      <c r="AM19" s="68">
        <f>(AK19+AL19)*0.18</f>
        <v>0</v>
      </c>
      <c r="AN19" s="136">
        <v>233</v>
      </c>
      <c r="AO19" s="97">
        <v>0</v>
      </c>
      <c r="AP19" s="67">
        <f t="shared" si="10"/>
        <v>0</v>
      </c>
      <c r="AQ19" s="98"/>
      <c r="AR19" s="98">
        <f t="shared" si="16"/>
        <v>0</v>
      </c>
      <c r="AS19" s="98">
        <f t="shared" si="11"/>
        <v>684.302170772</v>
      </c>
      <c r="AT19" s="99"/>
      <c r="AU19" s="70">
        <f t="shared" si="13"/>
        <v>684.302170772</v>
      </c>
      <c r="AV19" s="128">
        <f t="shared" si="12"/>
        <v>418.84782922800014</v>
      </c>
      <c r="AW19" s="129">
        <f t="shared" si="14"/>
        <v>-133.04</v>
      </c>
    </row>
    <row r="20" spans="1:49" ht="12.75">
      <c r="A20" s="133" t="s">
        <v>43</v>
      </c>
      <c r="B20" s="212">
        <v>137</v>
      </c>
      <c r="C20" s="104">
        <f t="shared" si="1"/>
        <v>1185.05</v>
      </c>
      <c r="D20" s="132">
        <v>1103.14</v>
      </c>
      <c r="E20" s="140">
        <v>0</v>
      </c>
      <c r="F20" s="140">
        <v>0</v>
      </c>
      <c r="G20" s="140">
        <v>0</v>
      </c>
      <c r="H20" s="140">
        <v>0</v>
      </c>
      <c r="I20" s="140">
        <v>30.77</v>
      </c>
      <c r="J20" s="140">
        <v>0</v>
      </c>
      <c r="K20" s="140">
        <v>0.01</v>
      </c>
      <c r="L20" s="140">
        <v>0</v>
      </c>
      <c r="M20" s="140">
        <v>0</v>
      </c>
      <c r="N20" s="141">
        <v>0</v>
      </c>
      <c r="O20" s="213">
        <f t="shared" si="2"/>
        <v>30.78</v>
      </c>
      <c r="P20" s="214">
        <f t="shared" si="3"/>
        <v>0</v>
      </c>
      <c r="Q20" s="215">
        <v>15.3</v>
      </c>
      <c r="R20" s="215">
        <v>20.75</v>
      </c>
      <c r="S20" s="215">
        <v>33.22</v>
      </c>
      <c r="T20" s="215">
        <v>34.53</v>
      </c>
      <c r="U20" s="215">
        <v>12.25</v>
      </c>
      <c r="V20" s="212">
        <f t="shared" si="4"/>
        <v>116.05</v>
      </c>
      <c r="W20" s="216">
        <f t="shared" si="5"/>
        <v>1219.19</v>
      </c>
      <c r="X20" s="216"/>
      <c r="Y20" s="74">
        <f t="shared" si="15"/>
        <v>82.2</v>
      </c>
      <c r="Z20" s="67">
        <f>B20*0.2*0.99426</f>
        <v>27.242724000000003</v>
      </c>
      <c r="AA20" s="67">
        <f>0.85*B20*0.98824</f>
        <v>115.08054800000001</v>
      </c>
      <c r="AB20" s="74">
        <f t="shared" si="6"/>
        <v>20.714498640000002</v>
      </c>
      <c r="AC20" s="67">
        <f>0.83*B20*0.99023</f>
        <v>112.5990533</v>
      </c>
      <c r="AD20" s="74">
        <f t="shared" si="7"/>
        <v>20.267829594</v>
      </c>
      <c r="AE20" s="67">
        <f>1.91*B20*0.99023</f>
        <v>259.11348410000005</v>
      </c>
      <c r="AF20" s="74">
        <f t="shared" si="8"/>
        <v>46.64042713800001</v>
      </c>
      <c r="AG20" s="74">
        <v>0</v>
      </c>
      <c r="AH20" s="74">
        <f t="shared" si="9"/>
        <v>0</v>
      </c>
      <c r="AI20" s="95"/>
      <c r="AJ20" s="110">
        <f t="shared" si="9"/>
        <v>0</v>
      </c>
      <c r="AK20" s="217"/>
      <c r="AL20" s="217"/>
      <c r="AM20" s="217">
        <f>AK20*0.18</f>
        <v>0</v>
      </c>
      <c r="AN20" s="142">
        <v>248</v>
      </c>
      <c r="AO20" s="218">
        <v>0</v>
      </c>
      <c r="AP20" s="74">
        <f t="shared" si="10"/>
        <v>0</v>
      </c>
      <c r="AQ20" s="219"/>
      <c r="AR20" s="219">
        <f t="shared" si="16"/>
        <v>0</v>
      </c>
      <c r="AS20" s="98">
        <f t="shared" si="11"/>
        <v>683.8585647719999</v>
      </c>
      <c r="AT20" s="220"/>
      <c r="AU20" s="70">
        <f t="shared" si="13"/>
        <v>683.8585647719999</v>
      </c>
      <c r="AV20" s="128">
        <f t="shared" si="12"/>
        <v>535.3314352280001</v>
      </c>
      <c r="AW20" s="129">
        <f t="shared" si="14"/>
        <v>85.27</v>
      </c>
    </row>
    <row r="21" spans="1:49" ht="12.75">
      <c r="A21" s="13" t="s">
        <v>44</v>
      </c>
      <c r="B21" s="221">
        <v>137</v>
      </c>
      <c r="C21" s="104">
        <f t="shared" si="1"/>
        <v>1185.05</v>
      </c>
      <c r="D21" s="132">
        <f>C21-E21-F21-G21-H21-I21-J21-K21-L21-M21-N21</f>
        <v>1103.14</v>
      </c>
      <c r="E21" s="140">
        <v>9.45</v>
      </c>
      <c r="F21" s="140">
        <v>0</v>
      </c>
      <c r="G21" s="140">
        <v>12.81</v>
      </c>
      <c r="H21" s="140">
        <v>0</v>
      </c>
      <c r="I21" s="140">
        <v>30.77</v>
      </c>
      <c r="J21" s="140">
        <v>0</v>
      </c>
      <c r="K21" s="140">
        <v>21.32</v>
      </c>
      <c r="L21" s="140">
        <v>0</v>
      </c>
      <c r="M21" s="140">
        <v>7.56</v>
      </c>
      <c r="N21" s="141">
        <v>0</v>
      </c>
      <c r="O21" s="213">
        <f t="shared" si="2"/>
        <v>81.91</v>
      </c>
      <c r="P21" s="91">
        <f t="shared" si="3"/>
        <v>0</v>
      </c>
      <c r="Q21" s="107">
        <v>13.03</v>
      </c>
      <c r="R21" s="107">
        <v>17.67</v>
      </c>
      <c r="S21" s="107">
        <v>59.07</v>
      </c>
      <c r="T21" s="107">
        <v>29.42</v>
      </c>
      <c r="U21" s="107">
        <v>10.43</v>
      </c>
      <c r="V21" s="84">
        <f t="shared" si="4"/>
        <v>129.62</v>
      </c>
      <c r="W21" s="94">
        <f t="shared" si="5"/>
        <v>1232.7600000000002</v>
      </c>
      <c r="X21" s="94"/>
      <c r="Y21" s="67">
        <f t="shared" si="15"/>
        <v>82.2</v>
      </c>
      <c r="Z21" s="67">
        <f>B21*0.2*0.99875</f>
        <v>27.365750000000002</v>
      </c>
      <c r="AA21" s="67">
        <f>0.85*B21*0.9882</f>
        <v>115.07589</v>
      </c>
      <c r="AB21" s="67">
        <f t="shared" si="6"/>
        <v>20.7136602</v>
      </c>
      <c r="AC21" s="67">
        <f>0.83*B21*0.9902</f>
        <v>112.59564199999998</v>
      </c>
      <c r="AD21" s="67">
        <f t="shared" si="7"/>
        <v>20.267215559999997</v>
      </c>
      <c r="AE21" s="67">
        <f>1.91*B21*0.9902</f>
        <v>259.105634</v>
      </c>
      <c r="AF21" s="67">
        <f t="shared" si="8"/>
        <v>46.63901412</v>
      </c>
      <c r="AG21" s="67">
        <v>0</v>
      </c>
      <c r="AH21" s="67">
        <f t="shared" si="9"/>
        <v>0</v>
      </c>
      <c r="AI21" s="95"/>
      <c r="AJ21" s="110">
        <f t="shared" si="9"/>
        <v>0</v>
      </c>
      <c r="AK21" s="72"/>
      <c r="AL21" s="72">
        <v>463.56</v>
      </c>
      <c r="AM21" s="68">
        <f>(AK21+AL21)*0.18</f>
        <v>83.4408</v>
      </c>
      <c r="AN21" s="142">
        <v>293</v>
      </c>
      <c r="AO21" s="97">
        <v>0</v>
      </c>
      <c r="AP21" s="67">
        <f t="shared" si="10"/>
        <v>0</v>
      </c>
      <c r="AQ21" s="98"/>
      <c r="AR21" s="98">
        <f t="shared" si="16"/>
        <v>0</v>
      </c>
      <c r="AS21" s="98">
        <f t="shared" si="11"/>
        <v>1230.96360588</v>
      </c>
      <c r="AT21" s="99"/>
      <c r="AU21" s="70">
        <f t="shared" si="13"/>
        <v>1230.96360588</v>
      </c>
      <c r="AV21" s="128">
        <f t="shared" si="12"/>
        <v>1.7963941200002864</v>
      </c>
      <c r="AW21" s="129">
        <f t="shared" si="14"/>
        <v>47.71000000000001</v>
      </c>
    </row>
    <row r="22" spans="1:49" ht="13.5" thickBot="1">
      <c r="A22" s="131" t="s">
        <v>45</v>
      </c>
      <c r="B22" s="84">
        <v>137</v>
      </c>
      <c r="C22" s="104">
        <f t="shared" si="1"/>
        <v>1185.05</v>
      </c>
      <c r="D22" s="132">
        <f>C22-E22-F22-G22-H22-I22-J22-K22-L22-M22-N22</f>
        <v>1103.14</v>
      </c>
      <c r="E22" s="88">
        <v>9.45</v>
      </c>
      <c r="F22" s="88">
        <v>0</v>
      </c>
      <c r="G22" s="88">
        <v>12.81</v>
      </c>
      <c r="H22" s="88">
        <v>0</v>
      </c>
      <c r="I22" s="88">
        <v>30.77</v>
      </c>
      <c r="J22" s="88">
        <v>0</v>
      </c>
      <c r="K22" s="88">
        <v>21.32</v>
      </c>
      <c r="L22" s="88">
        <v>0</v>
      </c>
      <c r="M22" s="88">
        <v>7.56</v>
      </c>
      <c r="N22" s="89">
        <v>0</v>
      </c>
      <c r="O22" s="213">
        <f t="shared" si="2"/>
        <v>81.91</v>
      </c>
      <c r="P22" s="91">
        <f t="shared" si="3"/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84">
        <f t="shared" si="4"/>
        <v>0</v>
      </c>
      <c r="W22" s="94">
        <f t="shared" si="5"/>
        <v>1103.14</v>
      </c>
      <c r="X22" s="94"/>
      <c r="Y22" s="67">
        <f t="shared" si="15"/>
        <v>82.2</v>
      </c>
      <c r="Z22" s="67">
        <f>B22*0.2*0.9997</f>
        <v>27.391780000000004</v>
      </c>
      <c r="AA22" s="67">
        <f>0.85*B22*0.9882</f>
        <v>115.07589</v>
      </c>
      <c r="AB22" s="67">
        <f t="shared" si="6"/>
        <v>20.7136602</v>
      </c>
      <c r="AC22" s="67">
        <f>(0.83*B22)*0.9902</f>
        <v>112.59564199999998</v>
      </c>
      <c r="AD22" s="67">
        <f t="shared" si="7"/>
        <v>20.267215559999997</v>
      </c>
      <c r="AE22" s="67">
        <f>1.91*B22*0.9902</f>
        <v>259.105634</v>
      </c>
      <c r="AF22" s="67">
        <f t="shared" si="8"/>
        <v>46.63901412</v>
      </c>
      <c r="AG22" s="67">
        <v>0</v>
      </c>
      <c r="AH22" s="67">
        <f t="shared" si="9"/>
        <v>0</v>
      </c>
      <c r="AI22" s="95"/>
      <c r="AJ22" s="110">
        <f t="shared" si="9"/>
        <v>0</v>
      </c>
      <c r="AK22" s="72"/>
      <c r="AL22" s="72"/>
      <c r="AM22" s="68">
        <f>(AK22+AL22)*0.18</f>
        <v>0</v>
      </c>
      <c r="AN22" s="142">
        <v>349</v>
      </c>
      <c r="AO22" s="97">
        <v>0</v>
      </c>
      <c r="AP22" s="67">
        <f t="shared" si="10"/>
        <v>0</v>
      </c>
      <c r="AQ22" s="98"/>
      <c r="AR22" s="98">
        <f t="shared" si="16"/>
        <v>0</v>
      </c>
      <c r="AS22" s="98">
        <f t="shared" si="11"/>
        <v>683.9888358799999</v>
      </c>
      <c r="AT22" s="99"/>
      <c r="AU22" s="70">
        <f t="shared" si="13"/>
        <v>683.9888358799999</v>
      </c>
      <c r="AV22" s="128">
        <f t="shared" si="12"/>
        <v>419.1511641200002</v>
      </c>
      <c r="AW22" s="129">
        <f t="shared" si="14"/>
        <v>-81.91</v>
      </c>
    </row>
    <row r="23" spans="1:49" ht="12.75">
      <c r="A23" s="133" t="s">
        <v>33</v>
      </c>
      <c r="B23" s="143">
        <v>137</v>
      </c>
      <c r="C23" s="144">
        <f>B23*8.65</f>
        <v>1185.05</v>
      </c>
      <c r="D23" s="132">
        <f>C23-O23-P23</f>
        <v>1103.1399999999999</v>
      </c>
      <c r="E23" s="88">
        <v>9.45</v>
      </c>
      <c r="F23" s="88">
        <v>0</v>
      </c>
      <c r="G23" s="88">
        <v>12.81</v>
      </c>
      <c r="H23" s="88">
        <v>0</v>
      </c>
      <c r="I23" s="88">
        <v>30.77</v>
      </c>
      <c r="J23" s="88">
        <v>0</v>
      </c>
      <c r="K23" s="88">
        <v>21.32</v>
      </c>
      <c r="L23" s="88">
        <v>0</v>
      </c>
      <c r="M23" s="88">
        <v>7.56</v>
      </c>
      <c r="N23" s="137">
        <v>0</v>
      </c>
      <c r="O23" s="145">
        <f t="shared" si="2"/>
        <v>81.91</v>
      </c>
      <c r="P23" s="146">
        <f t="shared" si="3"/>
        <v>0</v>
      </c>
      <c r="Q23" s="107">
        <v>10.71</v>
      </c>
      <c r="R23" s="107">
        <v>14.52</v>
      </c>
      <c r="S23" s="107">
        <v>34.87</v>
      </c>
      <c r="T23" s="107">
        <v>24.16</v>
      </c>
      <c r="U23" s="107">
        <v>8.57</v>
      </c>
      <c r="V23" s="137">
        <f t="shared" si="4"/>
        <v>92.82999999999998</v>
      </c>
      <c r="W23" s="109">
        <f t="shared" si="5"/>
        <v>1195.9699999999998</v>
      </c>
      <c r="X23" s="147"/>
      <c r="Y23" s="73">
        <f t="shared" si="15"/>
        <v>82.2</v>
      </c>
      <c r="Z23" s="24">
        <f>B23*0.2</f>
        <v>27.400000000000002</v>
      </c>
      <c r="AA23" s="24">
        <f>0.85*B23</f>
        <v>116.45</v>
      </c>
      <c r="AB23" s="24">
        <f t="shared" si="6"/>
        <v>20.961</v>
      </c>
      <c r="AC23" s="24">
        <f>(0.83*B23)</f>
        <v>113.71</v>
      </c>
      <c r="AD23" s="24">
        <f t="shared" si="7"/>
        <v>20.467799999999997</v>
      </c>
      <c r="AE23" s="24">
        <f>1.91*B23</f>
        <v>261.67</v>
      </c>
      <c r="AF23" s="24">
        <f t="shared" si="8"/>
        <v>47.1006</v>
      </c>
      <c r="AG23" s="24">
        <v>0</v>
      </c>
      <c r="AH23" s="24">
        <f t="shared" si="9"/>
        <v>0</v>
      </c>
      <c r="AI23" s="95"/>
      <c r="AJ23" s="110">
        <f t="shared" si="9"/>
        <v>0</v>
      </c>
      <c r="AK23" s="68"/>
      <c r="AL23" s="68"/>
      <c r="AM23" s="68">
        <f>(AK23+AL23)*0.18</f>
        <v>0</v>
      </c>
      <c r="AN23" s="112">
        <v>425</v>
      </c>
      <c r="AO23" s="113">
        <v>0</v>
      </c>
      <c r="AP23" s="24">
        <f t="shared" si="10"/>
        <v>0</v>
      </c>
      <c r="AQ23" s="114"/>
      <c r="AR23" s="114">
        <f t="shared" si="16"/>
        <v>0</v>
      </c>
      <c r="AS23" s="98">
        <f t="shared" si="11"/>
        <v>689.9594</v>
      </c>
      <c r="AT23" s="115"/>
      <c r="AU23" s="70">
        <f t="shared" si="13"/>
        <v>689.9594</v>
      </c>
      <c r="AV23" s="128">
        <f t="shared" si="12"/>
        <v>506.01059999999984</v>
      </c>
      <c r="AW23" s="129">
        <f t="shared" si="14"/>
        <v>10.919999999999987</v>
      </c>
    </row>
    <row r="24" spans="1:49" ht="12.75">
      <c r="A24" s="13" t="s">
        <v>34</v>
      </c>
      <c r="B24" s="143">
        <v>137</v>
      </c>
      <c r="C24" s="144">
        <f>B24*8.65</f>
        <v>1185.05</v>
      </c>
      <c r="D24" s="132">
        <f>C24-O24-P24</f>
        <v>1103.1399999999999</v>
      </c>
      <c r="E24" s="88">
        <v>9.45</v>
      </c>
      <c r="F24" s="88">
        <v>0</v>
      </c>
      <c r="G24" s="88">
        <v>12.81</v>
      </c>
      <c r="H24" s="88">
        <v>0</v>
      </c>
      <c r="I24" s="88">
        <v>30.77</v>
      </c>
      <c r="J24" s="88">
        <v>0</v>
      </c>
      <c r="K24" s="88">
        <v>21.32</v>
      </c>
      <c r="L24" s="88">
        <v>0</v>
      </c>
      <c r="M24" s="88">
        <v>7.56</v>
      </c>
      <c r="N24" s="89">
        <v>0</v>
      </c>
      <c r="O24" s="145">
        <f t="shared" si="2"/>
        <v>81.91</v>
      </c>
      <c r="P24" s="146">
        <f t="shared" si="3"/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37">
        <f t="shared" si="4"/>
        <v>0</v>
      </c>
      <c r="W24" s="109">
        <f t="shared" si="5"/>
        <v>1103.1399999999999</v>
      </c>
      <c r="X24" s="109"/>
      <c r="Y24" s="24">
        <f t="shared" si="15"/>
        <v>82.2</v>
      </c>
      <c r="Z24" s="24">
        <f>B24*0.2</f>
        <v>27.400000000000002</v>
      </c>
      <c r="AA24" s="24">
        <f>0.85*B24</f>
        <v>116.45</v>
      </c>
      <c r="AB24" s="24">
        <f t="shared" si="6"/>
        <v>20.961</v>
      </c>
      <c r="AC24" s="24">
        <f>(0.83*B24)</f>
        <v>113.71</v>
      </c>
      <c r="AD24" s="24">
        <f t="shared" si="7"/>
        <v>20.467799999999997</v>
      </c>
      <c r="AE24" s="24">
        <f>1.91*B24</f>
        <v>261.67</v>
      </c>
      <c r="AF24" s="24">
        <f t="shared" si="8"/>
        <v>47.1006</v>
      </c>
      <c r="AG24" s="24">
        <v>0</v>
      </c>
      <c r="AH24" s="24">
        <f t="shared" si="9"/>
        <v>0</v>
      </c>
      <c r="AI24" s="95"/>
      <c r="AJ24" s="110">
        <f t="shared" si="9"/>
        <v>0</v>
      </c>
      <c r="AK24" s="68"/>
      <c r="AL24" s="68"/>
      <c r="AM24" s="68">
        <f>AK24*0.18</f>
        <v>0</v>
      </c>
      <c r="AN24" s="112">
        <v>470</v>
      </c>
      <c r="AO24" s="113">
        <v>0</v>
      </c>
      <c r="AP24" s="24">
        <f t="shared" si="10"/>
        <v>0</v>
      </c>
      <c r="AQ24" s="114"/>
      <c r="AR24" s="114">
        <f t="shared" si="16"/>
        <v>0</v>
      </c>
      <c r="AS24" s="98">
        <f t="shared" si="11"/>
        <v>689.9594</v>
      </c>
      <c r="AT24" s="115"/>
      <c r="AU24" s="70">
        <f t="shared" si="13"/>
        <v>689.9594</v>
      </c>
      <c r="AV24" s="128">
        <f t="shared" si="12"/>
        <v>413.1805999999999</v>
      </c>
      <c r="AW24" s="129">
        <f t="shared" si="14"/>
        <v>-81.91</v>
      </c>
    </row>
    <row r="25" spans="1:49" s="103" customFormat="1" ht="12.75">
      <c r="A25" s="83" t="s">
        <v>35</v>
      </c>
      <c r="B25" s="149">
        <v>137</v>
      </c>
      <c r="C25" s="104">
        <v>0</v>
      </c>
      <c r="D25" s="150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90">
        <f t="shared" si="2"/>
        <v>0</v>
      </c>
      <c r="P25" s="91">
        <f t="shared" si="3"/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37">
        <f t="shared" si="4"/>
        <v>0</v>
      </c>
      <c r="W25" s="109">
        <f t="shared" si="5"/>
        <v>0</v>
      </c>
      <c r="X25" s="109"/>
      <c r="Y25" s="24">
        <f t="shared" si="15"/>
        <v>82.2</v>
      </c>
      <c r="Z25" s="24">
        <f>B25*0.2</f>
        <v>27.400000000000002</v>
      </c>
      <c r="AA25" s="24">
        <f>0.85*B25</f>
        <v>116.45</v>
      </c>
      <c r="AB25" s="24">
        <f t="shared" si="6"/>
        <v>20.961</v>
      </c>
      <c r="AC25" s="24">
        <f>(0.83*B25)</f>
        <v>113.71</v>
      </c>
      <c r="AD25" s="24">
        <f t="shared" si="7"/>
        <v>20.467799999999997</v>
      </c>
      <c r="AE25" s="24">
        <f>1.91*B25</f>
        <v>261.67</v>
      </c>
      <c r="AF25" s="24">
        <f t="shared" si="8"/>
        <v>47.1006</v>
      </c>
      <c r="AG25" s="24">
        <v>0</v>
      </c>
      <c r="AH25" s="24">
        <f t="shared" si="9"/>
        <v>0</v>
      </c>
      <c r="AI25" s="95"/>
      <c r="AJ25" s="110">
        <f t="shared" si="9"/>
        <v>0</v>
      </c>
      <c r="AK25" s="68">
        <v>242.69</v>
      </c>
      <c r="AL25" s="68"/>
      <c r="AM25" s="68">
        <f>AK25*0.18</f>
        <v>43.6842</v>
      </c>
      <c r="AN25" s="112">
        <v>514</v>
      </c>
      <c r="AO25" s="113">
        <v>0</v>
      </c>
      <c r="AP25" s="24">
        <f t="shared" si="10"/>
        <v>0</v>
      </c>
      <c r="AQ25" s="114"/>
      <c r="AR25" s="114">
        <f t="shared" si="16"/>
        <v>0</v>
      </c>
      <c r="AS25" s="98">
        <f t="shared" si="11"/>
        <v>976.3336</v>
      </c>
      <c r="AT25" s="115"/>
      <c r="AU25" s="70">
        <f t="shared" si="13"/>
        <v>976.3336</v>
      </c>
      <c r="AV25" s="128">
        <f t="shared" si="12"/>
        <v>-976.3336</v>
      </c>
      <c r="AW25" s="129">
        <f t="shared" si="14"/>
        <v>0</v>
      </c>
    </row>
    <row r="26" spans="1:49" s="23" customFormat="1" ht="12.75">
      <c r="A26" s="18" t="s">
        <v>3</v>
      </c>
      <c r="B26" s="19"/>
      <c r="C26" s="19">
        <f>SUM(C14:C25)</f>
        <v>13035.549999999997</v>
      </c>
      <c r="D26" s="19">
        <f aca="true" t="shared" si="17" ref="D26:AW26">SUM(D14:D25)</f>
        <v>8314.515</v>
      </c>
      <c r="E26" s="19">
        <f t="shared" si="17"/>
        <v>-6.7499999999999964</v>
      </c>
      <c r="F26" s="19">
        <f t="shared" si="17"/>
        <v>-45</v>
      </c>
      <c r="G26" s="19">
        <f t="shared" si="17"/>
        <v>-8.759999999999978</v>
      </c>
      <c r="H26" s="19">
        <f t="shared" si="17"/>
        <v>-60.75</v>
      </c>
      <c r="I26" s="19">
        <f t="shared" si="17"/>
        <v>-21.51999999999995</v>
      </c>
      <c r="J26" s="19">
        <f t="shared" si="17"/>
        <v>-146.25</v>
      </c>
      <c r="K26" s="19">
        <f t="shared" si="17"/>
        <v>-14.770000000000017</v>
      </c>
      <c r="L26" s="19">
        <f t="shared" si="17"/>
        <v>-101.25</v>
      </c>
      <c r="M26" s="19">
        <f t="shared" si="17"/>
        <v>-5.399999999999998</v>
      </c>
      <c r="N26" s="19">
        <f t="shared" si="17"/>
        <v>-36</v>
      </c>
      <c r="O26" s="19">
        <f t="shared" si="17"/>
        <v>-57.20000000000019</v>
      </c>
      <c r="P26" s="19">
        <f t="shared" si="17"/>
        <v>-389.25</v>
      </c>
      <c r="Q26" s="19">
        <f t="shared" si="17"/>
        <v>109.38999999999999</v>
      </c>
      <c r="R26" s="19">
        <f t="shared" si="17"/>
        <v>147.92000000000002</v>
      </c>
      <c r="S26" s="19">
        <f t="shared" si="17"/>
        <v>355.8</v>
      </c>
      <c r="T26" s="19">
        <f t="shared" si="17"/>
        <v>246.39000000000001</v>
      </c>
      <c r="U26" s="19">
        <f t="shared" si="17"/>
        <v>87.52000000000001</v>
      </c>
      <c r="V26" s="19">
        <f t="shared" si="17"/>
        <v>947.02</v>
      </c>
      <c r="W26" s="19">
        <f t="shared" si="17"/>
        <v>8872.285</v>
      </c>
      <c r="X26" s="19">
        <f t="shared" si="17"/>
        <v>0</v>
      </c>
      <c r="Y26" s="19">
        <f t="shared" si="17"/>
        <v>953.5200000000002</v>
      </c>
      <c r="Z26" s="19">
        <f t="shared" si="17"/>
        <v>319.279184</v>
      </c>
      <c r="AA26" s="19">
        <f t="shared" si="17"/>
        <v>1338.6120660000001</v>
      </c>
      <c r="AB26" s="19">
        <f t="shared" si="17"/>
        <v>240.95017188000003</v>
      </c>
      <c r="AC26" s="19">
        <f t="shared" si="17"/>
        <v>1310.5373146000002</v>
      </c>
      <c r="AD26" s="19">
        <f t="shared" si="17"/>
        <v>235.89671662800004</v>
      </c>
      <c r="AE26" s="19">
        <f t="shared" si="17"/>
        <v>3015.8247842</v>
      </c>
      <c r="AF26" s="19">
        <f t="shared" si="17"/>
        <v>542.848461156</v>
      </c>
      <c r="AG26" s="19">
        <f t="shared" si="17"/>
        <v>0</v>
      </c>
      <c r="AH26" s="19">
        <f t="shared" si="17"/>
        <v>0</v>
      </c>
      <c r="AI26" s="152">
        <f t="shared" si="17"/>
        <v>0</v>
      </c>
      <c r="AJ26" s="152">
        <f t="shared" si="17"/>
        <v>0</v>
      </c>
      <c r="AK26" s="20">
        <f t="shared" si="17"/>
        <v>573.79</v>
      </c>
      <c r="AL26" s="20">
        <f t="shared" si="17"/>
        <v>463.56</v>
      </c>
      <c r="AM26" s="20">
        <f t="shared" si="17"/>
        <v>186.72299999999998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9181.541698464</v>
      </c>
      <c r="AT26" s="19">
        <f t="shared" si="17"/>
        <v>0</v>
      </c>
      <c r="AU26" s="19">
        <f t="shared" si="17"/>
        <v>9181.541698464</v>
      </c>
      <c r="AV26" s="19">
        <f t="shared" si="17"/>
        <v>-309.25669846399967</v>
      </c>
      <c r="AW26" s="153">
        <f t="shared" si="17"/>
        <v>1004.2200000000001</v>
      </c>
    </row>
    <row r="27" spans="1:49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54"/>
      <c r="AJ27" s="154"/>
      <c r="AK27" s="66"/>
      <c r="AL27" s="66"/>
      <c r="AM27" s="66"/>
      <c r="AN27" s="22"/>
      <c r="AO27" s="22"/>
      <c r="AP27" s="155"/>
      <c r="AQ27" s="50"/>
      <c r="AR27" s="50"/>
      <c r="AS27" s="50"/>
      <c r="AT27" s="50"/>
      <c r="AU27" s="50"/>
      <c r="AV27" s="50"/>
      <c r="AW27" s="156"/>
    </row>
    <row r="28" spans="1:49" s="23" customFormat="1" ht="13.5" thickBot="1">
      <c r="A28" s="25" t="s">
        <v>46</v>
      </c>
      <c r="B28" s="26"/>
      <c r="C28" s="26">
        <f>C12+C26</f>
        <v>16590.699999999997</v>
      </c>
      <c r="D28" s="26">
        <f aca="true" t="shared" si="18" ref="D28:AW28">D12+D26</f>
        <v>9169.2514555</v>
      </c>
      <c r="E28" s="26">
        <f t="shared" si="18"/>
        <v>124.94999999999999</v>
      </c>
      <c r="F28" s="26">
        <f t="shared" si="18"/>
        <v>0</v>
      </c>
      <c r="G28" s="26">
        <f t="shared" si="18"/>
        <v>169.05</v>
      </c>
      <c r="H28" s="26">
        <f t="shared" si="18"/>
        <v>0</v>
      </c>
      <c r="I28" s="26">
        <f t="shared" si="18"/>
        <v>406.51000000000005</v>
      </c>
      <c r="J28" s="26">
        <f t="shared" si="18"/>
        <v>0</v>
      </c>
      <c r="K28" s="26">
        <f t="shared" si="18"/>
        <v>281.592</v>
      </c>
      <c r="L28" s="26">
        <f t="shared" si="18"/>
        <v>0</v>
      </c>
      <c r="M28" s="26">
        <f t="shared" si="18"/>
        <v>99.96</v>
      </c>
      <c r="N28" s="26">
        <f t="shared" si="18"/>
        <v>0</v>
      </c>
      <c r="O28" s="26">
        <f t="shared" si="18"/>
        <v>1082.0619999999997</v>
      </c>
      <c r="P28" s="26">
        <f t="shared" si="18"/>
        <v>0</v>
      </c>
      <c r="Q28" s="26">
        <f t="shared" si="18"/>
        <v>198.14</v>
      </c>
      <c r="R28" s="26">
        <f t="shared" si="18"/>
        <v>267.74</v>
      </c>
      <c r="S28" s="26">
        <f t="shared" si="18"/>
        <v>644.22</v>
      </c>
      <c r="T28" s="26">
        <f t="shared" si="18"/>
        <v>446.07000000000005</v>
      </c>
      <c r="U28" s="26">
        <f t="shared" si="18"/>
        <v>158.52</v>
      </c>
      <c r="V28" s="26">
        <f t="shared" si="18"/>
        <v>1714.69</v>
      </c>
      <c r="W28" s="26">
        <f t="shared" si="18"/>
        <v>10883.9414555</v>
      </c>
      <c r="X28" s="26">
        <f t="shared" si="18"/>
        <v>0</v>
      </c>
      <c r="Y28" s="26">
        <f t="shared" si="18"/>
        <v>1200.1200000000003</v>
      </c>
      <c r="Z28" s="26">
        <f t="shared" si="18"/>
        <v>403.904084</v>
      </c>
      <c r="AA28" s="26">
        <f t="shared" si="18"/>
        <v>1686.9756660000003</v>
      </c>
      <c r="AB28" s="26">
        <f>AB12+AB26</f>
        <v>303.65561988</v>
      </c>
      <c r="AC28" s="26">
        <f t="shared" si="18"/>
        <v>1633.8743026000002</v>
      </c>
      <c r="AD28" s="26">
        <f t="shared" si="18"/>
        <v>294.09737446800006</v>
      </c>
      <c r="AE28" s="26">
        <f t="shared" si="18"/>
        <v>3609.6455987</v>
      </c>
      <c r="AF28" s="26">
        <f t="shared" si="18"/>
        <v>649.736207766</v>
      </c>
      <c r="AG28" s="26">
        <f t="shared" si="18"/>
        <v>0</v>
      </c>
      <c r="AH28" s="26">
        <f t="shared" si="18"/>
        <v>0</v>
      </c>
      <c r="AI28" s="157">
        <f t="shared" si="18"/>
        <v>0</v>
      </c>
      <c r="AJ28" s="157">
        <f t="shared" si="18"/>
        <v>0</v>
      </c>
      <c r="AK28" s="158">
        <f t="shared" si="18"/>
        <v>2949.69</v>
      </c>
      <c r="AL28" s="158">
        <f t="shared" si="18"/>
        <v>463.56</v>
      </c>
      <c r="AM28" s="158">
        <f t="shared" si="18"/>
        <v>614.385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13809.643853414</v>
      </c>
      <c r="AT28" s="26">
        <f t="shared" si="18"/>
        <v>0</v>
      </c>
      <c r="AU28" s="26">
        <f t="shared" si="18"/>
        <v>13809.643853414</v>
      </c>
      <c r="AV28" s="26">
        <f t="shared" si="18"/>
        <v>-2925.7023979139994</v>
      </c>
      <c r="AW28" s="26">
        <f t="shared" si="18"/>
        <v>632.6280000000002</v>
      </c>
    </row>
    <row r="29" spans="1:49" ht="15" customHeight="1">
      <c r="A29" s="8" t="s">
        <v>78</v>
      </c>
      <c r="B29" s="62"/>
      <c r="C29" s="116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18"/>
      <c r="Q29" s="119"/>
      <c r="R29" s="119"/>
      <c r="S29" s="119"/>
      <c r="T29" s="119"/>
      <c r="U29" s="119"/>
      <c r="V29" s="120"/>
      <c r="W29" s="121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22"/>
      <c r="AJ29" s="123"/>
      <c r="AK29" s="124"/>
      <c r="AL29" s="124"/>
      <c r="AM29" s="125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2.75">
      <c r="A30" s="13" t="s">
        <v>37</v>
      </c>
      <c r="B30" s="149">
        <v>137</v>
      </c>
      <c r="C30" s="104">
        <v>0</v>
      </c>
      <c r="D30" s="222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9">
        <v>0</v>
      </c>
      <c r="O30" s="90">
        <f aca="true" t="shared" si="19" ref="O30:O41">E30+G30+I30+K30+M30</f>
        <v>0</v>
      </c>
      <c r="P30" s="159">
        <f aca="true" t="shared" si="20" ref="P30:P41">N30+L30+J30+H30+F30</f>
        <v>0</v>
      </c>
      <c r="Q30" s="106"/>
      <c r="R30" s="107"/>
      <c r="S30" s="107"/>
      <c r="T30" s="107"/>
      <c r="U30" s="107"/>
      <c r="V30" s="84">
        <f>SUM(Q30:U30)</f>
        <v>0</v>
      </c>
      <c r="W30" s="108">
        <f>D30+P30+V30</f>
        <v>0</v>
      </c>
      <c r="X30" s="10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110"/>
      <c r="AJ30" s="110"/>
      <c r="AK30" s="68"/>
      <c r="AL30" s="68"/>
      <c r="AM30" s="68"/>
      <c r="AN30" s="112">
        <v>508</v>
      </c>
      <c r="AO30" s="113">
        <v>0</v>
      </c>
      <c r="AP30" s="24">
        <f aca="true" t="shared" si="21" ref="AP30:AP41">AN30*AO30*1.4</f>
        <v>0</v>
      </c>
      <c r="AQ30" s="114"/>
      <c r="AR30" s="114">
        <f aca="true" t="shared" si="22" ref="AR30:AR41">AQ30*0.18</f>
        <v>0</v>
      </c>
      <c r="AS30" s="114">
        <f>SUM(Y30:AR30)-AN30-AO30</f>
        <v>0</v>
      </c>
      <c r="AT30" s="115"/>
      <c r="AU30" s="70">
        <f>AS30-(X30-AT30)</f>
        <v>0</v>
      </c>
      <c r="AV30" s="128">
        <f aca="true" t="shared" si="23" ref="AV30:AV38">W30-AS30</f>
        <v>0</v>
      </c>
      <c r="AW30" s="129">
        <f>V30-O30</f>
        <v>0</v>
      </c>
    </row>
    <row r="31" spans="1:49" ht="12.75">
      <c r="A31" s="13" t="s">
        <v>38</v>
      </c>
      <c r="B31" s="149">
        <v>137</v>
      </c>
      <c r="C31" s="104">
        <v>0</v>
      </c>
      <c r="D31" s="222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9">
        <v>0</v>
      </c>
      <c r="O31" s="90">
        <f t="shared" si="19"/>
        <v>0</v>
      </c>
      <c r="P31" s="91">
        <f t="shared" si="20"/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84">
        <f>SUM(Q31:U31)</f>
        <v>0</v>
      </c>
      <c r="W31" s="109">
        <f>D31+P31+V31</f>
        <v>0</v>
      </c>
      <c r="X31" s="10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110"/>
      <c r="AJ31" s="110"/>
      <c r="AK31" s="68">
        <v>1120</v>
      </c>
      <c r="AL31" s="68"/>
      <c r="AM31" s="68"/>
      <c r="AN31" s="112">
        <v>407</v>
      </c>
      <c r="AO31" s="113">
        <v>0</v>
      </c>
      <c r="AP31" s="24">
        <f t="shared" si="21"/>
        <v>0</v>
      </c>
      <c r="AQ31" s="114"/>
      <c r="AR31" s="114">
        <f t="shared" si="22"/>
        <v>0</v>
      </c>
      <c r="AS31" s="114">
        <f>SUM(Y31:AR31)-AN31-AO31</f>
        <v>1120</v>
      </c>
      <c r="AT31" s="115"/>
      <c r="AU31" s="70">
        <f>AS31-(X31-AT31)</f>
        <v>1120</v>
      </c>
      <c r="AV31" s="128">
        <f t="shared" si="23"/>
        <v>-1120</v>
      </c>
      <c r="AW31" s="129">
        <f>V31-O31</f>
        <v>0</v>
      </c>
    </row>
    <row r="32" spans="1:49" ht="13.5" thickBot="1">
      <c r="A32" s="131" t="s">
        <v>39</v>
      </c>
      <c r="B32" s="149">
        <v>137</v>
      </c>
      <c r="C32" s="104">
        <v>0</v>
      </c>
      <c r="D32" s="222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9">
        <v>0</v>
      </c>
      <c r="O32" s="90">
        <f t="shared" si="19"/>
        <v>0</v>
      </c>
      <c r="P32" s="91">
        <f t="shared" si="20"/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84">
        <f>SUM(Q32:U32)</f>
        <v>0</v>
      </c>
      <c r="W32" s="109">
        <f>D32+P32+V32</f>
        <v>0</v>
      </c>
      <c r="X32" s="10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/>
      <c r="AH32" s="24"/>
      <c r="AI32" s="110"/>
      <c r="AJ32" s="110"/>
      <c r="AK32" s="68"/>
      <c r="AL32" s="68"/>
      <c r="AM32" s="68"/>
      <c r="AN32" s="112">
        <v>383</v>
      </c>
      <c r="AO32" s="113">
        <v>0</v>
      </c>
      <c r="AP32" s="24">
        <f t="shared" si="21"/>
        <v>0</v>
      </c>
      <c r="AQ32" s="114"/>
      <c r="AR32" s="114">
        <f t="shared" si="22"/>
        <v>0</v>
      </c>
      <c r="AS32" s="114">
        <f>SUM(Y32:AR32)-AN32-AO32</f>
        <v>0</v>
      </c>
      <c r="AT32" s="115"/>
      <c r="AU32" s="160">
        <f>AS32-(X32-AT32)</f>
        <v>0</v>
      </c>
      <c r="AV32" s="161">
        <f t="shared" si="23"/>
        <v>0</v>
      </c>
      <c r="AW32" s="162">
        <f>V32-O32</f>
        <v>0</v>
      </c>
    </row>
    <row r="33" spans="1:49" ht="12.75">
      <c r="A33" s="133" t="s">
        <v>40</v>
      </c>
      <c r="B33" s="149">
        <v>137</v>
      </c>
      <c r="C33" s="104">
        <v>0</v>
      </c>
      <c r="D33" s="222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f t="shared" si="19"/>
        <v>0</v>
      </c>
      <c r="P33" s="91">
        <f t="shared" si="20"/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84">
        <f aca="true" t="shared" si="24" ref="V33:V41">SUM(Q33:U33)</f>
        <v>0</v>
      </c>
      <c r="W33" s="109">
        <f aca="true" t="shared" si="25" ref="W33:W41">D33+P33+V33</f>
        <v>0</v>
      </c>
      <c r="X33" s="10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/>
      <c r="AH33" s="24"/>
      <c r="AI33" s="110"/>
      <c r="AJ33" s="110"/>
      <c r="AK33" s="68"/>
      <c r="AL33" s="68"/>
      <c r="AM33" s="68"/>
      <c r="AN33" s="112">
        <v>307</v>
      </c>
      <c r="AO33" s="113">
        <v>0</v>
      </c>
      <c r="AP33" s="24">
        <f t="shared" si="21"/>
        <v>0</v>
      </c>
      <c r="AQ33" s="114"/>
      <c r="AR33" s="114">
        <f t="shared" si="22"/>
        <v>0</v>
      </c>
      <c r="AS33" s="114">
        <f>SUM(Y33:AR33)-AN33-AO33</f>
        <v>0</v>
      </c>
      <c r="AT33" s="115"/>
      <c r="AU33" s="70">
        <f>AS33-(X33-AT33)</f>
        <v>0</v>
      </c>
      <c r="AV33" s="128">
        <f t="shared" si="23"/>
        <v>0</v>
      </c>
      <c r="AW33" s="129">
        <f>V33-O33</f>
        <v>0</v>
      </c>
    </row>
    <row r="34" spans="1:49" ht="12.75">
      <c r="A34" s="13" t="s">
        <v>41</v>
      </c>
      <c r="B34" s="84">
        <v>137</v>
      </c>
      <c r="C34" s="104">
        <v>0</v>
      </c>
      <c r="D34" s="222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9">
        <v>0</v>
      </c>
      <c r="O34" s="90">
        <f t="shared" si="19"/>
        <v>0</v>
      </c>
      <c r="P34" s="91">
        <f t="shared" si="20"/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84">
        <f t="shared" si="24"/>
        <v>0</v>
      </c>
      <c r="W34" s="109">
        <f t="shared" si="25"/>
        <v>0</v>
      </c>
      <c r="X34" s="109"/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/>
      <c r="AH34" s="24"/>
      <c r="AI34" s="110"/>
      <c r="AJ34" s="110"/>
      <c r="AK34" s="68"/>
      <c r="AL34" s="68"/>
      <c r="AM34" s="68"/>
      <c r="AN34" s="112">
        <v>263</v>
      </c>
      <c r="AO34" s="113">
        <v>0</v>
      </c>
      <c r="AP34" s="24">
        <f t="shared" si="21"/>
        <v>0</v>
      </c>
      <c r="AQ34" s="114"/>
      <c r="AR34" s="114">
        <f t="shared" si="22"/>
        <v>0</v>
      </c>
      <c r="AS34" s="114">
        <f>SUM(Y34:AR34)-AN34-AO34</f>
        <v>0</v>
      </c>
      <c r="AT34" s="115"/>
      <c r="AU34" s="70">
        <f aca="true" t="shared" si="26" ref="AU34:AU41">AS34-(X34-AT34)</f>
        <v>0</v>
      </c>
      <c r="AV34" s="128">
        <f t="shared" si="23"/>
        <v>0</v>
      </c>
      <c r="AW34" s="129">
        <f aca="true" t="shared" si="27" ref="AW34:AW41">V34-O34</f>
        <v>0</v>
      </c>
    </row>
    <row r="35" spans="1:49" ht="13.5" thickBot="1">
      <c r="A35" s="131" t="s">
        <v>42</v>
      </c>
      <c r="B35" s="84">
        <v>137</v>
      </c>
      <c r="C35" s="104">
        <v>0</v>
      </c>
      <c r="D35" s="105">
        <f>(C35-E35-F35-G35-H35-I35-J35-K35-L35-M35-N35)*0.80125</f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9">
        <v>0</v>
      </c>
      <c r="O35" s="90">
        <f t="shared" si="19"/>
        <v>0</v>
      </c>
      <c r="P35" s="91">
        <f t="shared" si="20"/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84">
        <f t="shared" si="24"/>
        <v>0</v>
      </c>
      <c r="W35" s="109">
        <f t="shared" si="25"/>
        <v>0</v>
      </c>
      <c r="X35" s="109"/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/>
      <c r="AH35" s="24"/>
      <c r="AI35" s="110"/>
      <c r="AJ35" s="110"/>
      <c r="AK35" s="68"/>
      <c r="AL35" s="68"/>
      <c r="AM35" s="68"/>
      <c r="AN35" s="112">
        <v>233</v>
      </c>
      <c r="AO35" s="113">
        <v>0</v>
      </c>
      <c r="AP35" s="24">
        <f t="shared" si="21"/>
        <v>0</v>
      </c>
      <c r="AQ35" s="114"/>
      <c r="AR35" s="114">
        <f t="shared" si="22"/>
        <v>0</v>
      </c>
      <c r="AS35" s="114">
        <f aca="true" t="shared" si="28" ref="AS35:AS41">SUM(Y35:AM35)+AP35</f>
        <v>0</v>
      </c>
      <c r="AT35" s="115"/>
      <c r="AU35" s="160">
        <f t="shared" si="26"/>
        <v>0</v>
      </c>
      <c r="AV35" s="161">
        <f t="shared" si="23"/>
        <v>0</v>
      </c>
      <c r="AW35" s="162">
        <f t="shared" si="27"/>
        <v>0</v>
      </c>
    </row>
    <row r="36" spans="1:49" ht="12.75">
      <c r="A36" s="133" t="s">
        <v>43</v>
      </c>
      <c r="B36" s="163">
        <v>137</v>
      </c>
      <c r="C36" s="104">
        <v>0</v>
      </c>
      <c r="D36" s="105">
        <f>(C36-E36-F36-G36-H36-I36-J36-K36-L36-M36-N36)*0.805915</f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9">
        <v>0</v>
      </c>
      <c r="O36" s="90">
        <f t="shared" si="19"/>
        <v>0</v>
      </c>
      <c r="P36" s="91">
        <f t="shared" si="20"/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84">
        <f t="shared" si="24"/>
        <v>0</v>
      </c>
      <c r="W36" s="109">
        <f t="shared" si="25"/>
        <v>0</v>
      </c>
      <c r="X36" s="109"/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/>
      <c r="AH36" s="24"/>
      <c r="AI36" s="110"/>
      <c r="AJ36" s="110"/>
      <c r="AK36" s="68"/>
      <c r="AL36" s="68"/>
      <c r="AM36" s="68"/>
      <c r="AN36" s="112">
        <v>248</v>
      </c>
      <c r="AO36" s="113">
        <v>0</v>
      </c>
      <c r="AP36" s="24">
        <f t="shared" si="21"/>
        <v>0</v>
      </c>
      <c r="AQ36" s="114"/>
      <c r="AR36" s="114">
        <f t="shared" si="22"/>
        <v>0</v>
      </c>
      <c r="AS36" s="114">
        <f t="shared" si="28"/>
        <v>0</v>
      </c>
      <c r="AT36" s="115"/>
      <c r="AU36" s="164">
        <f t="shared" si="26"/>
        <v>0</v>
      </c>
      <c r="AV36" s="165">
        <f t="shared" si="23"/>
        <v>0</v>
      </c>
      <c r="AW36" s="166">
        <f t="shared" si="27"/>
        <v>0</v>
      </c>
    </row>
    <row r="37" spans="1:49" ht="12.75">
      <c r="A37" s="13" t="s">
        <v>44</v>
      </c>
      <c r="B37" s="84">
        <v>137</v>
      </c>
      <c r="C37" s="104">
        <v>0</v>
      </c>
      <c r="D37" s="105">
        <f>(C37-E37-F37-G37-H37-I37-J37-K37-L37-M37-N37)*0.857717</f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9">
        <v>0</v>
      </c>
      <c r="O37" s="90">
        <f t="shared" si="19"/>
        <v>0</v>
      </c>
      <c r="P37" s="91">
        <f t="shared" si="20"/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84">
        <f t="shared" si="24"/>
        <v>0</v>
      </c>
      <c r="W37" s="109">
        <f t="shared" si="25"/>
        <v>0</v>
      </c>
      <c r="X37" s="109"/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/>
      <c r="AH37" s="24"/>
      <c r="AI37" s="110"/>
      <c r="AJ37" s="110"/>
      <c r="AK37" s="68"/>
      <c r="AL37" s="68">
        <f>47.8</f>
        <v>47.8</v>
      </c>
      <c r="AM37" s="68"/>
      <c r="AN37" s="112">
        <v>293</v>
      </c>
      <c r="AO37" s="113">
        <v>0</v>
      </c>
      <c r="AP37" s="24">
        <f t="shared" si="21"/>
        <v>0</v>
      </c>
      <c r="AQ37" s="114"/>
      <c r="AR37" s="114">
        <f t="shared" si="22"/>
        <v>0</v>
      </c>
      <c r="AS37" s="114">
        <f t="shared" si="28"/>
        <v>47.8</v>
      </c>
      <c r="AT37" s="115"/>
      <c r="AU37" s="70">
        <f t="shared" si="26"/>
        <v>47.8</v>
      </c>
      <c r="AV37" s="128">
        <f t="shared" si="23"/>
        <v>-47.8</v>
      </c>
      <c r="AW37" s="129">
        <f t="shared" si="27"/>
        <v>0</v>
      </c>
    </row>
    <row r="38" spans="1:49" ht="13.5" thickBot="1">
      <c r="A38" s="131" t="s">
        <v>45</v>
      </c>
      <c r="B38" s="84">
        <v>137</v>
      </c>
      <c r="C38" s="104">
        <v>0</v>
      </c>
      <c r="D38" s="105">
        <f>(C38-E38-F38-G38-H38-I38-J38-K38-L38-M38-N38)*0.87553</f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9">
        <v>0</v>
      </c>
      <c r="O38" s="90">
        <f t="shared" si="19"/>
        <v>0</v>
      </c>
      <c r="P38" s="91">
        <f t="shared" si="20"/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84">
        <f t="shared" si="24"/>
        <v>0</v>
      </c>
      <c r="W38" s="109">
        <f t="shared" si="25"/>
        <v>0</v>
      </c>
      <c r="X38" s="109"/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/>
      <c r="AH38" s="24"/>
      <c r="AI38" s="110"/>
      <c r="AJ38" s="110"/>
      <c r="AK38" s="68"/>
      <c r="AL38" s="68"/>
      <c r="AM38" s="68"/>
      <c r="AN38" s="112">
        <v>349</v>
      </c>
      <c r="AO38" s="113">
        <v>0</v>
      </c>
      <c r="AP38" s="24">
        <f t="shared" si="21"/>
        <v>0</v>
      </c>
      <c r="AQ38" s="114"/>
      <c r="AR38" s="114">
        <f t="shared" si="22"/>
        <v>0</v>
      </c>
      <c r="AS38" s="114">
        <f t="shared" si="28"/>
        <v>0</v>
      </c>
      <c r="AT38" s="115"/>
      <c r="AU38" s="160">
        <f t="shared" si="26"/>
        <v>0</v>
      </c>
      <c r="AV38" s="161">
        <f t="shared" si="23"/>
        <v>0</v>
      </c>
      <c r="AW38" s="162">
        <f t="shared" si="27"/>
        <v>0</v>
      </c>
    </row>
    <row r="39" spans="1:49" ht="12.75">
      <c r="A39" s="133" t="s">
        <v>33</v>
      </c>
      <c r="B39" s="84">
        <v>137</v>
      </c>
      <c r="C39" s="104">
        <v>0</v>
      </c>
      <c r="D39" s="105">
        <f>(C39-E39-F39-G39-H39-I39-J39-K39-L39-M39-N39)*0.811308</f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9">
        <v>0</v>
      </c>
      <c r="O39" s="90">
        <f t="shared" si="19"/>
        <v>0</v>
      </c>
      <c r="P39" s="91">
        <f t="shared" si="20"/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84">
        <f t="shared" si="24"/>
        <v>0</v>
      </c>
      <c r="W39" s="109">
        <f t="shared" si="25"/>
        <v>0</v>
      </c>
      <c r="X39" s="109"/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/>
      <c r="AH39" s="24"/>
      <c r="AI39" s="110"/>
      <c r="AJ39" s="110"/>
      <c r="AK39" s="68"/>
      <c r="AL39" s="68"/>
      <c r="AM39" s="68"/>
      <c r="AN39" s="112">
        <v>425</v>
      </c>
      <c r="AO39" s="113">
        <v>0</v>
      </c>
      <c r="AP39" s="24">
        <f t="shared" si="21"/>
        <v>0</v>
      </c>
      <c r="AQ39" s="114"/>
      <c r="AR39" s="114">
        <f t="shared" si="22"/>
        <v>0</v>
      </c>
      <c r="AS39" s="114">
        <f t="shared" si="28"/>
        <v>0</v>
      </c>
      <c r="AT39" s="115"/>
      <c r="AU39" s="52">
        <f t="shared" si="26"/>
        <v>0</v>
      </c>
      <c r="AV39" s="167">
        <f>(W39-AS39)+(X39-AT39)</f>
        <v>0</v>
      </c>
      <c r="AW39" s="168">
        <f t="shared" si="27"/>
        <v>0</v>
      </c>
    </row>
    <row r="40" spans="1:49" ht="12.75">
      <c r="A40" s="13" t="s">
        <v>34</v>
      </c>
      <c r="B40" s="84">
        <v>137</v>
      </c>
      <c r="C40" s="104">
        <v>0</v>
      </c>
      <c r="D40" s="105">
        <f>(C40-E40-F40-G40-H40-I40-J40-K40-L40-M40-N40)*0.870679</f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9">
        <v>0</v>
      </c>
      <c r="O40" s="90">
        <f t="shared" si="19"/>
        <v>0</v>
      </c>
      <c r="P40" s="91">
        <f t="shared" si="20"/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84">
        <f t="shared" si="24"/>
        <v>0</v>
      </c>
      <c r="W40" s="109">
        <f t="shared" si="25"/>
        <v>0</v>
      </c>
      <c r="X40" s="109"/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/>
      <c r="AH40" s="24"/>
      <c r="AI40" s="110"/>
      <c r="AJ40" s="110"/>
      <c r="AK40" s="68"/>
      <c r="AL40" s="68"/>
      <c r="AM40" s="68"/>
      <c r="AN40" s="112">
        <v>470</v>
      </c>
      <c r="AO40" s="113">
        <v>0</v>
      </c>
      <c r="AP40" s="24">
        <f t="shared" si="21"/>
        <v>0</v>
      </c>
      <c r="AQ40" s="114"/>
      <c r="AR40" s="114">
        <f t="shared" si="22"/>
        <v>0</v>
      </c>
      <c r="AS40" s="114">
        <f t="shared" si="28"/>
        <v>0</v>
      </c>
      <c r="AT40" s="115"/>
      <c r="AU40" s="16">
        <f t="shared" si="26"/>
        <v>0</v>
      </c>
      <c r="AV40" s="169">
        <f>(W40-AS40)+(X40-AT40)</f>
        <v>0</v>
      </c>
      <c r="AW40" s="170">
        <f t="shared" si="27"/>
        <v>0</v>
      </c>
    </row>
    <row r="41" spans="1:49" s="103" customFormat="1" ht="12.75">
      <c r="A41" s="83" t="s">
        <v>35</v>
      </c>
      <c r="B41" s="84">
        <v>137</v>
      </c>
      <c r="C41" s="104">
        <v>0</v>
      </c>
      <c r="D41" s="105">
        <f>(C41-E41-F41-G41-H41-I41-J41-K41-L41-M41-N41)*0.91496</f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9">
        <v>0</v>
      </c>
      <c r="O41" s="90">
        <f t="shared" si="19"/>
        <v>0</v>
      </c>
      <c r="P41" s="91">
        <f t="shared" si="20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84">
        <f t="shared" si="24"/>
        <v>0</v>
      </c>
      <c r="W41" s="109">
        <f t="shared" si="25"/>
        <v>0</v>
      </c>
      <c r="X41" s="109"/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/>
      <c r="AH41" s="24"/>
      <c r="AI41" s="110"/>
      <c r="AJ41" s="110"/>
      <c r="AK41" s="68"/>
      <c r="AL41" s="68"/>
      <c r="AM41" s="68"/>
      <c r="AN41" s="112">
        <v>514</v>
      </c>
      <c r="AO41" s="113">
        <v>0</v>
      </c>
      <c r="AP41" s="24">
        <f t="shared" si="21"/>
        <v>0</v>
      </c>
      <c r="AQ41" s="114"/>
      <c r="AR41" s="114">
        <f t="shared" si="22"/>
        <v>0</v>
      </c>
      <c r="AS41" s="114">
        <f t="shared" si="28"/>
        <v>0</v>
      </c>
      <c r="AT41" s="115"/>
      <c r="AU41" s="16">
        <f t="shared" si="26"/>
        <v>0</v>
      </c>
      <c r="AV41" s="171">
        <f>(W41-AS41)+(X41-AT41)</f>
        <v>0</v>
      </c>
      <c r="AW41" s="170">
        <f t="shared" si="27"/>
        <v>0</v>
      </c>
    </row>
    <row r="42" spans="1:49" s="23" customFormat="1" ht="12.75">
      <c r="A42" s="18" t="s">
        <v>3</v>
      </c>
      <c r="B42" s="19"/>
      <c r="C42" s="19">
        <f aca="true" t="shared" si="29" ref="C42:AW42">SUM(C30:C41)</f>
        <v>0</v>
      </c>
      <c r="D42" s="19">
        <f t="shared" si="29"/>
        <v>0</v>
      </c>
      <c r="E42" s="19">
        <f t="shared" si="29"/>
        <v>0</v>
      </c>
      <c r="F42" s="19">
        <f t="shared" si="29"/>
        <v>0</v>
      </c>
      <c r="G42" s="19">
        <f t="shared" si="29"/>
        <v>0</v>
      </c>
      <c r="H42" s="19">
        <f t="shared" si="29"/>
        <v>0</v>
      </c>
      <c r="I42" s="19">
        <f t="shared" si="29"/>
        <v>0</v>
      </c>
      <c r="J42" s="19">
        <f t="shared" si="29"/>
        <v>0</v>
      </c>
      <c r="K42" s="19">
        <f t="shared" si="29"/>
        <v>0</v>
      </c>
      <c r="L42" s="19">
        <f t="shared" si="29"/>
        <v>0</v>
      </c>
      <c r="M42" s="19">
        <f t="shared" si="29"/>
        <v>0</v>
      </c>
      <c r="N42" s="19">
        <f t="shared" si="29"/>
        <v>0</v>
      </c>
      <c r="O42" s="19">
        <f t="shared" si="29"/>
        <v>0</v>
      </c>
      <c r="P42" s="19">
        <f t="shared" si="29"/>
        <v>0</v>
      </c>
      <c r="Q42" s="19">
        <f t="shared" si="29"/>
        <v>0</v>
      </c>
      <c r="R42" s="19">
        <f t="shared" si="29"/>
        <v>0</v>
      </c>
      <c r="S42" s="19">
        <f t="shared" si="29"/>
        <v>0</v>
      </c>
      <c r="T42" s="19">
        <f t="shared" si="29"/>
        <v>0</v>
      </c>
      <c r="U42" s="19">
        <f t="shared" si="29"/>
        <v>0</v>
      </c>
      <c r="V42" s="19">
        <f t="shared" si="29"/>
        <v>0</v>
      </c>
      <c r="W42" s="19">
        <f t="shared" si="29"/>
        <v>0</v>
      </c>
      <c r="X42" s="19">
        <f t="shared" si="29"/>
        <v>0</v>
      </c>
      <c r="Y42" s="19">
        <f t="shared" si="29"/>
        <v>0</v>
      </c>
      <c r="Z42" s="19">
        <f t="shared" si="29"/>
        <v>0</v>
      </c>
      <c r="AA42" s="19">
        <f t="shared" si="29"/>
        <v>0</v>
      </c>
      <c r="AB42" s="19">
        <f t="shared" si="29"/>
        <v>0</v>
      </c>
      <c r="AC42" s="19">
        <f t="shared" si="29"/>
        <v>0</v>
      </c>
      <c r="AD42" s="19">
        <f t="shared" si="29"/>
        <v>0</v>
      </c>
      <c r="AE42" s="19">
        <f t="shared" si="29"/>
        <v>0</v>
      </c>
      <c r="AF42" s="19">
        <f t="shared" si="29"/>
        <v>0</v>
      </c>
      <c r="AG42" s="19">
        <f t="shared" si="29"/>
        <v>0</v>
      </c>
      <c r="AH42" s="19">
        <f t="shared" si="29"/>
        <v>0</v>
      </c>
      <c r="AI42" s="152">
        <f t="shared" si="29"/>
        <v>0</v>
      </c>
      <c r="AJ42" s="152">
        <f t="shared" si="29"/>
        <v>0</v>
      </c>
      <c r="AK42" s="20">
        <f t="shared" si="29"/>
        <v>1120</v>
      </c>
      <c r="AL42" s="20">
        <f t="shared" si="29"/>
        <v>47.8</v>
      </c>
      <c r="AM42" s="20">
        <f t="shared" si="29"/>
        <v>0</v>
      </c>
      <c r="AN42" s="19">
        <f t="shared" si="29"/>
        <v>4400</v>
      </c>
      <c r="AO42" s="19">
        <f t="shared" si="29"/>
        <v>0</v>
      </c>
      <c r="AP42" s="19">
        <f t="shared" si="29"/>
        <v>0</v>
      </c>
      <c r="AQ42" s="19">
        <f t="shared" si="29"/>
        <v>0</v>
      </c>
      <c r="AR42" s="19">
        <f t="shared" si="29"/>
        <v>0</v>
      </c>
      <c r="AS42" s="19">
        <f t="shared" si="29"/>
        <v>1167.8</v>
      </c>
      <c r="AT42" s="19">
        <f t="shared" si="29"/>
        <v>0</v>
      </c>
      <c r="AU42" s="19">
        <f t="shared" si="29"/>
        <v>1167.8</v>
      </c>
      <c r="AV42" s="19">
        <f t="shared" si="29"/>
        <v>-1167.8</v>
      </c>
      <c r="AW42" s="153">
        <f t="shared" si="29"/>
        <v>0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54"/>
      <c r="AJ43" s="154"/>
      <c r="AK43" s="66"/>
      <c r="AL43" s="66"/>
      <c r="AM43" s="66"/>
      <c r="AN43" s="22"/>
      <c r="AO43" s="22"/>
      <c r="AP43" s="155"/>
      <c r="AQ43" s="50"/>
      <c r="AR43" s="50"/>
      <c r="AS43" s="50"/>
      <c r="AT43" s="50"/>
      <c r="AU43" s="50"/>
      <c r="AV43" s="50"/>
      <c r="AW43" s="156"/>
    </row>
    <row r="44" spans="1:49" s="23" customFormat="1" ht="13.5" thickBot="1">
      <c r="A44" s="25" t="s">
        <v>46</v>
      </c>
      <c r="B44" s="26"/>
      <c r="C44" s="26">
        <f>C28+C42</f>
        <v>16590.699999999997</v>
      </c>
      <c r="D44" s="26">
        <f aca="true" t="shared" si="30" ref="D44:AW44">D28+D42</f>
        <v>9169.2514555</v>
      </c>
      <c r="E44" s="26">
        <f t="shared" si="30"/>
        <v>124.94999999999999</v>
      </c>
      <c r="F44" s="26">
        <f t="shared" si="30"/>
        <v>0</v>
      </c>
      <c r="G44" s="26">
        <f t="shared" si="30"/>
        <v>169.05</v>
      </c>
      <c r="H44" s="26">
        <f t="shared" si="30"/>
        <v>0</v>
      </c>
      <c r="I44" s="26">
        <f t="shared" si="30"/>
        <v>406.51000000000005</v>
      </c>
      <c r="J44" s="26">
        <f t="shared" si="30"/>
        <v>0</v>
      </c>
      <c r="K44" s="26">
        <f t="shared" si="30"/>
        <v>281.592</v>
      </c>
      <c r="L44" s="26">
        <f t="shared" si="30"/>
        <v>0</v>
      </c>
      <c r="M44" s="26">
        <f t="shared" si="30"/>
        <v>99.96</v>
      </c>
      <c r="N44" s="26">
        <f t="shared" si="30"/>
        <v>0</v>
      </c>
      <c r="O44" s="26">
        <f t="shared" si="30"/>
        <v>1082.0619999999997</v>
      </c>
      <c r="P44" s="26">
        <f t="shared" si="30"/>
        <v>0</v>
      </c>
      <c r="Q44" s="26">
        <f t="shared" si="30"/>
        <v>198.14</v>
      </c>
      <c r="R44" s="26">
        <f t="shared" si="30"/>
        <v>267.74</v>
      </c>
      <c r="S44" s="26">
        <f t="shared" si="30"/>
        <v>644.22</v>
      </c>
      <c r="T44" s="26">
        <f t="shared" si="30"/>
        <v>446.07000000000005</v>
      </c>
      <c r="U44" s="26">
        <f t="shared" si="30"/>
        <v>158.52</v>
      </c>
      <c r="V44" s="26">
        <f t="shared" si="30"/>
        <v>1714.69</v>
      </c>
      <c r="W44" s="26">
        <f t="shared" si="30"/>
        <v>10883.9414555</v>
      </c>
      <c r="X44" s="26">
        <f t="shared" si="30"/>
        <v>0</v>
      </c>
      <c r="Y44" s="26">
        <f t="shared" si="30"/>
        <v>1200.1200000000003</v>
      </c>
      <c r="Z44" s="26">
        <f t="shared" si="30"/>
        <v>403.904084</v>
      </c>
      <c r="AA44" s="26">
        <f t="shared" si="30"/>
        <v>1686.9756660000003</v>
      </c>
      <c r="AB44" s="26">
        <f t="shared" si="30"/>
        <v>303.65561988</v>
      </c>
      <c r="AC44" s="26">
        <f t="shared" si="30"/>
        <v>1633.8743026000002</v>
      </c>
      <c r="AD44" s="26">
        <f t="shared" si="30"/>
        <v>294.09737446800006</v>
      </c>
      <c r="AE44" s="26">
        <f t="shared" si="30"/>
        <v>3609.6455987</v>
      </c>
      <c r="AF44" s="26">
        <f t="shared" si="30"/>
        <v>649.736207766</v>
      </c>
      <c r="AG44" s="26">
        <f t="shared" si="30"/>
        <v>0</v>
      </c>
      <c r="AH44" s="26">
        <f t="shared" si="30"/>
        <v>0</v>
      </c>
      <c r="AI44" s="157">
        <f t="shared" si="30"/>
        <v>0</v>
      </c>
      <c r="AJ44" s="157">
        <f t="shared" si="30"/>
        <v>0</v>
      </c>
      <c r="AK44" s="158">
        <f t="shared" si="30"/>
        <v>4069.69</v>
      </c>
      <c r="AL44" s="158">
        <f t="shared" si="30"/>
        <v>511.36</v>
      </c>
      <c r="AM44" s="158">
        <f t="shared" si="30"/>
        <v>614.385</v>
      </c>
      <c r="AN44" s="26"/>
      <c r="AO44" s="26">
        <f t="shared" si="30"/>
        <v>0</v>
      </c>
      <c r="AP44" s="26">
        <f t="shared" si="30"/>
        <v>0</v>
      </c>
      <c r="AQ44" s="26">
        <f t="shared" si="30"/>
        <v>0</v>
      </c>
      <c r="AR44" s="26">
        <f t="shared" si="30"/>
        <v>0</v>
      </c>
      <c r="AS44" s="26">
        <f t="shared" si="30"/>
        <v>14977.443853413999</v>
      </c>
      <c r="AT44" s="26">
        <f t="shared" si="30"/>
        <v>0</v>
      </c>
      <c r="AU44" s="26">
        <f t="shared" si="30"/>
        <v>14977.443853413999</v>
      </c>
      <c r="AV44" s="26">
        <f t="shared" si="30"/>
        <v>-4093.5023979139996</v>
      </c>
      <c r="AW44" s="26">
        <f t="shared" si="30"/>
        <v>632.6280000000002</v>
      </c>
    </row>
  </sheetData>
  <sheetProtection/>
  <mergeCells count="56">
    <mergeCell ref="U5:U6"/>
    <mergeCell ref="P5:P6"/>
    <mergeCell ref="Q5:Q6"/>
    <mergeCell ref="R5:R6"/>
    <mergeCell ref="S5:S6"/>
    <mergeCell ref="I5:I6"/>
    <mergeCell ref="AC5:AC6"/>
    <mergeCell ref="AD5:AD6"/>
    <mergeCell ref="A1:N1"/>
    <mergeCell ref="A3:A6"/>
    <mergeCell ref="B3:B6"/>
    <mergeCell ref="C3:C6"/>
    <mergeCell ref="D3:D6"/>
    <mergeCell ref="M5:M6"/>
    <mergeCell ref="N5:N6"/>
    <mergeCell ref="T5:T6"/>
    <mergeCell ref="AG5:AG6"/>
    <mergeCell ref="AH5:AH6"/>
    <mergeCell ref="E5:E6"/>
    <mergeCell ref="F5:F6"/>
    <mergeCell ref="G5:G6"/>
    <mergeCell ref="H5:H6"/>
    <mergeCell ref="Y5:Y6"/>
    <mergeCell ref="Z5:Z6"/>
    <mergeCell ref="AA5:AA6"/>
    <mergeCell ref="AB5:AB6"/>
    <mergeCell ref="Q3:V4"/>
    <mergeCell ref="AJ5:AJ6"/>
    <mergeCell ref="AK5:AK6"/>
    <mergeCell ref="J5:J6"/>
    <mergeCell ref="K5:K6"/>
    <mergeCell ref="L5:L6"/>
    <mergeCell ref="O5:O6"/>
    <mergeCell ref="AI5:AI6"/>
    <mergeCell ref="AE5:AE6"/>
    <mergeCell ref="AF5:AF6"/>
    <mergeCell ref="AR5:AR6"/>
    <mergeCell ref="AS5:AS6"/>
    <mergeCell ref="E3:F4"/>
    <mergeCell ref="G3:H4"/>
    <mergeCell ref="I3:J4"/>
    <mergeCell ref="K3:L4"/>
    <mergeCell ref="AL5:AL6"/>
    <mergeCell ref="V5:V6"/>
    <mergeCell ref="W3:W6"/>
    <mergeCell ref="O3:P4"/>
    <mergeCell ref="AV3:AV6"/>
    <mergeCell ref="AW3:AW6"/>
    <mergeCell ref="AT4:AT6"/>
    <mergeCell ref="AU4:AU6"/>
    <mergeCell ref="M3:N4"/>
    <mergeCell ref="X3:X6"/>
    <mergeCell ref="Y3:AS4"/>
    <mergeCell ref="AT3:AU3"/>
    <mergeCell ref="AN5:AP5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28">
      <selection activeCell="I3" sqref="I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323" t="s">
        <v>64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324" t="s">
        <v>50</v>
      </c>
      <c r="B10" s="327" t="s">
        <v>0</v>
      </c>
      <c r="C10" s="330" t="s">
        <v>51</v>
      </c>
      <c r="D10" s="333" t="s">
        <v>2</v>
      </c>
      <c r="E10" s="238" t="s">
        <v>52</v>
      </c>
      <c r="F10" s="238"/>
      <c r="G10" s="319" t="s">
        <v>61</v>
      </c>
      <c r="H10" s="320"/>
      <c r="I10" s="299" t="s">
        <v>6</v>
      </c>
      <c r="J10" s="300"/>
      <c r="K10" s="300"/>
      <c r="L10" s="300"/>
      <c r="M10" s="300"/>
      <c r="N10" s="301"/>
      <c r="O10" s="305" t="s">
        <v>53</v>
      </c>
      <c r="P10" s="296" t="s">
        <v>79</v>
      </c>
    </row>
    <row r="11" spans="1:16" ht="12.75">
      <c r="A11" s="325"/>
      <c r="B11" s="328"/>
      <c r="C11" s="331"/>
      <c r="D11" s="334"/>
      <c r="E11" s="295"/>
      <c r="F11" s="295"/>
      <c r="G11" s="321"/>
      <c r="H11" s="322"/>
      <c r="I11" s="302"/>
      <c r="J11" s="303"/>
      <c r="K11" s="303"/>
      <c r="L11" s="303"/>
      <c r="M11" s="303"/>
      <c r="N11" s="304"/>
      <c r="O11" s="306"/>
      <c r="P11" s="297"/>
    </row>
    <row r="12" spans="1:16" ht="26.25" customHeight="1">
      <c r="A12" s="325"/>
      <c r="B12" s="328"/>
      <c r="C12" s="331"/>
      <c r="D12" s="334"/>
      <c r="E12" s="240" t="s">
        <v>54</v>
      </c>
      <c r="F12" s="240"/>
      <c r="G12" s="172" t="s">
        <v>55</v>
      </c>
      <c r="H12" s="308" t="s">
        <v>5</v>
      </c>
      <c r="I12" s="310" t="s">
        <v>56</v>
      </c>
      <c r="J12" s="312" t="s">
        <v>24</v>
      </c>
      <c r="K12" s="312" t="s">
        <v>57</v>
      </c>
      <c r="L12" s="312" t="s">
        <v>29</v>
      </c>
      <c r="M12" s="312" t="s">
        <v>58</v>
      </c>
      <c r="N12" s="314" t="s">
        <v>31</v>
      </c>
      <c r="O12" s="306"/>
      <c r="P12" s="297"/>
    </row>
    <row r="13" spans="1:16" ht="66.75" customHeight="1" thickBot="1">
      <c r="A13" s="326"/>
      <c r="B13" s="329"/>
      <c r="C13" s="332"/>
      <c r="D13" s="335"/>
      <c r="E13" s="173" t="s">
        <v>59</v>
      </c>
      <c r="F13" s="174" t="s">
        <v>15</v>
      </c>
      <c r="G13" s="77" t="s">
        <v>62</v>
      </c>
      <c r="H13" s="309"/>
      <c r="I13" s="311"/>
      <c r="J13" s="313"/>
      <c r="K13" s="313"/>
      <c r="L13" s="313"/>
      <c r="M13" s="313"/>
      <c r="N13" s="315"/>
      <c r="O13" s="307"/>
      <c r="P13" s="298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75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76">
        <v>14</v>
      </c>
      <c r="O14" s="36">
        <v>15</v>
      </c>
      <c r="P14" s="177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78"/>
      <c r="I15" s="37"/>
      <c r="J15" s="9"/>
      <c r="K15" s="9"/>
      <c r="L15" s="9"/>
      <c r="M15" s="9"/>
      <c r="N15" s="179"/>
      <c r="O15" s="38"/>
      <c r="P15" s="180"/>
    </row>
    <row r="16" spans="1:18" ht="12.75">
      <c r="A16" s="13" t="s">
        <v>33</v>
      </c>
      <c r="B16" s="14">
        <f>Лист1!B9</f>
        <v>137</v>
      </c>
      <c r="C16" s="181">
        <f>Лист1!C9</f>
        <v>1185.05</v>
      </c>
      <c r="D16" s="182">
        <f>Лист1!D9</f>
        <v>284.454844</v>
      </c>
      <c r="E16" s="39">
        <f>Лист1!O9</f>
        <v>759.49</v>
      </c>
      <c r="F16" s="183">
        <f>Лист1!P9</f>
        <v>259.5</v>
      </c>
      <c r="G16" s="40">
        <f>Лист1!V9</f>
        <v>0</v>
      </c>
      <c r="H16" s="184">
        <f>Лист1!W9</f>
        <v>543.954844</v>
      </c>
      <c r="I16" s="39">
        <f>Лист1!Y9</f>
        <v>82.2</v>
      </c>
      <c r="J16" s="16">
        <f>Лист1!AA9+Лист1!AB9</f>
        <v>137.023016</v>
      </c>
      <c r="K16" s="16">
        <f>Лист1!Z9+Лист1!AC9+Лист1!AD9+Лист1!AE9+Лист1!AF9+Лист1!AG9+Лист1!AH9+Лист1!AI9+Лист1!AJ9</f>
        <v>389.74505965000003</v>
      </c>
      <c r="L16" s="17">
        <f>Лист1!AK9+Лист1!AL9+Лист1!AM9</f>
        <v>2803.562</v>
      </c>
      <c r="M16" s="17">
        <f>Лист1!AP9</f>
        <v>0</v>
      </c>
      <c r="N16" s="185">
        <f>Лист1!AS9</f>
        <v>3412.5300756499996</v>
      </c>
      <c r="O16" s="41">
        <f>Лист1!AV9</f>
        <v>-2868.5752316499998</v>
      </c>
      <c r="P16" s="186">
        <f>Лист1!AW9</f>
        <v>-759.49</v>
      </c>
      <c r="Q16" s="1"/>
      <c r="R16" s="1"/>
    </row>
    <row r="17" spans="1:18" ht="12.75">
      <c r="A17" s="13" t="s">
        <v>34</v>
      </c>
      <c r="B17" s="14">
        <f>Лист1!B10</f>
        <v>137</v>
      </c>
      <c r="C17" s="181">
        <f>Лист1!C10</f>
        <v>1185.05</v>
      </c>
      <c r="D17" s="182">
        <f>Лист1!D10</f>
        <v>284.454844</v>
      </c>
      <c r="E17" s="39">
        <f>Лист1!O10</f>
        <v>0.042</v>
      </c>
      <c r="F17" s="183">
        <f>Лист1!P10</f>
        <v>0</v>
      </c>
      <c r="G17" s="40">
        <f>Лист1!V10</f>
        <v>606.93</v>
      </c>
      <c r="H17" s="184">
        <f>Лист1!W10</f>
        <v>891.3848439999999</v>
      </c>
      <c r="I17" s="39">
        <f>Лист1!Y10</f>
        <v>82.2</v>
      </c>
      <c r="J17" s="16">
        <f>Лист1!AA10+Лист1!AB10</f>
        <v>137.023016</v>
      </c>
      <c r="K17" s="16">
        <f>Лист1!Z10+Лист1!AC10+Лист1!AD10+Лист1!AE10+Лист1!AF10+Лист1!AG10+Лист1!AH10+Лист1!AI10+Лист1!AJ10</f>
        <v>388.28573565</v>
      </c>
      <c r="L17" s="17">
        <f>Лист1!AK10+Лист1!AL10+Лист1!AM10</f>
        <v>0</v>
      </c>
      <c r="M17" s="17">
        <f>Лист1!AP10</f>
        <v>0</v>
      </c>
      <c r="N17" s="185">
        <f>Лист1!AS10</f>
        <v>607.5087516499999</v>
      </c>
      <c r="O17" s="41">
        <f>Лист1!AV10</f>
        <v>283.87609235</v>
      </c>
      <c r="P17" s="186">
        <f>Лист1!AW10</f>
        <v>606.8879999999999</v>
      </c>
      <c r="Q17" s="1"/>
      <c r="R17" s="1"/>
    </row>
    <row r="18" spans="1:18" ht="13.5" thickBot="1">
      <c r="A18" s="42" t="s">
        <v>35</v>
      </c>
      <c r="B18" s="14">
        <f>Лист1!B11</f>
        <v>137</v>
      </c>
      <c r="C18" s="181">
        <f>Лист1!C11</f>
        <v>1185.05</v>
      </c>
      <c r="D18" s="182">
        <f>Лист1!D11</f>
        <v>285.8267675</v>
      </c>
      <c r="E18" s="39">
        <f>Лист1!O11</f>
        <v>379.72999999999996</v>
      </c>
      <c r="F18" s="183">
        <f>Лист1!P11</f>
        <v>129.75</v>
      </c>
      <c r="G18" s="40">
        <f>Лист1!V11</f>
        <v>160.74</v>
      </c>
      <c r="H18" s="184">
        <f>Лист1!W11</f>
        <v>576.3167675</v>
      </c>
      <c r="I18" s="39">
        <f>Лист1!Y11</f>
        <v>82.2</v>
      </c>
      <c r="J18" s="16">
        <f>Лист1!AA11+Лист1!AB11</f>
        <v>137.023016</v>
      </c>
      <c r="K18" s="16">
        <f>Лист1!Z11+Лист1!AC11+Лист1!AD11+Лист1!AE11+Лист1!AF11+Лист1!AG11+Лист1!AH11+Лист1!AI11+Лист1!AJ11</f>
        <v>388.84031165</v>
      </c>
      <c r="L18" s="17">
        <f>Лист1!AK11+Лист1!AL11+Лист1!AM11</f>
        <v>0</v>
      </c>
      <c r="M18" s="17">
        <f>Лист1!AP11</f>
        <v>0</v>
      </c>
      <c r="N18" s="185">
        <f>Лист1!AS11</f>
        <v>608.0633276499999</v>
      </c>
      <c r="O18" s="41">
        <f>Лист1!AV11</f>
        <v>-31.746560149999937</v>
      </c>
      <c r="P18" s="186">
        <f>Лист1!AW11</f>
        <v>-218.98999999999995</v>
      </c>
      <c r="Q18" s="1"/>
      <c r="R18" s="1"/>
    </row>
    <row r="19" spans="1:18" s="23" customFormat="1" ht="13.5" thickBot="1">
      <c r="A19" s="43" t="s">
        <v>3</v>
      </c>
      <c r="B19" s="44"/>
      <c r="C19" s="195">
        <f aca="true" t="shared" si="0" ref="C19:O19">SUM(C16:C18)</f>
        <v>3555.1499999999996</v>
      </c>
      <c r="D19" s="195">
        <f t="shared" si="0"/>
        <v>854.7364554999999</v>
      </c>
      <c r="E19" s="195">
        <f t="shared" si="0"/>
        <v>1139.262</v>
      </c>
      <c r="F19" s="195">
        <f t="shared" si="0"/>
        <v>389.25</v>
      </c>
      <c r="G19" s="195">
        <f t="shared" si="0"/>
        <v>767.67</v>
      </c>
      <c r="H19" s="195">
        <f t="shared" si="0"/>
        <v>2011.6564555</v>
      </c>
      <c r="I19" s="195">
        <f t="shared" si="0"/>
        <v>246.60000000000002</v>
      </c>
      <c r="J19" s="195">
        <f t="shared" si="0"/>
        <v>411.06904800000007</v>
      </c>
      <c r="K19" s="195">
        <f t="shared" si="0"/>
        <v>1166.87110695</v>
      </c>
      <c r="L19" s="195">
        <f t="shared" si="0"/>
        <v>2803.562</v>
      </c>
      <c r="M19" s="195">
        <f t="shared" si="0"/>
        <v>0</v>
      </c>
      <c r="N19" s="195">
        <f t="shared" si="0"/>
        <v>4628.102154949999</v>
      </c>
      <c r="O19" s="195">
        <f t="shared" si="0"/>
        <v>-2616.4456994499997</v>
      </c>
      <c r="P19" s="195">
        <f>SUM(P16:P18)</f>
        <v>-371.59200000000004</v>
      </c>
      <c r="Q19" s="50"/>
      <c r="R19" s="50"/>
    </row>
    <row r="20" spans="1:18" ht="12.75">
      <c r="A20" s="8" t="s">
        <v>36</v>
      </c>
      <c r="B20" s="62"/>
      <c r="C20" s="187"/>
      <c r="D20" s="188"/>
      <c r="E20" s="53"/>
      <c r="F20" s="189"/>
      <c r="G20" s="54"/>
      <c r="H20" s="190"/>
      <c r="I20" s="53"/>
      <c r="J20" s="51"/>
      <c r="K20" s="51"/>
      <c r="L20" s="63"/>
      <c r="M20" s="63"/>
      <c r="N20" s="191"/>
      <c r="O20" s="64"/>
      <c r="P20" s="192"/>
      <c r="Q20" s="1"/>
      <c r="R20" s="1"/>
    </row>
    <row r="21" spans="1:18" ht="12.75">
      <c r="A21" s="13" t="s">
        <v>37</v>
      </c>
      <c r="B21" s="14">
        <f>Лист1!B14</f>
        <v>137</v>
      </c>
      <c r="C21" s="181">
        <f>Лист1!C14</f>
        <v>1185.05</v>
      </c>
      <c r="D21" s="182">
        <f>Лист1!D14</f>
        <v>148.13125</v>
      </c>
      <c r="E21" s="39">
        <f>Лист1!O14</f>
        <v>-383.19</v>
      </c>
      <c r="F21" s="183">
        <f>Лист1!P14</f>
        <v>-160.89000000000001</v>
      </c>
      <c r="G21" s="40">
        <f>Лист1!V14</f>
        <v>188.56</v>
      </c>
      <c r="H21" s="184">
        <f>Лист1!W14</f>
        <v>175.80124999999998</v>
      </c>
      <c r="I21" s="39">
        <f>Лист1!Y14</f>
        <v>73.98</v>
      </c>
      <c r="J21" s="16">
        <f>Лист1!AA14+Лист1!AB14</f>
        <v>121.64801720000001</v>
      </c>
      <c r="K21" s="16">
        <f>Лист1!Z14+Лист1!AC14+Лист1!AD14+Лист1!AE14+Лист1!AF14+Лист1!AG14+Лист1!AH14+Лист1!AI14+Лист1!AJ14</f>
        <v>417.32685080000005</v>
      </c>
      <c r="L21" s="17">
        <f>Лист1!AK14+Лист1!AL14+Лист1!AM14</f>
        <v>0</v>
      </c>
      <c r="M21" s="17">
        <f>Лист1!AP14</f>
        <v>0</v>
      </c>
      <c r="N21" s="185">
        <f>Лист1!AS14</f>
        <v>612.954868</v>
      </c>
      <c r="O21" s="41">
        <f>Лист1!AV14</f>
        <v>-437.15361800000005</v>
      </c>
      <c r="P21" s="186">
        <f>Лист1!AW14</f>
        <v>571.75</v>
      </c>
      <c r="Q21" s="1"/>
      <c r="R21" s="1"/>
    </row>
    <row r="22" spans="1:18" ht="12.75">
      <c r="A22" s="13" t="s">
        <v>38</v>
      </c>
      <c r="B22" s="14">
        <f>Лист1!B15</f>
        <v>137</v>
      </c>
      <c r="C22" s="181">
        <f>Лист1!C15</f>
        <v>1185.05</v>
      </c>
      <c r="D22" s="182">
        <f>Лист1!D15</f>
        <v>148.13125</v>
      </c>
      <c r="E22" s="39">
        <f>Лист1!O15</f>
        <v>189</v>
      </c>
      <c r="F22" s="183">
        <f>Лист1!P15</f>
        <v>57.089999999999996</v>
      </c>
      <c r="G22" s="40">
        <f>Лист1!V15</f>
        <v>116.14</v>
      </c>
      <c r="H22" s="184">
        <f>Лист1!W15</f>
        <v>321.36125</v>
      </c>
      <c r="I22" s="39">
        <f>Лист1!Y15</f>
        <v>73.98</v>
      </c>
      <c r="J22" s="16">
        <f>Лист1!AA15+Лист1!AB15</f>
        <v>121.64995830000001</v>
      </c>
      <c r="K22" s="16">
        <f>Лист1!Z15+Лист1!AC15+Лист1!AD15+Лист1!AE15+Лист1!AF15+Лист1!AG15+Лист1!AH15+Лист1!AI15+Лист1!AJ15</f>
        <v>423.74184</v>
      </c>
      <c r="L22" s="17">
        <f>Лист1!AK15+Лист1!AL15+Лист1!AM15</f>
        <v>0</v>
      </c>
      <c r="M22" s="17">
        <f>Лист1!AP15</f>
        <v>0</v>
      </c>
      <c r="N22" s="185">
        <f>Лист1!AS15</f>
        <v>619.3717983</v>
      </c>
      <c r="O22" s="41">
        <f>Лист1!AV15</f>
        <v>-298.01054830000004</v>
      </c>
      <c r="P22" s="186">
        <f>Лист1!AW15</f>
        <v>-72.86</v>
      </c>
      <c r="Q22" s="1"/>
      <c r="R22" s="1"/>
    </row>
    <row r="23" spans="1:18" ht="12.75">
      <c r="A23" s="13" t="s">
        <v>39</v>
      </c>
      <c r="B23" s="14">
        <f>Лист1!B16</f>
        <v>137</v>
      </c>
      <c r="C23" s="181">
        <f>Лист1!C16</f>
        <v>1185.05</v>
      </c>
      <c r="D23" s="182">
        <f>Лист1!D16</f>
        <v>148.13125</v>
      </c>
      <c r="E23" s="39">
        <f>Лист1!O16</f>
        <v>-509.04</v>
      </c>
      <c r="F23" s="183">
        <f>Лист1!P16</f>
        <v>-285.45</v>
      </c>
      <c r="G23" s="40">
        <f>Лист1!V16</f>
        <v>158.19</v>
      </c>
      <c r="H23" s="184">
        <f>Лист1!W16</f>
        <v>20.871250000000003</v>
      </c>
      <c r="I23" s="39">
        <f>Лист1!Y16</f>
        <v>73.98</v>
      </c>
      <c r="J23" s="16">
        <f>Лист1!AA16+Лист1!AB16</f>
        <v>122.4194599</v>
      </c>
      <c r="K23" s="16">
        <f>Лист1!Z16+Лист1!AC16+Лист1!AD16+Лист1!AE16+Лист1!AF16+Лист1!AG16+Лист1!AH16+Лист1!AI16+Лист1!AJ16</f>
        <v>420.30197668000005</v>
      </c>
      <c r="L23" s="17">
        <f>Лист1!AK16+Лист1!AL16+Лист1!AM16</f>
        <v>0</v>
      </c>
      <c r="M23" s="17">
        <f>Лист1!AP16</f>
        <v>0</v>
      </c>
      <c r="N23" s="185">
        <f>Лист1!AS16</f>
        <v>616.7014365800001</v>
      </c>
      <c r="O23" s="41">
        <f>Лист1!AV16</f>
        <v>-595.83018658</v>
      </c>
      <c r="P23" s="186">
        <f>Лист1!AW16</f>
        <v>667.23</v>
      </c>
      <c r="Q23" s="1"/>
      <c r="R23" s="1"/>
    </row>
    <row r="24" spans="1:18" ht="12.75">
      <c r="A24" s="13" t="s">
        <v>40</v>
      </c>
      <c r="B24" s="14">
        <f>Лист1!B17</f>
        <v>137</v>
      </c>
      <c r="C24" s="181">
        <f>Лист1!C17</f>
        <v>1185.05</v>
      </c>
      <c r="D24" s="182">
        <f>Лист1!D17</f>
        <v>148.13125</v>
      </c>
      <c r="E24" s="39">
        <f>Лист1!O17</f>
        <v>72.66</v>
      </c>
      <c r="F24" s="183">
        <f>Лист1!P17</f>
        <v>0</v>
      </c>
      <c r="G24" s="40">
        <f>Лист1!V17</f>
        <v>73.07000000000001</v>
      </c>
      <c r="H24" s="184">
        <f>Лист1!W17</f>
        <v>221.20125000000002</v>
      </c>
      <c r="I24" s="39">
        <f>Лист1!Y17</f>
        <v>73.98</v>
      </c>
      <c r="J24" s="16">
        <f>Лист1!AA17+Лист1!AB17</f>
        <v>122.4194599</v>
      </c>
      <c r="K24" s="16">
        <f>Лист1!Z17+Лист1!AC17+Лист1!AD17+Лист1!AE17+Лист1!AF17+Лист1!AG17+Лист1!AH17+Лист1!AI17+Лист1!AJ17</f>
        <v>420.72119668000005</v>
      </c>
      <c r="L24" s="17">
        <f>Лист1!AK17+Лист1!AL17+Лист1!AM17</f>
        <v>390.69800000000004</v>
      </c>
      <c r="M24" s="17">
        <f>Лист1!AP17</f>
        <v>0</v>
      </c>
      <c r="N24" s="185">
        <f>Лист1!AS17</f>
        <v>1007.81865658</v>
      </c>
      <c r="O24" s="41">
        <f>Лист1!AV17</f>
        <v>-786.6174065800001</v>
      </c>
      <c r="P24" s="186">
        <f>Лист1!AW17</f>
        <v>0.4100000000000108</v>
      </c>
      <c r="Q24" s="1"/>
      <c r="R24" s="1"/>
    </row>
    <row r="25" spans="1:18" ht="12.75">
      <c r="A25" s="13" t="s">
        <v>41</v>
      </c>
      <c r="B25" s="14">
        <f>Лист1!B18</f>
        <v>137</v>
      </c>
      <c r="C25" s="181">
        <f>Лист1!C18</f>
        <v>1185.05</v>
      </c>
      <c r="D25" s="182">
        <f>Лист1!D18</f>
        <v>1103.14</v>
      </c>
      <c r="E25" s="39">
        <f>Лист1!O18</f>
        <v>81.91</v>
      </c>
      <c r="F25" s="183">
        <f>Лист1!P18</f>
        <v>0</v>
      </c>
      <c r="G25" s="40">
        <f>Лист1!V18</f>
        <v>72.56</v>
      </c>
      <c r="H25" s="184">
        <f>Лист1!W18</f>
        <v>1175.7</v>
      </c>
      <c r="I25" s="39">
        <f>Лист1!Y18</f>
        <v>82.2</v>
      </c>
      <c r="J25" s="16">
        <f>Лист1!AA18+Лист1!AB18</f>
        <v>136.0231489</v>
      </c>
      <c r="K25" s="16">
        <f>Лист1!Z18+Лист1!AC18+Лист1!AD18+Лист1!AE18+Лист1!AF18+Лист1!AG18+Лист1!AH18+Лист1!AI18+Лист1!AJ18</f>
        <v>467.1062128</v>
      </c>
      <c r="L25" s="17">
        <f>Лист1!AK18+Лист1!AL18+Лист1!AM18</f>
        <v>0</v>
      </c>
      <c r="M25" s="17">
        <f>Лист1!AP18</f>
        <v>0</v>
      </c>
      <c r="N25" s="185">
        <f>Лист1!AS18</f>
        <v>685.3293617</v>
      </c>
      <c r="O25" s="41">
        <f>Лист1!AV18</f>
        <v>490.3706383</v>
      </c>
      <c r="P25" s="186">
        <f>Лист1!AW18</f>
        <v>-9.349999999999994</v>
      </c>
      <c r="Q25" s="1"/>
      <c r="R25" s="1"/>
    </row>
    <row r="26" spans="1:18" ht="12.75">
      <c r="A26" s="13" t="s">
        <v>42</v>
      </c>
      <c r="B26" s="14">
        <f>Лист1!B19</f>
        <v>137</v>
      </c>
      <c r="C26" s="181">
        <f>Лист1!C19</f>
        <v>1185.05</v>
      </c>
      <c r="D26" s="182">
        <f>Лист1!D19</f>
        <v>1103.15</v>
      </c>
      <c r="E26" s="39">
        <f>Лист1!O19</f>
        <v>133.04</v>
      </c>
      <c r="F26" s="183">
        <f>Лист1!P19</f>
        <v>0</v>
      </c>
      <c r="G26" s="40">
        <f>Лист1!V19</f>
        <v>0</v>
      </c>
      <c r="H26" s="184">
        <f>Лист1!W19</f>
        <v>1103.15</v>
      </c>
      <c r="I26" s="39">
        <f>Лист1!Y19</f>
        <v>82.2</v>
      </c>
      <c r="J26" s="16">
        <f>Лист1!AA19+Лист1!AB19</f>
        <v>135.79504664</v>
      </c>
      <c r="K26" s="16">
        <f>Лист1!Z19+Лист1!AC19+Лист1!AD19+Лист1!AE19+Лист1!AF19+Лист1!AG19+Лист1!AH19+Лист1!AI19+Лист1!AJ19</f>
        <v>466.30712413200007</v>
      </c>
      <c r="L26" s="17">
        <f>Лист1!AK19+Лист1!AL19+Лист1!AM19</f>
        <v>0</v>
      </c>
      <c r="M26" s="17">
        <f>Лист1!AP19</f>
        <v>0</v>
      </c>
      <c r="N26" s="185">
        <f>Лист1!AS19</f>
        <v>684.302170772</v>
      </c>
      <c r="O26" s="41">
        <f>Лист1!AV19</f>
        <v>418.84782922800014</v>
      </c>
      <c r="P26" s="186">
        <f>Лист1!AW19</f>
        <v>-133.04</v>
      </c>
      <c r="Q26" s="1"/>
      <c r="R26" s="1"/>
    </row>
    <row r="27" spans="1:18" ht="12.75">
      <c r="A27" s="13" t="s">
        <v>43</v>
      </c>
      <c r="B27" s="14">
        <f>Лист1!B20</f>
        <v>137</v>
      </c>
      <c r="C27" s="181">
        <f>Лист1!C20</f>
        <v>1185.05</v>
      </c>
      <c r="D27" s="182">
        <f>Лист1!D20</f>
        <v>1103.14</v>
      </c>
      <c r="E27" s="39">
        <f>Лист1!O20</f>
        <v>30.78</v>
      </c>
      <c r="F27" s="183">
        <f>Лист1!P20</f>
        <v>0</v>
      </c>
      <c r="G27" s="40">
        <f>Лист1!V20</f>
        <v>116.05</v>
      </c>
      <c r="H27" s="184">
        <f>Лист1!W20</f>
        <v>1219.19</v>
      </c>
      <c r="I27" s="39">
        <f>Лист1!Y20</f>
        <v>82.2</v>
      </c>
      <c r="J27" s="16">
        <f>Лист1!AA20+Лист1!AB20</f>
        <v>135.79504664</v>
      </c>
      <c r="K27" s="16">
        <f>Лист1!Z20+Лист1!AC20+Лист1!AD20+Лист1!AE20+Лист1!AF20+Лист1!AG20+Лист1!AH20+Лист1!AI20+Лист1!AJ20</f>
        <v>465.863518132</v>
      </c>
      <c r="L27" s="17">
        <f>Лист1!AK20+Лист1!AL20+Лист1!AM20</f>
        <v>0</v>
      </c>
      <c r="M27" s="17">
        <f>Лист1!AP20</f>
        <v>0</v>
      </c>
      <c r="N27" s="185">
        <f>Лист1!AS20</f>
        <v>683.8585647719999</v>
      </c>
      <c r="O27" s="41">
        <f>Лист1!AV20</f>
        <v>535.3314352280001</v>
      </c>
      <c r="P27" s="186">
        <f>Лист1!AW20</f>
        <v>85.27</v>
      </c>
      <c r="Q27" s="1"/>
      <c r="R27" s="1"/>
    </row>
    <row r="28" spans="1:18" ht="12.75">
      <c r="A28" s="13" t="s">
        <v>44</v>
      </c>
      <c r="B28" s="14">
        <f>Лист1!B21</f>
        <v>137</v>
      </c>
      <c r="C28" s="181">
        <f>Лист1!C21</f>
        <v>1185.05</v>
      </c>
      <c r="D28" s="182">
        <f>Лист1!D21</f>
        <v>1103.14</v>
      </c>
      <c r="E28" s="39">
        <f>Лист1!O21</f>
        <v>81.91</v>
      </c>
      <c r="F28" s="183">
        <f>Лист1!P21</f>
        <v>0</v>
      </c>
      <c r="G28" s="40">
        <f>Лист1!V21</f>
        <v>129.62</v>
      </c>
      <c r="H28" s="184">
        <f>Лист1!W21</f>
        <v>1232.7600000000002</v>
      </c>
      <c r="I28" s="39">
        <f>Лист1!Y21</f>
        <v>82.2</v>
      </c>
      <c r="J28" s="16">
        <f>Лист1!AA21+Лист1!AB21</f>
        <v>135.7895502</v>
      </c>
      <c r="K28" s="16">
        <f>Лист1!Z21+Лист1!AC21+Лист1!AD21+Лист1!AE21+Лист1!AF21+Лист1!AG21+Лист1!AH21+Лист1!AI21+Лист1!AJ21</f>
        <v>465.97325568</v>
      </c>
      <c r="L28" s="17">
        <f>Лист1!AK21+Лист1!AL21+Лист1!AM21</f>
        <v>547.0008</v>
      </c>
      <c r="M28" s="17">
        <f>Лист1!AP21</f>
        <v>0</v>
      </c>
      <c r="N28" s="185">
        <f>Лист1!AS21</f>
        <v>1230.96360588</v>
      </c>
      <c r="O28" s="41">
        <f>Лист1!AV21</f>
        <v>1.7963941200002864</v>
      </c>
      <c r="P28" s="186">
        <f>Лист1!AW21</f>
        <v>47.71000000000001</v>
      </c>
      <c r="Q28" s="1"/>
      <c r="R28" s="1"/>
    </row>
    <row r="29" spans="1:18" ht="12.75">
      <c r="A29" s="13" t="s">
        <v>45</v>
      </c>
      <c r="B29" s="14">
        <f>Лист1!B22</f>
        <v>137</v>
      </c>
      <c r="C29" s="181">
        <f>Лист1!C22</f>
        <v>1185.05</v>
      </c>
      <c r="D29" s="182">
        <f>Лист1!D22</f>
        <v>1103.14</v>
      </c>
      <c r="E29" s="39">
        <f>Лист1!O22</f>
        <v>81.91</v>
      </c>
      <c r="F29" s="183">
        <f>Лист1!P22</f>
        <v>0</v>
      </c>
      <c r="G29" s="40">
        <f>Лист1!V22</f>
        <v>0</v>
      </c>
      <c r="H29" s="184">
        <f>Лист1!W22</f>
        <v>1103.14</v>
      </c>
      <c r="I29" s="39">
        <f>Лист1!Y22</f>
        <v>82.2</v>
      </c>
      <c r="J29" s="16">
        <f>Лист1!AA22+Лист1!AB22</f>
        <v>135.7895502</v>
      </c>
      <c r="K29" s="16">
        <f>Лист1!Z22+Лист1!AC22+Лист1!AD22+Лист1!AE22+Лист1!AF22+Лист1!AG22+Лист1!AH22+Лист1!AI22+Лист1!AJ22</f>
        <v>465.99928568</v>
      </c>
      <c r="L29" s="17">
        <f>Лист1!AK22+Лист1!AL22+Лист1!AM22</f>
        <v>0</v>
      </c>
      <c r="M29" s="17">
        <f>Лист1!AP22</f>
        <v>0</v>
      </c>
      <c r="N29" s="185">
        <f>Лист1!AS22</f>
        <v>683.9888358799999</v>
      </c>
      <c r="O29" s="41">
        <f>Лист1!AV22</f>
        <v>419.1511641200002</v>
      </c>
      <c r="P29" s="186">
        <f>Лист1!AW22</f>
        <v>-81.91</v>
      </c>
      <c r="Q29" s="1"/>
      <c r="R29" s="1"/>
    </row>
    <row r="30" spans="1:18" ht="12.75">
      <c r="A30" s="13" t="s">
        <v>33</v>
      </c>
      <c r="B30" s="14">
        <f>Лист1!B23</f>
        <v>137</v>
      </c>
      <c r="C30" s="181">
        <f>Лист1!C23</f>
        <v>1185.05</v>
      </c>
      <c r="D30" s="182">
        <f>Лист1!D23</f>
        <v>1103.1399999999999</v>
      </c>
      <c r="E30" s="39">
        <f>Лист1!O23</f>
        <v>81.91</v>
      </c>
      <c r="F30" s="183">
        <f>Лист1!P23</f>
        <v>0</v>
      </c>
      <c r="G30" s="40">
        <f>Лист1!V23</f>
        <v>92.82999999999998</v>
      </c>
      <c r="H30" s="184">
        <f>Лист1!W23</f>
        <v>1195.9699999999998</v>
      </c>
      <c r="I30" s="39">
        <f>Лист1!Y23</f>
        <v>82.2</v>
      </c>
      <c r="J30" s="16">
        <f>Лист1!AA23+Лист1!AB23</f>
        <v>137.411</v>
      </c>
      <c r="K30" s="16">
        <f>Лист1!Z23+Лист1!AC23+Лист1!AD23+Лист1!AE23+Лист1!AF23+Лист1!AG23+Лист1!AH23+Лист1!AI23+Лист1!AJ23</f>
        <v>470.34839999999997</v>
      </c>
      <c r="L30" s="17">
        <f>Лист1!AK23+Лист1!AL23+Лист1!AM23</f>
        <v>0</v>
      </c>
      <c r="M30" s="17">
        <f>Лист1!AP23</f>
        <v>0</v>
      </c>
      <c r="N30" s="185">
        <f>Лист1!AS23</f>
        <v>689.9594</v>
      </c>
      <c r="O30" s="41">
        <f>Лист1!AV23</f>
        <v>506.01059999999984</v>
      </c>
      <c r="P30" s="186">
        <f>Лист1!AW23</f>
        <v>10.919999999999987</v>
      </c>
      <c r="Q30" s="1"/>
      <c r="R30" s="1"/>
    </row>
    <row r="31" spans="1:18" ht="12.75">
      <c r="A31" s="13" t="s">
        <v>34</v>
      </c>
      <c r="B31" s="14">
        <f>Лист1!B24</f>
        <v>137</v>
      </c>
      <c r="C31" s="181">
        <f>Лист1!C24</f>
        <v>1185.05</v>
      </c>
      <c r="D31" s="182">
        <f>Лист1!D24</f>
        <v>1103.1399999999999</v>
      </c>
      <c r="E31" s="39">
        <f>Лист1!O24</f>
        <v>81.91</v>
      </c>
      <c r="F31" s="183">
        <f>Лист1!P24</f>
        <v>0</v>
      </c>
      <c r="G31" s="40">
        <f>Лист1!V24</f>
        <v>0</v>
      </c>
      <c r="H31" s="184">
        <f>Лист1!W24</f>
        <v>1103.1399999999999</v>
      </c>
      <c r="I31" s="39">
        <f>Лист1!Y24</f>
        <v>82.2</v>
      </c>
      <c r="J31" s="16">
        <f>Лист1!AA24+Лист1!AB24</f>
        <v>137.411</v>
      </c>
      <c r="K31" s="16">
        <f>Лист1!Z24+Лист1!AC24+Лист1!AD24+Лист1!AE24+Лист1!AF24+Лист1!AG24+Лист1!AH24+Лист1!AI24+Лист1!AJ24</f>
        <v>470.34839999999997</v>
      </c>
      <c r="L31" s="17">
        <f>Лист1!AK24+Лист1!AL24+Лист1!AM24</f>
        <v>0</v>
      </c>
      <c r="M31" s="17">
        <f>Лист1!AP24</f>
        <v>0</v>
      </c>
      <c r="N31" s="185">
        <f>Лист1!AS24</f>
        <v>689.9594</v>
      </c>
      <c r="O31" s="41">
        <f>Лист1!AV24</f>
        <v>413.1805999999999</v>
      </c>
      <c r="P31" s="186">
        <f>Лист1!AW24</f>
        <v>-81.91</v>
      </c>
      <c r="Q31" s="1"/>
      <c r="R31" s="1"/>
    </row>
    <row r="32" spans="1:18" ht="13.5" thickBot="1">
      <c r="A32" s="42" t="s">
        <v>35</v>
      </c>
      <c r="B32" s="14">
        <f>Лист1!B25</f>
        <v>137</v>
      </c>
      <c r="C32" s="181">
        <f>Лист1!C25</f>
        <v>0</v>
      </c>
      <c r="D32" s="182">
        <f>Лист1!D25</f>
        <v>0</v>
      </c>
      <c r="E32" s="39">
        <f>Лист1!O25</f>
        <v>0</v>
      </c>
      <c r="F32" s="183">
        <f>Лист1!P25</f>
        <v>0</v>
      </c>
      <c r="G32" s="40">
        <f>Лист1!V25</f>
        <v>0</v>
      </c>
      <c r="H32" s="184">
        <f>Лист1!W25</f>
        <v>0</v>
      </c>
      <c r="I32" s="39">
        <f>Лист1!Y25</f>
        <v>82.2</v>
      </c>
      <c r="J32" s="16">
        <f>Лист1!AA25+Лист1!AB25</f>
        <v>137.411</v>
      </c>
      <c r="K32" s="16">
        <f>Лист1!Z25+Лист1!AC25+Лист1!AD25+Лист1!AE25+Лист1!AF25+Лист1!AG25+Лист1!AH25+Лист1!AI25+Лист1!AJ25</f>
        <v>470.34839999999997</v>
      </c>
      <c r="L32" s="17">
        <f>Лист1!AK25+Лист1!AL25+Лист1!AM25</f>
        <v>286.3742</v>
      </c>
      <c r="M32" s="17">
        <f>Лист1!AP25</f>
        <v>0</v>
      </c>
      <c r="N32" s="185">
        <f>Лист1!AS25</f>
        <v>976.3336</v>
      </c>
      <c r="O32" s="41">
        <f>Лист1!AV25</f>
        <v>-976.3336</v>
      </c>
      <c r="P32" s="186">
        <f>Лист1!AW25</f>
        <v>0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13035.549999999997</v>
      </c>
      <c r="D33" s="49">
        <f t="shared" si="1"/>
        <v>8314.515</v>
      </c>
      <c r="E33" s="48">
        <f t="shared" si="1"/>
        <v>-57.20000000000019</v>
      </c>
      <c r="F33" s="45">
        <f t="shared" si="1"/>
        <v>-389.25</v>
      </c>
      <c r="G33" s="46">
        <f t="shared" si="1"/>
        <v>947.02</v>
      </c>
      <c r="H33" s="193">
        <f t="shared" si="1"/>
        <v>8872.285</v>
      </c>
      <c r="I33" s="48">
        <f t="shared" si="1"/>
        <v>953.5200000000002</v>
      </c>
      <c r="J33" s="45">
        <f t="shared" si="1"/>
        <v>1579.5622378800003</v>
      </c>
      <c r="K33" s="45">
        <f t="shared" si="1"/>
        <v>5424.386460584</v>
      </c>
      <c r="L33" s="45">
        <f t="shared" si="1"/>
        <v>1224.073</v>
      </c>
      <c r="M33" s="45">
        <f t="shared" si="1"/>
        <v>0</v>
      </c>
      <c r="N33" s="194">
        <f t="shared" si="1"/>
        <v>9181.541698464</v>
      </c>
      <c r="O33" s="49">
        <f>SUM(O21:O32)</f>
        <v>-309.25669846399967</v>
      </c>
      <c r="P33" s="195">
        <f t="shared" si="1"/>
        <v>1004.2200000000001</v>
      </c>
      <c r="Q33" s="50"/>
      <c r="R33" s="50"/>
    </row>
    <row r="34" spans="1:18" ht="13.5" thickBot="1">
      <c r="A34" s="196" t="s">
        <v>60</v>
      </c>
      <c r="B34" s="197"/>
      <c r="C34" s="198"/>
      <c r="D34" s="199"/>
      <c r="E34" s="197"/>
      <c r="F34" s="197"/>
      <c r="G34" s="196"/>
      <c r="H34" s="200"/>
      <c r="I34" s="197"/>
      <c r="J34" s="197"/>
      <c r="K34" s="197"/>
      <c r="L34" s="197"/>
      <c r="M34" s="197"/>
      <c r="N34" s="201"/>
      <c r="O34" s="199"/>
      <c r="P34" s="202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16590.699999999997</v>
      </c>
      <c r="D35" s="60">
        <f aca="true" t="shared" si="2" ref="D35:P35">D19+D33</f>
        <v>9169.2514555</v>
      </c>
      <c r="E35" s="203">
        <f t="shared" si="2"/>
        <v>1082.0619999999997</v>
      </c>
      <c r="F35" s="59">
        <f t="shared" si="2"/>
        <v>0</v>
      </c>
      <c r="G35" s="58">
        <f t="shared" si="2"/>
        <v>1714.69</v>
      </c>
      <c r="H35" s="204">
        <f t="shared" si="2"/>
        <v>10883.9414555</v>
      </c>
      <c r="I35" s="203">
        <f t="shared" si="2"/>
        <v>1200.1200000000003</v>
      </c>
      <c r="J35" s="56">
        <f t="shared" si="2"/>
        <v>1990.6312858800004</v>
      </c>
      <c r="K35" s="56">
        <f t="shared" si="2"/>
        <v>6591.2575675339995</v>
      </c>
      <c r="L35" s="56">
        <f t="shared" si="2"/>
        <v>4027.635</v>
      </c>
      <c r="M35" s="56">
        <f t="shared" si="2"/>
        <v>0</v>
      </c>
      <c r="N35" s="205">
        <f t="shared" si="2"/>
        <v>13809.643853414</v>
      </c>
      <c r="O35" s="60">
        <f t="shared" si="2"/>
        <v>-2925.7023979139994</v>
      </c>
      <c r="P35" s="206">
        <f t="shared" si="2"/>
        <v>632.6280000000002</v>
      </c>
      <c r="Q35" s="61"/>
      <c r="R35" s="50"/>
    </row>
    <row r="36" spans="1:18" ht="12.75">
      <c r="A36" s="8" t="s">
        <v>78</v>
      </c>
      <c r="B36" s="62"/>
      <c r="C36" s="187"/>
      <c r="D36" s="188"/>
      <c r="E36" s="53"/>
      <c r="F36" s="189"/>
      <c r="G36" s="54"/>
      <c r="H36" s="190"/>
      <c r="I36" s="53"/>
      <c r="J36" s="51"/>
      <c r="K36" s="51"/>
      <c r="L36" s="63"/>
      <c r="M36" s="63"/>
      <c r="N36" s="191"/>
      <c r="O36" s="64"/>
      <c r="P36" s="192"/>
      <c r="Q36" s="1"/>
      <c r="R36" s="1"/>
    </row>
    <row r="37" spans="1:18" ht="12.75">
      <c r="A37" s="13" t="s">
        <v>37</v>
      </c>
      <c r="B37" s="14">
        <f>Лист1!B30</f>
        <v>137</v>
      </c>
      <c r="C37" s="181">
        <f>Лист1!C30</f>
        <v>0</v>
      </c>
      <c r="D37" s="182">
        <f>Лист1!D30</f>
        <v>0</v>
      </c>
      <c r="E37" s="39">
        <f>Лист1!O30</f>
        <v>0</v>
      </c>
      <c r="F37" s="183">
        <f>Лист1!P30</f>
        <v>0</v>
      </c>
      <c r="G37" s="40">
        <f>Лист1!V30</f>
        <v>0</v>
      </c>
      <c r="H37" s="184">
        <f>Лист1!W30</f>
        <v>0</v>
      </c>
      <c r="I37" s="39">
        <f>Лист1!Y30</f>
        <v>0</v>
      </c>
      <c r="J37" s="16">
        <f>Лист1!AA30+Лист1!AB30</f>
        <v>0</v>
      </c>
      <c r="K37" s="16">
        <f>Лист1!Z30+Лист1!AC30+Лист1!AD30+Лист1!AE30+Лист1!AF30+Лист1!AG30+Лист1!AH30+Лист1!AI30+Лист1!AJ30</f>
        <v>0</v>
      </c>
      <c r="L37" s="17">
        <f>Лист1!AK30+Лист1!AL30+Лист1!AM30</f>
        <v>0</v>
      </c>
      <c r="M37" s="17">
        <f>Лист1!AP30</f>
        <v>0</v>
      </c>
      <c r="N37" s="185">
        <f>Лист1!AS30</f>
        <v>0</v>
      </c>
      <c r="O37" s="41">
        <f>Лист1!AV30</f>
        <v>0</v>
      </c>
      <c r="P37" s="186">
        <f>Лист1!AW30</f>
        <v>0</v>
      </c>
      <c r="Q37" s="1"/>
      <c r="R37" s="1"/>
    </row>
    <row r="38" spans="1:18" ht="12.75">
      <c r="A38" s="13" t="s">
        <v>38</v>
      </c>
      <c r="B38" s="14">
        <f>Лист1!B31</f>
        <v>137</v>
      </c>
      <c r="C38" s="181">
        <f>Лист1!C31</f>
        <v>0</v>
      </c>
      <c r="D38" s="182">
        <f>Лист1!D31</f>
        <v>0</v>
      </c>
      <c r="E38" s="39">
        <f>Лист1!O31</f>
        <v>0</v>
      </c>
      <c r="F38" s="183">
        <f>Лист1!P31</f>
        <v>0</v>
      </c>
      <c r="G38" s="40">
        <f>Лист1!V31</f>
        <v>0</v>
      </c>
      <c r="H38" s="184">
        <f>Лист1!W31</f>
        <v>0</v>
      </c>
      <c r="I38" s="39">
        <f>Лист1!Y31</f>
        <v>0</v>
      </c>
      <c r="J38" s="16">
        <f>Лист1!AA31+Лист1!AB31</f>
        <v>0</v>
      </c>
      <c r="K38" s="16">
        <f>Лист1!Z31+Лист1!AC31+Лист1!AD31+Лист1!AE31+Лист1!AF31+Лист1!AG31+Лист1!AH31+Лист1!AI31+Лист1!AJ31</f>
        <v>0</v>
      </c>
      <c r="L38" s="17">
        <f>Лист1!AK31+Лист1!AL31+Лист1!AM31</f>
        <v>1120</v>
      </c>
      <c r="M38" s="17">
        <f>Лист1!AP31</f>
        <v>0</v>
      </c>
      <c r="N38" s="185">
        <f>Лист1!AS31</f>
        <v>1120</v>
      </c>
      <c r="O38" s="41">
        <f>Лист1!AV31</f>
        <v>-1120</v>
      </c>
      <c r="P38" s="186">
        <f>Лист1!AW31</f>
        <v>0</v>
      </c>
      <c r="Q38" s="1"/>
      <c r="R38" s="1"/>
    </row>
    <row r="39" spans="1:18" ht="12.75">
      <c r="A39" s="13" t="s">
        <v>39</v>
      </c>
      <c r="B39" s="14">
        <f>Лист1!B32</f>
        <v>137</v>
      </c>
      <c r="C39" s="181">
        <f>Лист1!C32</f>
        <v>0</v>
      </c>
      <c r="D39" s="182">
        <f>Лист1!D32</f>
        <v>0</v>
      </c>
      <c r="E39" s="39">
        <f>Лист1!O32</f>
        <v>0</v>
      </c>
      <c r="F39" s="183">
        <f>Лист1!P32</f>
        <v>0</v>
      </c>
      <c r="G39" s="40">
        <f>Лист1!V32</f>
        <v>0</v>
      </c>
      <c r="H39" s="184">
        <f>Лист1!W32</f>
        <v>0</v>
      </c>
      <c r="I39" s="39">
        <f>Лист1!Y32</f>
        <v>0</v>
      </c>
      <c r="J39" s="16">
        <f>Лист1!AA32+Лист1!AB32</f>
        <v>0</v>
      </c>
      <c r="K39" s="16">
        <f>Лист1!Z32+Лист1!AC32+Лист1!AD32+Лист1!AE32+Лист1!AF32+Лист1!AG32+Лист1!AH32+Лист1!AI32+Лист1!AJ32</f>
        <v>0</v>
      </c>
      <c r="L39" s="17">
        <f>Лист1!AK32+Лист1!AL32+Лист1!AM32</f>
        <v>0</v>
      </c>
      <c r="M39" s="17">
        <f>Лист1!AP32</f>
        <v>0</v>
      </c>
      <c r="N39" s="185">
        <f>Лист1!AS32</f>
        <v>0</v>
      </c>
      <c r="O39" s="41">
        <f>Лист1!AV32</f>
        <v>0</v>
      </c>
      <c r="P39" s="186">
        <f>Лист1!AW32</f>
        <v>0</v>
      </c>
      <c r="Q39" s="1"/>
      <c r="R39" s="1"/>
    </row>
    <row r="40" spans="1:18" ht="12.75">
      <c r="A40" s="13" t="s">
        <v>40</v>
      </c>
      <c r="B40" s="14">
        <f>Лист1!B33</f>
        <v>137</v>
      </c>
      <c r="C40" s="181">
        <f>Лист1!C33</f>
        <v>0</v>
      </c>
      <c r="D40" s="182">
        <f>Лист1!D33</f>
        <v>0</v>
      </c>
      <c r="E40" s="39">
        <f>Лист1!O33</f>
        <v>0</v>
      </c>
      <c r="F40" s="183">
        <f>Лист1!P33</f>
        <v>0</v>
      </c>
      <c r="G40" s="40">
        <f>Лист1!V33</f>
        <v>0</v>
      </c>
      <c r="H40" s="184">
        <f>Лист1!W33</f>
        <v>0</v>
      </c>
      <c r="I40" s="39">
        <f>Лист1!Y33</f>
        <v>0</v>
      </c>
      <c r="J40" s="16">
        <f>Лист1!AA33+Лист1!AB33</f>
        <v>0</v>
      </c>
      <c r="K40" s="16">
        <f>Лист1!Z33+Лист1!AC33+Лист1!AD33+Лист1!AE33+Лист1!AF33+Лист1!AG33+Лист1!AH33+Лист1!AI33+Лист1!AJ33</f>
        <v>0</v>
      </c>
      <c r="L40" s="17">
        <f>Лист1!AK33+Лист1!AL33+Лист1!AM33</f>
        <v>0</v>
      </c>
      <c r="M40" s="17">
        <f>Лист1!AP33</f>
        <v>0</v>
      </c>
      <c r="N40" s="185">
        <f>Лист1!AS33</f>
        <v>0</v>
      </c>
      <c r="O40" s="41">
        <f>Лист1!AV33</f>
        <v>0</v>
      </c>
      <c r="P40" s="186">
        <f>Лист1!AW33</f>
        <v>0</v>
      </c>
      <c r="Q40" s="1"/>
      <c r="R40" s="1"/>
    </row>
    <row r="41" spans="1:18" ht="12.75">
      <c r="A41" s="13" t="s">
        <v>41</v>
      </c>
      <c r="B41" s="14">
        <f>Лист1!B34</f>
        <v>137</v>
      </c>
      <c r="C41" s="181">
        <f>Лист1!C34</f>
        <v>0</v>
      </c>
      <c r="D41" s="182">
        <f>Лист1!D34</f>
        <v>0</v>
      </c>
      <c r="E41" s="39">
        <f>Лист1!O34</f>
        <v>0</v>
      </c>
      <c r="F41" s="183">
        <f>Лист1!P34</f>
        <v>0</v>
      </c>
      <c r="G41" s="40">
        <f>Лист1!V34</f>
        <v>0</v>
      </c>
      <c r="H41" s="184">
        <f>Лист1!W34</f>
        <v>0</v>
      </c>
      <c r="I41" s="39">
        <f>Лист1!Y34</f>
        <v>0</v>
      </c>
      <c r="J41" s="16">
        <f>Лист1!AA34+Лист1!AB34</f>
        <v>0</v>
      </c>
      <c r="K41" s="16">
        <f>Лист1!Z34+Лист1!AC34+Лист1!AD34+Лист1!AE34+Лист1!AF34+Лист1!AG34+Лист1!AH34+Лист1!AI34+Лист1!AJ34</f>
        <v>0</v>
      </c>
      <c r="L41" s="17">
        <f>Лист1!AK34+Лист1!AL34+Лист1!AM34</f>
        <v>0</v>
      </c>
      <c r="M41" s="17">
        <f>Лист1!AP34</f>
        <v>0</v>
      </c>
      <c r="N41" s="185">
        <f>Лист1!AS34</f>
        <v>0</v>
      </c>
      <c r="O41" s="41">
        <f>Лист1!AV34</f>
        <v>0</v>
      </c>
      <c r="P41" s="186">
        <f>Лист1!AW34</f>
        <v>0</v>
      </c>
      <c r="Q41" s="1"/>
      <c r="R41" s="1"/>
    </row>
    <row r="42" spans="1:18" ht="12.75">
      <c r="A42" s="13" t="s">
        <v>42</v>
      </c>
      <c r="B42" s="14">
        <f>Лист1!B35</f>
        <v>137</v>
      </c>
      <c r="C42" s="181">
        <f>Лист1!C35</f>
        <v>0</v>
      </c>
      <c r="D42" s="182">
        <f>Лист1!D35</f>
        <v>0</v>
      </c>
      <c r="E42" s="39">
        <f>Лист1!O35</f>
        <v>0</v>
      </c>
      <c r="F42" s="183">
        <f>Лист1!P35</f>
        <v>0</v>
      </c>
      <c r="G42" s="40">
        <f>Лист1!V35</f>
        <v>0</v>
      </c>
      <c r="H42" s="184">
        <f>Лист1!W35</f>
        <v>0</v>
      </c>
      <c r="I42" s="39">
        <f>Лист1!Y35</f>
        <v>0</v>
      </c>
      <c r="J42" s="16">
        <f>Лист1!AA35+Лист1!AB35</f>
        <v>0</v>
      </c>
      <c r="K42" s="16">
        <f>Лист1!Z35+Лист1!AC35+Лист1!AD35+Лист1!AE35+Лист1!AF35+Лист1!AG35+Лист1!AH35+Лист1!AI35+Лист1!AJ35</f>
        <v>0</v>
      </c>
      <c r="L42" s="17">
        <f>Лист1!AK35+Лист1!AL35+Лист1!AM35</f>
        <v>0</v>
      </c>
      <c r="M42" s="17">
        <f>Лист1!AP35</f>
        <v>0</v>
      </c>
      <c r="N42" s="185">
        <f>Лист1!AS35</f>
        <v>0</v>
      </c>
      <c r="O42" s="41">
        <f>Лист1!AV35</f>
        <v>0</v>
      </c>
      <c r="P42" s="186">
        <f>Лист1!AW35</f>
        <v>0</v>
      </c>
      <c r="Q42" s="1"/>
      <c r="R42" s="1"/>
    </row>
    <row r="43" spans="1:18" ht="12.75">
      <c r="A43" s="13" t="s">
        <v>43</v>
      </c>
      <c r="B43" s="14">
        <f>Лист1!B36</f>
        <v>137</v>
      </c>
      <c r="C43" s="181">
        <f>Лист1!C36</f>
        <v>0</v>
      </c>
      <c r="D43" s="182">
        <f>Лист1!D36</f>
        <v>0</v>
      </c>
      <c r="E43" s="39">
        <f>Лист1!O36</f>
        <v>0</v>
      </c>
      <c r="F43" s="183">
        <f>Лист1!P36</f>
        <v>0</v>
      </c>
      <c r="G43" s="40">
        <f>Лист1!V36</f>
        <v>0</v>
      </c>
      <c r="H43" s="184">
        <f>Лист1!W36</f>
        <v>0</v>
      </c>
      <c r="I43" s="39">
        <f>Лист1!Y36</f>
        <v>0</v>
      </c>
      <c r="J43" s="16">
        <f>Лист1!AA36+Лист1!AB36</f>
        <v>0</v>
      </c>
      <c r="K43" s="16">
        <f>Лист1!Z36+Лист1!AC36+Лист1!AD36+Лист1!AE36+Лист1!AF36+Лист1!AG36+Лист1!AH36+Лист1!AI36+Лист1!AJ36</f>
        <v>0</v>
      </c>
      <c r="L43" s="17">
        <f>Лист1!AK36+Лист1!AL36+Лист1!AM36</f>
        <v>0</v>
      </c>
      <c r="M43" s="17">
        <f>Лист1!AP36</f>
        <v>0</v>
      </c>
      <c r="N43" s="185">
        <f>Лист1!AS36</f>
        <v>0</v>
      </c>
      <c r="O43" s="41">
        <f>Лист1!AV36</f>
        <v>0</v>
      </c>
      <c r="P43" s="186">
        <f>Лист1!AW36</f>
        <v>0</v>
      </c>
      <c r="Q43" s="1"/>
      <c r="R43" s="1"/>
    </row>
    <row r="44" spans="1:18" ht="12.75">
      <c r="A44" s="13" t="s">
        <v>44</v>
      </c>
      <c r="B44" s="14">
        <f>Лист1!B37</f>
        <v>137</v>
      </c>
      <c r="C44" s="181">
        <f>Лист1!C37</f>
        <v>0</v>
      </c>
      <c r="D44" s="182">
        <f>Лист1!D37</f>
        <v>0</v>
      </c>
      <c r="E44" s="39">
        <f>Лист1!O37</f>
        <v>0</v>
      </c>
      <c r="F44" s="183">
        <f>Лист1!P37</f>
        <v>0</v>
      </c>
      <c r="G44" s="40">
        <f>Лист1!V37</f>
        <v>0</v>
      </c>
      <c r="H44" s="184">
        <f>Лист1!W37</f>
        <v>0</v>
      </c>
      <c r="I44" s="39">
        <f>Лист1!Y37</f>
        <v>0</v>
      </c>
      <c r="J44" s="16">
        <f>Лист1!AA37+Лист1!AB37</f>
        <v>0</v>
      </c>
      <c r="K44" s="16">
        <f>Лист1!Z37+Лист1!AC37+Лист1!AD37+Лист1!AE37+Лист1!AF37+Лист1!AG37+Лист1!AH37+Лист1!AI37+Лист1!AJ37</f>
        <v>0</v>
      </c>
      <c r="L44" s="17">
        <f>Лист1!AK37+Лист1!AL37+Лист1!AM37</f>
        <v>47.8</v>
      </c>
      <c r="M44" s="17">
        <f>Лист1!AP37</f>
        <v>0</v>
      </c>
      <c r="N44" s="185">
        <f>Лист1!AS37</f>
        <v>47.8</v>
      </c>
      <c r="O44" s="41">
        <f>Лист1!AV37</f>
        <v>-47.8</v>
      </c>
      <c r="P44" s="186">
        <f>Лист1!AW37</f>
        <v>0</v>
      </c>
      <c r="Q44" s="1"/>
      <c r="R44" s="1"/>
    </row>
    <row r="45" spans="1:18" ht="12.75">
      <c r="A45" s="13" t="s">
        <v>45</v>
      </c>
      <c r="B45" s="14">
        <f>Лист1!B38</f>
        <v>137</v>
      </c>
      <c r="C45" s="181">
        <f>Лист1!C38</f>
        <v>0</v>
      </c>
      <c r="D45" s="182">
        <f>Лист1!D38</f>
        <v>0</v>
      </c>
      <c r="E45" s="39">
        <f>Лист1!O38</f>
        <v>0</v>
      </c>
      <c r="F45" s="183">
        <f>Лист1!P38</f>
        <v>0</v>
      </c>
      <c r="G45" s="40">
        <f>Лист1!V38</f>
        <v>0</v>
      </c>
      <c r="H45" s="184">
        <f>Лист1!W38</f>
        <v>0</v>
      </c>
      <c r="I45" s="39">
        <f>Лист1!Y38</f>
        <v>0</v>
      </c>
      <c r="J45" s="16">
        <f>Лист1!AA38+Лист1!AB38</f>
        <v>0</v>
      </c>
      <c r="K45" s="16">
        <f>Лист1!Z38+Лист1!AC38+Лист1!AD38+Лист1!AE38+Лист1!AF38+Лист1!AG38+Лист1!AH38+Лист1!AI38+Лист1!AJ38</f>
        <v>0</v>
      </c>
      <c r="L45" s="17">
        <f>Лист1!AK38+Лист1!AL38+Лист1!AM38</f>
        <v>0</v>
      </c>
      <c r="M45" s="17">
        <f>Лист1!AP38</f>
        <v>0</v>
      </c>
      <c r="N45" s="185">
        <f>Лист1!AS38</f>
        <v>0</v>
      </c>
      <c r="O45" s="41">
        <f>Лист1!AV38</f>
        <v>0</v>
      </c>
      <c r="P45" s="186">
        <f>Лист1!AW38</f>
        <v>0</v>
      </c>
      <c r="Q45" s="1"/>
      <c r="R45" s="1"/>
    </row>
    <row r="46" spans="1:18" ht="12.75">
      <c r="A46" s="13" t="s">
        <v>33</v>
      </c>
      <c r="B46" s="14">
        <f>Лист1!B39</f>
        <v>137</v>
      </c>
      <c r="C46" s="181">
        <f>Лист1!C39</f>
        <v>0</v>
      </c>
      <c r="D46" s="182">
        <f>Лист1!D39</f>
        <v>0</v>
      </c>
      <c r="E46" s="39">
        <f>Лист1!O39</f>
        <v>0</v>
      </c>
      <c r="F46" s="183">
        <f>Лист1!P39</f>
        <v>0</v>
      </c>
      <c r="G46" s="40">
        <f>Лист1!V39</f>
        <v>0</v>
      </c>
      <c r="H46" s="184">
        <f>Лист1!W39</f>
        <v>0</v>
      </c>
      <c r="I46" s="39">
        <f>Лист1!Y39</f>
        <v>0</v>
      </c>
      <c r="J46" s="16">
        <f>Лист1!AA39+Лист1!AB39</f>
        <v>0</v>
      </c>
      <c r="K46" s="16">
        <f>Лист1!Z39+Лист1!AC39+Лист1!AD39+Лист1!AE39+Лист1!AF39+Лист1!AG39+Лист1!AH39+Лист1!AI39+Лист1!AJ39</f>
        <v>0</v>
      </c>
      <c r="L46" s="17">
        <f>Лист1!AK39+Лист1!AL39+Лист1!AM39</f>
        <v>0</v>
      </c>
      <c r="M46" s="17">
        <f>Лист1!AP39</f>
        <v>0</v>
      </c>
      <c r="N46" s="185">
        <f>Лист1!AS39</f>
        <v>0</v>
      </c>
      <c r="O46" s="41">
        <f>Лист1!AV39</f>
        <v>0</v>
      </c>
      <c r="P46" s="186">
        <f>Лист1!AW39</f>
        <v>0</v>
      </c>
      <c r="Q46" s="1"/>
      <c r="R46" s="1"/>
    </row>
    <row r="47" spans="1:18" ht="12.75">
      <c r="A47" s="13" t="s">
        <v>34</v>
      </c>
      <c r="B47" s="14">
        <f>Лист1!B40</f>
        <v>137</v>
      </c>
      <c r="C47" s="181">
        <f>Лист1!C40</f>
        <v>0</v>
      </c>
      <c r="D47" s="182">
        <f>Лист1!D40</f>
        <v>0</v>
      </c>
      <c r="E47" s="39">
        <f>Лист1!O40</f>
        <v>0</v>
      </c>
      <c r="F47" s="183">
        <f>Лист1!P40</f>
        <v>0</v>
      </c>
      <c r="G47" s="40">
        <f>Лист1!V40</f>
        <v>0</v>
      </c>
      <c r="H47" s="184">
        <f>Лист1!W40</f>
        <v>0</v>
      </c>
      <c r="I47" s="39">
        <f>Лист1!Y40</f>
        <v>0</v>
      </c>
      <c r="J47" s="16">
        <f>Лист1!AA40+Лист1!AB40</f>
        <v>0</v>
      </c>
      <c r="K47" s="16">
        <f>Лист1!Z40+Лист1!AC40+Лист1!AD40+Лист1!AE40+Лист1!AF40+Лист1!AG40+Лист1!AH40+Лист1!AI40+Лист1!AJ40</f>
        <v>0</v>
      </c>
      <c r="L47" s="17">
        <f>Лист1!AK40+Лист1!AL40+Лист1!AM40</f>
        <v>0</v>
      </c>
      <c r="M47" s="17">
        <f>Лист1!AP40</f>
        <v>0</v>
      </c>
      <c r="N47" s="185">
        <f>Лист1!AS40</f>
        <v>0</v>
      </c>
      <c r="O47" s="41">
        <f>Лист1!AV40</f>
        <v>0</v>
      </c>
      <c r="P47" s="186">
        <f>Лист1!AW40</f>
        <v>0</v>
      </c>
      <c r="Q47" s="1"/>
      <c r="R47" s="1"/>
    </row>
    <row r="48" spans="1:18" ht="13.5" thickBot="1">
      <c r="A48" s="42" t="s">
        <v>35</v>
      </c>
      <c r="B48" s="14">
        <f>Лист1!B41</f>
        <v>137</v>
      </c>
      <c r="C48" s="181">
        <f>Лист1!C41</f>
        <v>0</v>
      </c>
      <c r="D48" s="182">
        <f>Лист1!D41</f>
        <v>0</v>
      </c>
      <c r="E48" s="39">
        <f>Лист1!O41</f>
        <v>0</v>
      </c>
      <c r="F48" s="183">
        <f>Лист1!P41</f>
        <v>0</v>
      </c>
      <c r="G48" s="40">
        <f>Лист1!V41</f>
        <v>0</v>
      </c>
      <c r="H48" s="184">
        <f>Лист1!W41</f>
        <v>0</v>
      </c>
      <c r="I48" s="39">
        <f>Лист1!Y41</f>
        <v>0</v>
      </c>
      <c r="J48" s="16">
        <f>Лист1!AA41+Лист1!AB41</f>
        <v>0</v>
      </c>
      <c r="K48" s="16">
        <f>Лист1!Z41+Лист1!AC41+Лист1!AD41+Лист1!AE41+Лист1!AF41+Лист1!AG41+Лист1!AH41+Лист1!AI41+Лист1!AJ41</f>
        <v>0</v>
      </c>
      <c r="L48" s="17">
        <f>Лист1!AK41+Лист1!AL41+Лист1!AM41</f>
        <v>0</v>
      </c>
      <c r="M48" s="17">
        <f>Лист1!AP41</f>
        <v>0</v>
      </c>
      <c r="N48" s="185">
        <f>Лист1!AS41</f>
        <v>0</v>
      </c>
      <c r="O48" s="41">
        <f>Лист1!AV41</f>
        <v>0</v>
      </c>
      <c r="P48" s="186">
        <f>Лист1!AW41</f>
        <v>0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0</v>
      </c>
      <c r="D49" s="49">
        <f t="shared" si="3"/>
        <v>0</v>
      </c>
      <c r="E49" s="48">
        <f t="shared" si="3"/>
        <v>0</v>
      </c>
      <c r="F49" s="45">
        <f t="shared" si="3"/>
        <v>0</v>
      </c>
      <c r="G49" s="46">
        <f t="shared" si="3"/>
        <v>0</v>
      </c>
      <c r="H49" s="193">
        <f t="shared" si="3"/>
        <v>0</v>
      </c>
      <c r="I49" s="48">
        <f t="shared" si="3"/>
        <v>0</v>
      </c>
      <c r="J49" s="45">
        <f t="shared" si="3"/>
        <v>0</v>
      </c>
      <c r="K49" s="45">
        <f t="shared" si="3"/>
        <v>0</v>
      </c>
      <c r="L49" s="45">
        <f t="shared" si="3"/>
        <v>1167.8</v>
      </c>
      <c r="M49" s="45">
        <f t="shared" si="3"/>
        <v>0</v>
      </c>
      <c r="N49" s="194">
        <f t="shared" si="3"/>
        <v>1167.8</v>
      </c>
      <c r="O49" s="49">
        <f t="shared" si="3"/>
        <v>-1167.8</v>
      </c>
      <c r="P49" s="195">
        <f t="shared" si="3"/>
        <v>0</v>
      </c>
      <c r="Q49" s="50"/>
      <c r="R49" s="50"/>
    </row>
    <row r="50" spans="1:18" ht="13.5" thickBot="1">
      <c r="A50" s="196" t="s">
        <v>60</v>
      </c>
      <c r="B50" s="197"/>
      <c r="C50" s="198"/>
      <c r="D50" s="199"/>
      <c r="E50" s="197"/>
      <c r="F50" s="197"/>
      <c r="G50" s="196"/>
      <c r="H50" s="200"/>
      <c r="I50" s="197"/>
      <c r="J50" s="197"/>
      <c r="K50" s="197"/>
      <c r="L50" s="197"/>
      <c r="M50" s="197"/>
      <c r="N50" s="201"/>
      <c r="O50" s="199"/>
      <c r="P50" s="202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16590.699999999997</v>
      </c>
      <c r="D51" s="60">
        <f aca="true" t="shared" si="4" ref="D51:P51">D35+D49</f>
        <v>9169.2514555</v>
      </c>
      <c r="E51" s="203">
        <f t="shared" si="4"/>
        <v>1082.0619999999997</v>
      </c>
      <c r="F51" s="59">
        <f t="shared" si="4"/>
        <v>0</v>
      </c>
      <c r="G51" s="58">
        <f t="shared" si="4"/>
        <v>1714.69</v>
      </c>
      <c r="H51" s="204">
        <f t="shared" si="4"/>
        <v>10883.9414555</v>
      </c>
      <c r="I51" s="203">
        <f t="shared" si="4"/>
        <v>1200.1200000000003</v>
      </c>
      <c r="J51" s="56">
        <f t="shared" si="4"/>
        <v>1990.6312858800004</v>
      </c>
      <c r="K51" s="56">
        <f t="shared" si="4"/>
        <v>6591.2575675339995</v>
      </c>
      <c r="L51" s="56">
        <f t="shared" si="4"/>
        <v>5195.435</v>
      </c>
      <c r="M51" s="56">
        <f t="shared" si="4"/>
        <v>0</v>
      </c>
      <c r="N51" s="205">
        <f t="shared" si="4"/>
        <v>14977.443853413999</v>
      </c>
      <c r="O51" s="60">
        <f t="shared" si="4"/>
        <v>-4093.5023979139996</v>
      </c>
      <c r="P51" s="206">
        <f t="shared" si="4"/>
        <v>632.6280000000002</v>
      </c>
      <c r="Q51" s="61"/>
      <c r="R51" s="50"/>
    </row>
    <row r="54" spans="1:11" ht="12.75">
      <c r="A54" s="23" t="s">
        <v>80</v>
      </c>
      <c r="B54" s="223"/>
      <c r="C54" s="223"/>
      <c r="D54" s="223" t="s">
        <v>81</v>
      </c>
      <c r="E54" s="223"/>
      <c r="F54" s="223"/>
      <c r="G54" s="223"/>
      <c r="H54" s="223"/>
      <c r="I54" s="223"/>
      <c r="J54" s="223"/>
      <c r="K54" s="223"/>
    </row>
    <row r="55" spans="1:11" ht="12.75">
      <c r="A55" s="224" t="s">
        <v>82</v>
      </c>
      <c r="B55" s="224" t="s">
        <v>83</v>
      </c>
      <c r="C55" s="316" t="s">
        <v>84</v>
      </c>
      <c r="D55" s="316"/>
      <c r="E55" s="223"/>
      <c r="F55" s="223"/>
      <c r="G55" s="223"/>
      <c r="H55" s="223"/>
      <c r="I55" s="223"/>
      <c r="J55" s="223"/>
      <c r="K55" s="223"/>
    </row>
    <row r="56" spans="1:11" ht="12.75">
      <c r="A56" s="225">
        <v>0</v>
      </c>
      <c r="B56" s="226">
        <v>4620</v>
      </c>
      <c r="C56" s="317">
        <f>A56-B56</f>
        <v>-4620</v>
      </c>
      <c r="D56" s="318"/>
      <c r="E56" s="223"/>
      <c r="F56" s="223"/>
      <c r="G56" s="223"/>
      <c r="H56" s="223"/>
      <c r="I56" s="223"/>
      <c r="J56" s="223"/>
      <c r="K56" s="223"/>
    </row>
    <row r="57" spans="1:11" ht="12.75">
      <c r="A57" s="227"/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1:11" ht="12.75">
      <c r="A58" s="227"/>
      <c r="B58" s="223"/>
      <c r="C58" s="223"/>
      <c r="D58" s="223"/>
      <c r="E58" s="223"/>
      <c r="F58" s="223"/>
      <c r="G58" s="223"/>
      <c r="H58" s="223"/>
      <c r="I58" s="223"/>
      <c r="J58" s="223"/>
      <c r="K58" s="223"/>
    </row>
    <row r="59" spans="1:11" ht="12.75">
      <c r="A59" s="223" t="s">
        <v>85</v>
      </c>
      <c r="B59" s="223"/>
      <c r="C59" s="223"/>
      <c r="D59" s="223"/>
      <c r="E59" s="223"/>
      <c r="F59" s="223"/>
      <c r="G59" s="223" t="s">
        <v>86</v>
      </c>
      <c r="H59" s="223"/>
      <c r="I59" s="223"/>
      <c r="J59" s="223"/>
      <c r="K59" s="223"/>
    </row>
    <row r="60" spans="1:11" ht="12.75">
      <c r="A60" s="228"/>
      <c r="B60" s="223"/>
      <c r="C60" s="223"/>
      <c r="D60" s="223"/>
      <c r="E60" s="223"/>
      <c r="F60" s="223"/>
      <c r="G60" s="223"/>
      <c r="H60" s="223"/>
      <c r="I60" s="223"/>
      <c r="J60" s="223"/>
      <c r="K60" s="223"/>
    </row>
  </sheetData>
  <sheetProtection/>
  <mergeCells count="20">
    <mergeCell ref="M12:M13"/>
    <mergeCell ref="N12:N13"/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I10:N11"/>
    <mergeCell ref="O10:O13"/>
    <mergeCell ref="E12:F12"/>
    <mergeCell ref="H12:H13"/>
    <mergeCell ref="I12:I13"/>
    <mergeCell ref="J12:J13"/>
    <mergeCell ref="K12:K13"/>
    <mergeCell ref="L12:L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1" sqref="B21:Z21"/>
    </sheetView>
  </sheetViews>
  <sheetFormatPr defaultColWidth="9.00390625" defaultRowHeight="12.75"/>
  <cols>
    <col min="1" max="1" width="8.75390625" style="223" bestFit="1" customWidth="1"/>
    <col min="2" max="2" width="9.125" style="223" customWidth="1"/>
    <col min="3" max="3" width="10.125" style="223" customWidth="1"/>
    <col min="4" max="4" width="10.375" style="223" customWidth="1"/>
    <col min="5" max="5" width="11.125" style="223" customWidth="1"/>
    <col min="6" max="6" width="10.875" style="223" customWidth="1"/>
    <col min="7" max="8" width="12.125" style="223" customWidth="1"/>
    <col min="9" max="9" width="12.00390625" style="223" customWidth="1"/>
    <col min="10" max="10" width="11.125" style="223" customWidth="1"/>
    <col min="11" max="11" width="11.00390625" style="223" customWidth="1"/>
    <col min="12" max="12" width="12.375" style="223" customWidth="1"/>
    <col min="13" max="13" width="10.125" style="223" bestFit="1" customWidth="1"/>
    <col min="14" max="14" width="15.625" style="223" customWidth="1"/>
    <col min="15" max="15" width="16.375" style="223" customWidth="1"/>
    <col min="16" max="16" width="14.625" style="223" customWidth="1"/>
    <col min="17" max="17" width="11.625" style="223" customWidth="1"/>
    <col min="18" max="18" width="11.25390625" style="223" customWidth="1"/>
    <col min="19" max="19" width="10.625" style="223" customWidth="1"/>
    <col min="20" max="20" width="9.25390625" style="223" customWidth="1"/>
    <col min="21" max="21" width="10.125" style="223" bestFit="1" customWidth="1"/>
    <col min="22" max="22" width="10.125" style="223" customWidth="1"/>
    <col min="23" max="23" width="12.625" style="223" customWidth="1"/>
    <col min="24" max="24" width="9.25390625" style="223" bestFit="1" customWidth="1"/>
    <col min="25" max="25" width="11.625" style="223" customWidth="1"/>
    <col min="26" max="26" width="9.25390625" style="223" customWidth="1"/>
    <col min="27" max="27" width="10.625" style="223" customWidth="1"/>
    <col min="28" max="28" width="10.75390625" style="223" customWidth="1"/>
    <col min="29" max="29" width="12.125" style="223" customWidth="1"/>
    <col min="30" max="30" width="11.75390625" style="223" customWidth="1"/>
    <col min="31" max="32" width="10.375" style="223" customWidth="1"/>
    <col min="33" max="33" width="10.75390625" style="223" customWidth="1"/>
    <col min="34" max="34" width="9.125" style="223" customWidth="1"/>
    <col min="35" max="35" width="10.125" style="223" bestFit="1" customWidth="1"/>
    <col min="36" max="36" width="9.125" style="223" customWidth="1"/>
    <col min="37" max="37" width="9.75390625" style="223" bestFit="1" customWidth="1"/>
    <col min="38" max="16384" width="9.125" style="223" customWidth="1"/>
  </cols>
  <sheetData>
    <row r="1" spans="1:16" ht="21" customHeight="1">
      <c r="A1" s="283" t="s">
        <v>105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28"/>
    </row>
    <row r="2" spans="1:16" ht="15" customHeight="1">
      <c r="A2" s="228"/>
      <c r="B2" s="336"/>
      <c r="C2" s="337"/>
      <c r="D2" s="337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ht="13.5" thickBot="1"/>
    <row r="4" spans="1:29" ht="31.5" customHeight="1" thickBot="1">
      <c r="A4" s="324" t="s">
        <v>88</v>
      </c>
      <c r="B4" s="285" t="s">
        <v>0</v>
      </c>
      <c r="C4" s="287" t="s">
        <v>1</v>
      </c>
      <c r="D4" s="338" t="s">
        <v>2</v>
      </c>
      <c r="E4" s="254" t="s">
        <v>89</v>
      </c>
      <c r="F4" s="238"/>
      <c r="G4" s="239"/>
      <c r="H4" s="239" t="s">
        <v>90</v>
      </c>
      <c r="I4" s="339" t="s">
        <v>3</v>
      </c>
      <c r="J4" s="340" t="s">
        <v>4</v>
      </c>
      <c r="K4" s="341"/>
      <c r="L4" s="342"/>
      <c r="M4" s="343" t="s">
        <v>21</v>
      </c>
      <c r="N4" s="263" t="s">
        <v>91</v>
      </c>
      <c r="O4" s="235" t="s">
        <v>67</v>
      </c>
      <c r="P4" s="245" t="s">
        <v>6</v>
      </c>
      <c r="Q4" s="246"/>
      <c r="R4" s="246"/>
      <c r="S4" s="246"/>
      <c r="T4" s="246"/>
      <c r="U4" s="246"/>
      <c r="V4" s="246"/>
      <c r="W4" s="246"/>
      <c r="X4" s="246"/>
      <c r="Y4" s="247"/>
      <c r="Z4" s="251" t="s">
        <v>68</v>
      </c>
      <c r="AA4" s="252"/>
      <c r="AB4" s="229" t="s">
        <v>7</v>
      </c>
      <c r="AC4" s="229" t="s">
        <v>8</v>
      </c>
    </row>
    <row r="5" spans="1:29" ht="20.25" customHeight="1" thickBot="1">
      <c r="A5" s="325"/>
      <c r="B5" s="286"/>
      <c r="C5" s="288"/>
      <c r="D5" s="344"/>
      <c r="E5" s="258"/>
      <c r="F5" s="266"/>
      <c r="G5" s="259"/>
      <c r="H5" s="241"/>
      <c r="I5" s="345"/>
      <c r="J5" s="346"/>
      <c r="K5" s="347"/>
      <c r="L5" s="348"/>
      <c r="M5" s="349"/>
      <c r="N5" s="264"/>
      <c r="O5" s="236"/>
      <c r="P5" s="248"/>
      <c r="Q5" s="249"/>
      <c r="R5" s="249"/>
      <c r="S5" s="249"/>
      <c r="T5" s="249"/>
      <c r="U5" s="249"/>
      <c r="V5" s="249"/>
      <c r="W5" s="249"/>
      <c r="X5" s="249"/>
      <c r="Y5" s="250"/>
      <c r="Z5" s="232" t="s">
        <v>69</v>
      </c>
      <c r="AA5" s="235" t="s">
        <v>70</v>
      </c>
      <c r="AB5" s="230"/>
      <c r="AC5" s="230"/>
    </row>
    <row r="6" spans="1:29" ht="27" customHeight="1">
      <c r="A6" s="325"/>
      <c r="B6" s="286"/>
      <c r="C6" s="288"/>
      <c r="D6" s="344"/>
      <c r="E6" s="254" t="s">
        <v>92</v>
      </c>
      <c r="F6" s="339" t="s">
        <v>11</v>
      </c>
      <c r="G6" s="339" t="s">
        <v>13</v>
      </c>
      <c r="H6" s="241"/>
      <c r="I6" s="345"/>
      <c r="J6" s="284" t="s">
        <v>92</v>
      </c>
      <c r="K6" s="345" t="s">
        <v>11</v>
      </c>
      <c r="L6" s="240" t="s">
        <v>13</v>
      </c>
      <c r="M6" s="349"/>
      <c r="N6" s="264"/>
      <c r="O6" s="236"/>
      <c r="P6" s="350" t="s">
        <v>22</v>
      </c>
      <c r="Q6" s="351" t="s">
        <v>23</v>
      </c>
      <c r="R6" s="351" t="s">
        <v>92</v>
      </c>
      <c r="S6" s="352"/>
      <c r="T6" s="352"/>
      <c r="U6" s="353" t="s">
        <v>93</v>
      </c>
      <c r="V6" s="354" t="s">
        <v>94</v>
      </c>
      <c r="W6" s="355" t="s">
        <v>95</v>
      </c>
      <c r="X6" s="356" t="s">
        <v>30</v>
      </c>
      <c r="Y6" s="356" t="s">
        <v>25</v>
      </c>
      <c r="Z6" s="233"/>
      <c r="AA6" s="236"/>
      <c r="AB6" s="230"/>
      <c r="AC6" s="230"/>
    </row>
    <row r="7" spans="1:29" ht="26.25" customHeight="1" thickBot="1">
      <c r="A7" s="326"/>
      <c r="B7" s="286"/>
      <c r="C7" s="288"/>
      <c r="D7" s="344"/>
      <c r="E7" s="357"/>
      <c r="F7" s="345"/>
      <c r="G7" s="358"/>
      <c r="H7" s="359"/>
      <c r="I7" s="345"/>
      <c r="J7" s="357"/>
      <c r="K7" s="345"/>
      <c r="L7" s="240"/>
      <c r="M7" s="349"/>
      <c r="N7" s="264"/>
      <c r="O7" s="236"/>
      <c r="P7" s="360"/>
      <c r="Q7" s="361"/>
      <c r="R7" s="361"/>
      <c r="S7" s="362"/>
      <c r="T7" s="362"/>
      <c r="U7" s="363"/>
      <c r="V7" s="364"/>
      <c r="W7" s="365"/>
      <c r="X7" s="366"/>
      <c r="Y7" s="366"/>
      <c r="Z7" s="233"/>
      <c r="AA7" s="236"/>
      <c r="AB7" s="230"/>
      <c r="AC7" s="230"/>
    </row>
    <row r="8" spans="1:51" s="23" customFormat="1" ht="13.5" thickBot="1">
      <c r="A8" s="367" t="s">
        <v>46</v>
      </c>
      <c r="B8" s="26"/>
      <c r="C8" s="26">
        <f>Лист1!C44</f>
        <v>16590.699999999997</v>
      </c>
      <c r="D8" s="26">
        <f>Лист1!D44</f>
        <v>9169.2514555</v>
      </c>
      <c r="E8" s="158">
        <f>Лист1!E44+Лист1!G44+Лист1!K44</f>
        <v>575.592</v>
      </c>
      <c r="F8" s="158">
        <f>Лист1!I44</f>
        <v>406.51000000000005</v>
      </c>
      <c r="G8" s="368">
        <f>Лист1!M44</f>
        <v>99.96</v>
      </c>
      <c r="H8" s="158">
        <f>Лист1!P44</f>
        <v>0</v>
      </c>
      <c r="I8" s="158">
        <f>Лист1!O44</f>
        <v>1082.0619999999997</v>
      </c>
      <c r="J8" s="158">
        <f>Лист1!Q44+Лист1!R44+Лист1!T44</f>
        <v>911.95</v>
      </c>
      <c r="K8" s="158">
        <f>Лист1!S44</f>
        <v>644.22</v>
      </c>
      <c r="L8" s="158">
        <f>Лист1!U44</f>
        <v>158.52</v>
      </c>
      <c r="M8" s="158">
        <f>Лист1!V44</f>
        <v>1714.69</v>
      </c>
      <c r="N8" s="158">
        <f>Лист1!W44</f>
        <v>10883.9414555</v>
      </c>
      <c r="O8" s="158">
        <f>'[1]Лист1'!X44</f>
        <v>0</v>
      </c>
      <c r="P8" s="158">
        <f>Лист1!Y44</f>
        <v>1200.1200000000003</v>
      </c>
      <c r="Q8" s="158">
        <f>Лист1!Z44</f>
        <v>403.904084</v>
      </c>
      <c r="R8" s="369">
        <f>Лист1!AA44+Лист1!AB44+Лист1!AC44+Лист1!AD44+Лист1!AE44+Лист1!AF44+Лист1!AG44+Лист1!AH44+Лист1!AI44+Лист1!AJ44</f>
        <v>8177.984769414001</v>
      </c>
      <c r="U8" s="369">
        <f>Лист1!AK44+Лист1!AM44</f>
        <v>4684.075</v>
      </c>
      <c r="V8" s="369">
        <f>Лист1!AL44</f>
        <v>511.36</v>
      </c>
      <c r="W8" s="369">
        <v>0</v>
      </c>
      <c r="X8" s="369">
        <v>0</v>
      </c>
      <c r="Y8" s="369">
        <f>0</f>
        <v>0</v>
      </c>
      <c r="Z8" s="369">
        <f>'[2]Лист1'!$BC$39</f>
        <v>0</v>
      </c>
      <c r="AA8" s="26">
        <f>Лист1!AU44</f>
        <v>14977.443853413999</v>
      </c>
      <c r="AB8" s="26">
        <f>Лист1!AV44</f>
        <v>-4093.5023979139996</v>
      </c>
      <c r="AC8" s="26">
        <f>Лист1!AW44</f>
        <v>632.6280000000002</v>
      </c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50"/>
    </row>
    <row r="9" spans="1:37" ht="12.75">
      <c r="A9" s="370" t="s">
        <v>96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8"/>
      <c r="AE9" s="228"/>
      <c r="AF9" s="228"/>
      <c r="AG9" s="228"/>
      <c r="AH9" s="228"/>
      <c r="AI9" s="228"/>
      <c r="AJ9" s="228"/>
      <c r="AK9" s="228"/>
    </row>
    <row r="10" spans="1:43" ht="12.75">
      <c r="A10" s="224" t="s">
        <v>37</v>
      </c>
      <c r="B10" s="84">
        <v>137</v>
      </c>
      <c r="C10" s="104">
        <v>0</v>
      </c>
      <c r="D10" s="105">
        <v>0</v>
      </c>
      <c r="E10" s="371">
        <v>0</v>
      </c>
      <c r="F10" s="371">
        <v>0</v>
      </c>
      <c r="G10" s="371">
        <v>0</v>
      </c>
      <c r="H10" s="459">
        <f>E10+F10+G10</f>
        <v>0</v>
      </c>
      <c r="I10" s="107">
        <v>0</v>
      </c>
      <c r="J10" s="107">
        <v>0</v>
      </c>
      <c r="K10" s="372">
        <v>0</v>
      </c>
      <c r="L10" s="84">
        <f>SUM(I10:K10)</f>
        <v>0</v>
      </c>
      <c r="M10" s="373">
        <f aca="true" t="shared" si="0" ref="M10:M21">L10+D10</f>
        <v>0</v>
      </c>
      <c r="N10" s="373"/>
      <c r="O10" s="374">
        <v>0</v>
      </c>
      <c r="P10" s="374">
        <v>0</v>
      </c>
      <c r="Q10" s="374">
        <v>0</v>
      </c>
      <c r="R10" s="374"/>
      <c r="S10" s="374"/>
      <c r="T10" s="375"/>
      <c r="U10" s="375"/>
      <c r="V10" s="375"/>
      <c r="W10" s="376"/>
      <c r="X10" s="376">
        <f aca="true" t="shared" si="1" ref="X10:X21">W10*0.18</f>
        <v>0</v>
      </c>
      <c r="Y10" s="376">
        <f>SUM(O10:X10)</f>
        <v>0</v>
      </c>
      <c r="Z10" s="377"/>
      <c r="AA10" s="377">
        <f>SUM(P10:Z10)</f>
        <v>0</v>
      </c>
      <c r="AB10" s="374">
        <f>N10-AA10</f>
        <v>0</v>
      </c>
      <c r="AC10" s="377">
        <f>M10-I10</f>
        <v>0</v>
      </c>
      <c r="AD10" s="374"/>
      <c r="AE10" s="374"/>
      <c r="AF10" s="374"/>
      <c r="AG10" s="336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</row>
    <row r="11" spans="1:44" ht="12.75">
      <c r="A11" s="224" t="s">
        <v>38</v>
      </c>
      <c r="B11" s="378">
        <v>137</v>
      </c>
      <c r="C11" s="104">
        <v>0</v>
      </c>
      <c r="D11" s="105">
        <v>0</v>
      </c>
      <c r="E11" s="387">
        <v>0</v>
      </c>
      <c r="F11" s="379">
        <v>0</v>
      </c>
      <c r="G11" s="460">
        <v>0</v>
      </c>
      <c r="H11" s="461">
        <f>E11+F11+G11</f>
        <v>0</v>
      </c>
      <c r="I11" s="106">
        <v>0</v>
      </c>
      <c r="J11" s="379">
        <v>0</v>
      </c>
      <c r="K11" s="380">
        <v>0</v>
      </c>
      <c r="L11" s="381">
        <f>SUM(I11:K11)</f>
        <v>0</v>
      </c>
      <c r="M11" s="373">
        <f t="shared" si="0"/>
        <v>0</v>
      </c>
      <c r="N11" s="373"/>
      <c r="O11" s="374">
        <v>0</v>
      </c>
      <c r="P11" s="374">
        <v>0</v>
      </c>
      <c r="Q11" s="374">
        <v>0</v>
      </c>
      <c r="R11" s="382"/>
      <c r="S11" s="382"/>
      <c r="T11" s="375"/>
      <c r="U11" s="375"/>
      <c r="V11" s="375"/>
      <c r="W11" s="376"/>
      <c r="X11" s="376">
        <f t="shared" si="1"/>
        <v>0</v>
      </c>
      <c r="Y11" s="376">
        <f>SUM(O11:X11)</f>
        <v>0</v>
      </c>
      <c r="Z11" s="377"/>
      <c r="AA11" s="377">
        <f aca="true" t="shared" si="2" ref="AA11:AA21">SUM(P11:Z11)</f>
        <v>0</v>
      </c>
      <c r="AB11" s="374">
        <f aca="true" t="shared" si="3" ref="AB11:AB21">N11-AA11</f>
        <v>0</v>
      </c>
      <c r="AC11" s="377">
        <f aca="true" t="shared" si="4" ref="AC11:AC21">M11-I11</f>
        <v>0</v>
      </c>
      <c r="AD11" s="374"/>
      <c r="AE11" s="336"/>
      <c r="AF11" s="336"/>
      <c r="AG11" s="336"/>
      <c r="AH11" s="336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</row>
    <row r="12" spans="1:34" ht="12.75">
      <c r="A12" s="224" t="s">
        <v>39</v>
      </c>
      <c r="B12" s="383">
        <v>137</v>
      </c>
      <c r="C12" s="104">
        <v>0</v>
      </c>
      <c r="D12" s="105">
        <v>0</v>
      </c>
      <c r="E12" s="387">
        <v>0</v>
      </c>
      <c r="F12" s="371">
        <v>0</v>
      </c>
      <c r="G12" s="371">
        <v>0</v>
      </c>
      <c r="H12" s="384">
        <f>E12+F12+G12</f>
        <v>0</v>
      </c>
      <c r="I12" s="385">
        <v>0</v>
      </c>
      <c r="J12" s="385">
        <v>0</v>
      </c>
      <c r="K12" s="385">
        <v>0</v>
      </c>
      <c r="L12" s="84">
        <f>SUM(I12:K12)</f>
        <v>0</v>
      </c>
      <c r="M12" s="373">
        <f t="shared" si="0"/>
        <v>0</v>
      </c>
      <c r="N12" s="373"/>
      <c r="O12" s="374">
        <v>0</v>
      </c>
      <c r="P12" s="374">
        <v>0</v>
      </c>
      <c r="Q12" s="374">
        <v>0</v>
      </c>
      <c r="R12" s="382"/>
      <c r="S12" s="382"/>
      <c r="T12" s="375"/>
      <c r="U12" s="375"/>
      <c r="V12" s="375"/>
      <c r="W12" s="376"/>
      <c r="X12" s="376">
        <f t="shared" si="1"/>
        <v>0</v>
      </c>
      <c r="Y12" s="376">
        <f>SUM(O12:X12)</f>
        <v>0</v>
      </c>
      <c r="Z12" s="377"/>
      <c r="AA12" s="377">
        <f t="shared" si="2"/>
        <v>0</v>
      </c>
      <c r="AB12" s="374">
        <f t="shared" si="3"/>
        <v>0</v>
      </c>
      <c r="AC12" s="377">
        <f t="shared" si="4"/>
        <v>0</v>
      </c>
      <c r="AD12" s="374"/>
      <c r="AE12" s="228"/>
      <c r="AF12" s="228"/>
      <c r="AG12" s="228"/>
      <c r="AH12" s="228"/>
    </row>
    <row r="13" spans="1:42" ht="12.75">
      <c r="A13" s="386" t="s">
        <v>40</v>
      </c>
      <c r="B13" s="84">
        <v>137</v>
      </c>
      <c r="C13" s="104">
        <v>0</v>
      </c>
      <c r="D13" s="462">
        <v>0</v>
      </c>
      <c r="E13" s="387">
        <v>0</v>
      </c>
      <c r="F13" s="371">
        <v>0</v>
      </c>
      <c r="G13" s="371">
        <v>0</v>
      </c>
      <c r="H13" s="463">
        <f>E13+F13+G13</f>
        <v>0</v>
      </c>
      <c r="I13" s="107">
        <v>0</v>
      </c>
      <c r="J13" s="107">
        <v>0</v>
      </c>
      <c r="K13" s="372">
        <v>0</v>
      </c>
      <c r="L13" s="388">
        <f>SUM(I13:K13)</f>
        <v>0</v>
      </c>
      <c r="M13" s="389">
        <f t="shared" si="0"/>
        <v>0</v>
      </c>
      <c r="N13" s="389"/>
      <c r="O13" s="390">
        <v>0</v>
      </c>
      <c r="P13" s="390">
        <v>0</v>
      </c>
      <c r="Q13" s="390">
        <v>0</v>
      </c>
      <c r="R13" s="390"/>
      <c r="S13" s="390"/>
      <c r="T13" s="391"/>
      <c r="U13" s="391"/>
      <c r="V13" s="391"/>
      <c r="W13" s="392"/>
      <c r="X13" s="392">
        <f t="shared" si="1"/>
        <v>0</v>
      </c>
      <c r="Y13" s="392">
        <f aca="true" t="shared" si="5" ref="Y13:Y18">SUM(O13:X13)</f>
        <v>0</v>
      </c>
      <c r="Z13" s="393"/>
      <c r="AA13" s="377">
        <f t="shared" si="2"/>
        <v>0</v>
      </c>
      <c r="AB13" s="374">
        <f t="shared" si="3"/>
        <v>0</v>
      </c>
      <c r="AC13" s="377">
        <f t="shared" si="4"/>
        <v>0</v>
      </c>
      <c r="AD13" s="374"/>
      <c r="AE13" s="336"/>
      <c r="AF13" s="336"/>
      <c r="AG13" s="336"/>
      <c r="AH13" s="336"/>
      <c r="AI13" s="228"/>
      <c r="AJ13" s="228"/>
      <c r="AK13" s="228"/>
      <c r="AL13" s="228"/>
      <c r="AM13" s="228"/>
      <c r="AN13" s="228"/>
      <c r="AO13" s="228"/>
      <c r="AP13" s="228"/>
    </row>
    <row r="14" spans="1:42" ht="12.75">
      <c r="A14" s="386" t="s">
        <v>41</v>
      </c>
      <c r="B14" s="84">
        <v>137</v>
      </c>
      <c r="C14" s="104">
        <v>0</v>
      </c>
      <c r="D14" s="462">
        <v>0</v>
      </c>
      <c r="E14" s="371">
        <v>0</v>
      </c>
      <c r="F14" s="371">
        <v>0</v>
      </c>
      <c r="G14" s="394">
        <v>0</v>
      </c>
      <c r="H14" s="464">
        <f>SUM(E14:G14)</f>
        <v>0</v>
      </c>
      <c r="I14" s="107">
        <v>0</v>
      </c>
      <c r="J14" s="107">
        <v>0</v>
      </c>
      <c r="K14" s="372">
        <v>0</v>
      </c>
      <c r="L14" s="465">
        <f>SUM(I14:K14)</f>
        <v>0</v>
      </c>
      <c r="M14" s="395">
        <f t="shared" si="0"/>
        <v>0</v>
      </c>
      <c r="N14" s="389"/>
      <c r="O14" s="390">
        <v>0</v>
      </c>
      <c r="P14" s="390">
        <v>0</v>
      </c>
      <c r="Q14" s="390">
        <v>0</v>
      </c>
      <c r="R14" s="390"/>
      <c r="S14" s="390"/>
      <c r="T14" s="391"/>
      <c r="U14" s="391"/>
      <c r="V14" s="391"/>
      <c r="W14" s="392"/>
      <c r="X14" s="392">
        <f t="shared" si="1"/>
        <v>0</v>
      </c>
      <c r="Y14" s="392">
        <f t="shared" si="5"/>
        <v>0</v>
      </c>
      <c r="Z14" s="393"/>
      <c r="AA14" s="377">
        <f t="shared" si="2"/>
        <v>0</v>
      </c>
      <c r="AB14" s="374">
        <f t="shared" si="3"/>
        <v>0</v>
      </c>
      <c r="AC14" s="377">
        <f t="shared" si="4"/>
        <v>0</v>
      </c>
      <c r="AD14" s="374"/>
      <c r="AE14" s="336"/>
      <c r="AF14" s="336"/>
      <c r="AG14" s="336"/>
      <c r="AH14" s="336"/>
      <c r="AI14" s="228"/>
      <c r="AJ14" s="228"/>
      <c r="AK14" s="228"/>
      <c r="AL14" s="228"/>
      <c r="AM14" s="228"/>
      <c r="AN14" s="228"/>
      <c r="AO14" s="228"/>
      <c r="AP14" s="228"/>
    </row>
    <row r="15" spans="1:42" ht="12.75">
      <c r="A15" s="386" t="s">
        <v>42</v>
      </c>
      <c r="B15" s="408">
        <v>137</v>
      </c>
      <c r="C15" s="104">
        <v>0</v>
      </c>
      <c r="D15" s="396">
        <v>0</v>
      </c>
      <c r="E15" s="371">
        <v>0</v>
      </c>
      <c r="F15" s="371">
        <v>0</v>
      </c>
      <c r="G15" s="394">
        <v>0</v>
      </c>
      <c r="H15" s="397">
        <f aca="true" t="shared" si="6" ref="H15:H21">SUM(E15:G15)</f>
        <v>0</v>
      </c>
      <c r="I15" s="398">
        <v>0</v>
      </c>
      <c r="J15" s="398">
        <v>0</v>
      </c>
      <c r="K15" s="399">
        <v>0</v>
      </c>
      <c r="L15" s="466">
        <v>0</v>
      </c>
      <c r="M15" s="389">
        <f t="shared" si="0"/>
        <v>0</v>
      </c>
      <c r="N15" s="389"/>
      <c r="O15" s="390">
        <v>0</v>
      </c>
      <c r="P15" s="390">
        <v>0</v>
      </c>
      <c r="Q15" s="390">
        <v>0</v>
      </c>
      <c r="R15" s="390"/>
      <c r="S15" s="390"/>
      <c r="T15" s="391"/>
      <c r="U15" s="391"/>
      <c r="V15" s="391"/>
      <c r="W15" s="390"/>
      <c r="X15" s="392">
        <f t="shared" si="1"/>
        <v>0</v>
      </c>
      <c r="Y15" s="400">
        <f t="shared" si="5"/>
        <v>0</v>
      </c>
      <c r="Z15" s="393"/>
      <c r="AA15" s="377">
        <f t="shared" si="2"/>
        <v>0</v>
      </c>
      <c r="AB15" s="374">
        <f t="shared" si="3"/>
        <v>0</v>
      </c>
      <c r="AC15" s="377">
        <f t="shared" si="4"/>
        <v>0</v>
      </c>
      <c r="AD15" s="374"/>
      <c r="AE15" s="336"/>
      <c r="AF15" s="336"/>
      <c r="AG15" s="336"/>
      <c r="AH15" s="336"/>
      <c r="AI15" s="228"/>
      <c r="AJ15" s="228"/>
      <c r="AK15" s="228"/>
      <c r="AL15" s="228"/>
      <c r="AM15" s="228"/>
      <c r="AN15" s="228"/>
      <c r="AO15" s="228"/>
      <c r="AP15" s="228"/>
    </row>
    <row r="16" spans="1:38" ht="12.75">
      <c r="A16" s="386" t="s">
        <v>43</v>
      </c>
      <c r="B16" s="84">
        <v>137</v>
      </c>
      <c r="C16" s="104">
        <v>0</v>
      </c>
      <c r="D16" s="396">
        <v>0</v>
      </c>
      <c r="E16" s="401">
        <v>0</v>
      </c>
      <c r="F16" s="401">
        <v>0</v>
      </c>
      <c r="G16" s="402">
        <v>0</v>
      </c>
      <c r="H16" s="397">
        <f t="shared" si="6"/>
        <v>0</v>
      </c>
      <c r="I16" s="107">
        <v>0</v>
      </c>
      <c r="J16" s="107">
        <v>0</v>
      </c>
      <c r="K16" s="107">
        <v>0</v>
      </c>
      <c r="L16" s="403">
        <f>SUM(I16:K16)</f>
        <v>0</v>
      </c>
      <c r="M16" s="404">
        <f t="shared" si="0"/>
        <v>0</v>
      </c>
      <c r="N16" s="389"/>
      <c r="O16" s="390">
        <v>0</v>
      </c>
      <c r="P16" s="390">
        <v>0</v>
      </c>
      <c r="Q16" s="390">
        <v>0</v>
      </c>
      <c r="R16" s="390"/>
      <c r="S16" s="390"/>
      <c r="T16" s="391"/>
      <c r="U16" s="391"/>
      <c r="V16" s="391"/>
      <c r="W16" s="392"/>
      <c r="X16" s="392">
        <f t="shared" si="1"/>
        <v>0</v>
      </c>
      <c r="Y16" s="392">
        <f t="shared" si="5"/>
        <v>0</v>
      </c>
      <c r="Z16" s="393"/>
      <c r="AA16" s="377">
        <f t="shared" si="2"/>
        <v>0</v>
      </c>
      <c r="AB16" s="374">
        <f t="shared" si="3"/>
        <v>0</v>
      </c>
      <c r="AC16" s="377">
        <f t="shared" si="4"/>
        <v>0</v>
      </c>
      <c r="AD16" s="405"/>
      <c r="AE16" s="228"/>
      <c r="AF16" s="228"/>
      <c r="AG16" s="228"/>
      <c r="AH16" s="228"/>
      <c r="AI16" s="228"/>
      <c r="AJ16" s="228"/>
      <c r="AK16" s="228"/>
      <c r="AL16" s="228"/>
    </row>
    <row r="17" spans="1:37" ht="12.75">
      <c r="A17" s="386" t="s">
        <v>44</v>
      </c>
      <c r="B17" s="84">
        <v>137</v>
      </c>
      <c r="C17" s="104">
        <v>0</v>
      </c>
      <c r="D17" s="396">
        <v>0</v>
      </c>
      <c r="E17" s="371">
        <v>0</v>
      </c>
      <c r="F17" s="371">
        <v>0</v>
      </c>
      <c r="G17" s="371">
        <v>0</v>
      </c>
      <c r="H17" s="397">
        <f t="shared" si="6"/>
        <v>0</v>
      </c>
      <c r="I17" s="107">
        <v>0</v>
      </c>
      <c r="J17" s="107">
        <v>0</v>
      </c>
      <c r="K17" s="107">
        <v>0</v>
      </c>
      <c r="L17" s="403">
        <f>SUM(I17:K17)</f>
        <v>0</v>
      </c>
      <c r="M17" s="404">
        <f t="shared" si="0"/>
        <v>0</v>
      </c>
      <c r="N17" s="389"/>
      <c r="O17" s="390">
        <v>0</v>
      </c>
      <c r="P17" s="390">
        <v>0</v>
      </c>
      <c r="Q17" s="390">
        <v>0</v>
      </c>
      <c r="R17" s="390"/>
      <c r="S17" s="390"/>
      <c r="T17" s="391"/>
      <c r="U17" s="391"/>
      <c r="V17" s="391"/>
      <c r="W17" s="392"/>
      <c r="X17" s="392">
        <f t="shared" si="1"/>
        <v>0</v>
      </c>
      <c r="Y17" s="392">
        <f t="shared" si="5"/>
        <v>0</v>
      </c>
      <c r="Z17" s="393"/>
      <c r="AA17" s="377">
        <f t="shared" si="2"/>
        <v>0</v>
      </c>
      <c r="AB17" s="374">
        <f t="shared" si="3"/>
        <v>0</v>
      </c>
      <c r="AC17" s="377">
        <f t="shared" si="4"/>
        <v>0</v>
      </c>
      <c r="AD17" s="228"/>
      <c r="AE17" s="228"/>
      <c r="AF17" s="228"/>
      <c r="AG17" s="228"/>
      <c r="AH17" s="228"/>
      <c r="AI17" s="228"/>
      <c r="AJ17" s="228"/>
      <c r="AK17" s="228"/>
    </row>
    <row r="18" spans="1:37" ht="12.75">
      <c r="A18" s="386" t="s">
        <v>45</v>
      </c>
      <c r="B18" s="84">
        <v>137</v>
      </c>
      <c r="C18" s="104">
        <v>0</v>
      </c>
      <c r="D18" s="396">
        <v>0</v>
      </c>
      <c r="E18" s="371">
        <v>0</v>
      </c>
      <c r="F18" s="371">
        <v>0</v>
      </c>
      <c r="G18" s="371">
        <v>0</v>
      </c>
      <c r="H18" s="397">
        <f t="shared" si="6"/>
        <v>0</v>
      </c>
      <c r="I18" s="107">
        <v>0</v>
      </c>
      <c r="J18" s="107">
        <v>0</v>
      </c>
      <c r="K18" s="107">
        <v>0</v>
      </c>
      <c r="L18" s="406">
        <f>SUM(I18:K18)</f>
        <v>0</v>
      </c>
      <c r="M18" s="404">
        <f t="shared" si="0"/>
        <v>0</v>
      </c>
      <c r="N18" s="389"/>
      <c r="O18" s="390">
        <v>0</v>
      </c>
      <c r="P18" s="390">
        <v>0</v>
      </c>
      <c r="Q18" s="390">
        <v>0</v>
      </c>
      <c r="R18" s="390"/>
      <c r="S18" s="390"/>
      <c r="T18" s="391"/>
      <c r="U18" s="391"/>
      <c r="V18" s="391"/>
      <c r="W18" s="392"/>
      <c r="X18" s="392">
        <f t="shared" si="1"/>
        <v>0</v>
      </c>
      <c r="Y18" s="392">
        <f t="shared" si="5"/>
        <v>0</v>
      </c>
      <c r="Z18" s="393"/>
      <c r="AA18" s="377">
        <f t="shared" si="2"/>
        <v>0</v>
      </c>
      <c r="AB18" s="374">
        <f t="shared" si="3"/>
        <v>0</v>
      </c>
      <c r="AC18" s="377">
        <f t="shared" si="4"/>
        <v>0</v>
      </c>
      <c r="AD18" s="228"/>
      <c r="AE18" s="228"/>
      <c r="AF18" s="228"/>
      <c r="AG18" s="228"/>
      <c r="AH18" s="228"/>
      <c r="AI18" s="228"/>
      <c r="AJ18" s="228"/>
      <c r="AK18" s="228"/>
    </row>
    <row r="19" spans="1:37" ht="12.75">
      <c r="A19" s="386" t="s">
        <v>33</v>
      </c>
      <c r="B19" s="84">
        <v>137</v>
      </c>
      <c r="C19" s="104">
        <v>0</v>
      </c>
      <c r="D19" s="396">
        <v>0</v>
      </c>
      <c r="E19" s="371">
        <v>0</v>
      </c>
      <c r="F19" s="371">
        <v>0</v>
      </c>
      <c r="G19" s="460">
        <v>0</v>
      </c>
      <c r="H19" s="397">
        <f t="shared" si="6"/>
        <v>0</v>
      </c>
      <c r="I19" s="385">
        <v>0</v>
      </c>
      <c r="J19" s="385">
        <v>0</v>
      </c>
      <c r="K19" s="383">
        <v>0</v>
      </c>
      <c r="L19" s="406">
        <f>SUM(I19:K19)</f>
        <v>0</v>
      </c>
      <c r="M19" s="404">
        <f t="shared" si="0"/>
        <v>0</v>
      </c>
      <c r="N19" s="389"/>
      <c r="O19" s="390">
        <v>0</v>
      </c>
      <c r="P19" s="390">
        <v>0</v>
      </c>
      <c r="Q19" s="390">
        <v>0</v>
      </c>
      <c r="R19" s="390"/>
      <c r="S19" s="390"/>
      <c r="T19" s="391"/>
      <c r="U19" s="391"/>
      <c r="V19" s="391"/>
      <c r="W19" s="392"/>
      <c r="X19" s="392">
        <f t="shared" si="1"/>
        <v>0</v>
      </c>
      <c r="Y19" s="392">
        <f>SUM(O19:X19)</f>
        <v>0</v>
      </c>
      <c r="Z19" s="393"/>
      <c r="AA19" s="377">
        <f t="shared" si="2"/>
        <v>0</v>
      </c>
      <c r="AB19" s="374">
        <f t="shared" si="3"/>
        <v>0</v>
      </c>
      <c r="AC19" s="377">
        <f t="shared" si="4"/>
        <v>0</v>
      </c>
      <c r="AD19" s="228"/>
      <c r="AE19" s="228"/>
      <c r="AF19" s="228"/>
      <c r="AG19" s="228"/>
      <c r="AH19" s="228"/>
      <c r="AI19" s="228"/>
      <c r="AJ19" s="228"/>
      <c r="AK19" s="228"/>
    </row>
    <row r="20" spans="1:37" ht="12.75">
      <c r="A20" s="224" t="s">
        <v>34</v>
      </c>
      <c r="B20" s="84">
        <v>137</v>
      </c>
      <c r="C20" s="104">
        <v>0</v>
      </c>
      <c r="D20" s="396">
        <v>0</v>
      </c>
      <c r="E20" s="371">
        <v>0</v>
      </c>
      <c r="F20" s="371">
        <v>0</v>
      </c>
      <c r="G20" s="371">
        <v>0</v>
      </c>
      <c r="H20" s="397">
        <f t="shared" si="6"/>
        <v>0</v>
      </c>
      <c r="I20" s="385">
        <v>0</v>
      </c>
      <c r="J20" s="385">
        <v>0</v>
      </c>
      <c r="K20" s="385">
        <v>0</v>
      </c>
      <c r="L20" s="406">
        <f>SUM(I20:K20)</f>
        <v>0</v>
      </c>
      <c r="M20" s="404">
        <f t="shared" si="0"/>
        <v>0</v>
      </c>
      <c r="N20" s="389"/>
      <c r="O20" s="390">
        <v>0</v>
      </c>
      <c r="P20" s="390">
        <v>0</v>
      </c>
      <c r="Q20" s="390">
        <v>0</v>
      </c>
      <c r="R20" s="390"/>
      <c r="S20" s="390"/>
      <c r="T20" s="391"/>
      <c r="U20" s="391"/>
      <c r="V20" s="391"/>
      <c r="W20" s="392"/>
      <c r="X20" s="392">
        <f t="shared" si="1"/>
        <v>0</v>
      </c>
      <c r="Y20" s="392">
        <f>SUM(O20:X20)</f>
        <v>0</v>
      </c>
      <c r="Z20" s="393"/>
      <c r="AA20" s="377">
        <f t="shared" si="2"/>
        <v>0</v>
      </c>
      <c r="AB20" s="374">
        <f t="shared" si="3"/>
        <v>0</v>
      </c>
      <c r="AC20" s="377">
        <f t="shared" si="4"/>
        <v>0</v>
      </c>
      <c r="AD20" s="228"/>
      <c r="AE20" s="228"/>
      <c r="AF20" s="228"/>
      <c r="AG20" s="228"/>
      <c r="AH20" s="228"/>
      <c r="AI20" s="228"/>
      <c r="AJ20" s="228"/>
      <c r="AK20" s="228"/>
    </row>
    <row r="21" spans="1:37" ht="13.5" thickBot="1">
      <c r="A21" s="407" t="s">
        <v>35</v>
      </c>
      <c r="B21" s="84">
        <v>137</v>
      </c>
      <c r="C21" s="104">
        <v>0</v>
      </c>
      <c r="D21" s="396">
        <v>0</v>
      </c>
      <c r="E21" s="401">
        <v>0</v>
      </c>
      <c r="F21" s="401">
        <v>0</v>
      </c>
      <c r="G21" s="401">
        <v>0</v>
      </c>
      <c r="H21" s="397">
        <f t="shared" si="6"/>
        <v>0</v>
      </c>
      <c r="I21" s="398">
        <v>0</v>
      </c>
      <c r="J21" s="398">
        <v>0</v>
      </c>
      <c r="K21" s="408">
        <v>0</v>
      </c>
      <c r="L21" s="406">
        <f>SUM(I21:K21)</f>
        <v>0</v>
      </c>
      <c r="M21" s="404">
        <f t="shared" si="0"/>
        <v>0</v>
      </c>
      <c r="N21" s="389"/>
      <c r="O21" s="390">
        <v>0</v>
      </c>
      <c r="P21" s="390">
        <v>0</v>
      </c>
      <c r="Q21" s="390">
        <v>0</v>
      </c>
      <c r="R21" s="409"/>
      <c r="S21" s="409"/>
      <c r="T21" s="391"/>
      <c r="U21" s="391"/>
      <c r="V21" s="410"/>
      <c r="W21" s="392"/>
      <c r="X21" s="392">
        <f t="shared" si="1"/>
        <v>0</v>
      </c>
      <c r="Y21" s="392">
        <f>SUM(O21:X21)</f>
        <v>0</v>
      </c>
      <c r="Z21" s="393"/>
      <c r="AA21" s="377">
        <f t="shared" si="2"/>
        <v>0</v>
      </c>
      <c r="AB21" s="374">
        <f t="shared" si="3"/>
        <v>0</v>
      </c>
      <c r="AC21" s="377">
        <f t="shared" si="4"/>
        <v>0</v>
      </c>
      <c r="AD21" s="228"/>
      <c r="AE21" s="228"/>
      <c r="AF21" s="228"/>
      <c r="AG21" s="228"/>
      <c r="AH21" s="228"/>
      <c r="AI21" s="228"/>
      <c r="AJ21" s="228"/>
      <c r="AK21" s="228"/>
    </row>
    <row r="22" spans="1:37" s="23" customFormat="1" ht="13.5" thickBot="1">
      <c r="A22" s="411" t="s">
        <v>3</v>
      </c>
      <c r="B22" s="412"/>
      <c r="C22" s="412"/>
      <c r="D22" s="413">
        <f aca="true" t="shared" si="7" ref="D22:AB22">SUM(D10:D21)</f>
        <v>0</v>
      </c>
      <c r="E22" s="413">
        <f t="shared" si="7"/>
        <v>0</v>
      </c>
      <c r="F22" s="413">
        <f t="shared" si="7"/>
        <v>0</v>
      </c>
      <c r="G22" s="413">
        <f t="shared" si="7"/>
        <v>0</v>
      </c>
      <c r="H22" s="413">
        <f t="shared" si="7"/>
        <v>0</v>
      </c>
      <c r="I22" s="413">
        <f t="shared" si="7"/>
        <v>0</v>
      </c>
      <c r="J22" s="413">
        <f t="shared" si="7"/>
        <v>0</v>
      </c>
      <c r="K22" s="413">
        <f t="shared" si="7"/>
        <v>0</v>
      </c>
      <c r="L22" s="413">
        <f t="shared" si="7"/>
        <v>0</v>
      </c>
      <c r="M22" s="413">
        <f t="shared" si="7"/>
        <v>0</v>
      </c>
      <c r="N22" s="413">
        <f t="shared" si="7"/>
        <v>0</v>
      </c>
      <c r="O22" s="413">
        <f t="shared" si="7"/>
        <v>0</v>
      </c>
      <c r="P22" s="413">
        <f t="shared" si="7"/>
        <v>0</v>
      </c>
      <c r="Q22" s="413">
        <f t="shared" si="7"/>
        <v>0</v>
      </c>
      <c r="R22" s="413">
        <f t="shared" si="7"/>
        <v>0</v>
      </c>
      <c r="S22" s="413">
        <f t="shared" si="7"/>
        <v>0</v>
      </c>
      <c r="T22" s="413">
        <f t="shared" si="7"/>
        <v>0</v>
      </c>
      <c r="U22" s="413">
        <f t="shared" si="7"/>
        <v>0</v>
      </c>
      <c r="V22" s="413">
        <f t="shared" si="7"/>
        <v>0</v>
      </c>
      <c r="W22" s="413">
        <f t="shared" si="7"/>
        <v>0</v>
      </c>
      <c r="X22" s="413">
        <f t="shared" si="7"/>
        <v>0</v>
      </c>
      <c r="Y22" s="413">
        <f t="shared" si="7"/>
        <v>0</v>
      </c>
      <c r="Z22" s="413">
        <f t="shared" si="7"/>
        <v>0</v>
      </c>
      <c r="AA22" s="413">
        <f t="shared" si="7"/>
        <v>0</v>
      </c>
      <c r="AB22" s="413">
        <f t="shared" si="7"/>
        <v>0</v>
      </c>
      <c r="AC22" s="413">
        <f>SUM(AC10:AC21)</f>
        <v>0</v>
      </c>
      <c r="AD22" s="50"/>
      <c r="AE22" s="50"/>
      <c r="AF22" s="50"/>
      <c r="AG22" s="50"/>
      <c r="AH22" s="50"/>
      <c r="AI22" s="50"/>
      <c r="AJ22" s="50"/>
      <c r="AK22" s="50"/>
    </row>
    <row r="23" spans="1:37" ht="13.5" thickBot="1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228"/>
      <c r="AE23" s="228"/>
      <c r="AF23" s="228"/>
      <c r="AG23" s="228"/>
      <c r="AH23" s="228"/>
      <c r="AI23" s="228"/>
      <c r="AJ23" s="228"/>
      <c r="AK23" s="228"/>
    </row>
    <row r="24" spans="1:29" s="23" customFormat="1" ht="13.5" thickBot="1">
      <c r="A24" s="411" t="s">
        <v>97</v>
      </c>
      <c r="B24" s="412"/>
      <c r="C24" s="412"/>
      <c r="D24" s="413">
        <v>9330.22</v>
      </c>
      <c r="E24" s="413">
        <v>263129.61</v>
      </c>
      <c r="F24" s="413">
        <v>181875.86</v>
      </c>
      <c r="G24" s="413">
        <v>45624.38</v>
      </c>
      <c r="H24" s="413">
        <v>71944.81</v>
      </c>
      <c r="I24" s="413">
        <v>490629.85</v>
      </c>
      <c r="J24" s="413">
        <v>216840.97</v>
      </c>
      <c r="K24" s="413">
        <v>151570.93</v>
      </c>
      <c r="L24" s="413">
        <v>38052.74</v>
      </c>
      <c r="M24" s="413">
        <v>406464.64</v>
      </c>
      <c r="N24" s="413">
        <v>534624.38</v>
      </c>
      <c r="O24" s="412">
        <v>0</v>
      </c>
      <c r="P24" s="415">
        <f aca="true" t="shared" si="8" ref="P24:AB24">P8+P22</f>
        <v>1200.1200000000003</v>
      </c>
      <c r="Q24" s="415">
        <f t="shared" si="8"/>
        <v>403.904084</v>
      </c>
      <c r="R24" s="415">
        <f t="shared" si="8"/>
        <v>8177.984769414001</v>
      </c>
      <c r="S24" s="415">
        <f>U8+S22</f>
        <v>4684.075</v>
      </c>
      <c r="T24" s="415">
        <f>V8+T22</f>
        <v>511.36</v>
      </c>
      <c r="U24" s="415" t="e">
        <f>#REF!+U22</f>
        <v>#REF!</v>
      </c>
      <c r="V24" s="415" t="e">
        <f>#REF!+V22</f>
        <v>#REF!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14977.443853413999</v>
      </c>
      <c r="AB24" s="415">
        <f t="shared" si="8"/>
        <v>-4093.5023979139996</v>
      </c>
      <c r="AC24" s="415">
        <f>AC8+AC22</f>
        <v>632.6280000000002</v>
      </c>
    </row>
    <row r="25" spans="1:29" ht="12.7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10.00390625" style="223" customWidth="1"/>
    <col min="2" max="2" width="9.125" style="223" customWidth="1"/>
    <col min="3" max="3" width="9.875" style="223" customWidth="1"/>
    <col min="4" max="4" width="9.625" style="223" customWidth="1"/>
    <col min="5" max="5" width="10.125" style="223" bestFit="1" customWidth="1"/>
    <col min="6" max="6" width="9.875" style="223" customWidth="1"/>
    <col min="7" max="7" width="11.00390625" style="223" customWidth="1"/>
    <col min="8" max="8" width="10.125" style="223" customWidth="1"/>
    <col min="9" max="9" width="9.25390625" style="223" customWidth="1"/>
    <col min="10" max="10" width="9.875" style="223" customWidth="1"/>
    <col min="11" max="11" width="10.875" style="223" customWidth="1"/>
    <col min="12" max="12" width="10.125" style="223" customWidth="1"/>
    <col min="13" max="13" width="10.375" style="223" customWidth="1"/>
    <col min="14" max="14" width="10.75390625" style="223" customWidth="1"/>
    <col min="15" max="15" width="13.00390625" style="223" customWidth="1"/>
    <col min="16" max="16384" width="9.125" style="223" customWidth="1"/>
  </cols>
  <sheetData>
    <row r="1" spans="2:8" ht="20.25" customHeight="1">
      <c r="B1" s="416" t="s">
        <v>47</v>
      </c>
      <c r="C1" s="416"/>
      <c r="D1" s="416"/>
      <c r="E1" s="416"/>
      <c r="F1" s="416"/>
      <c r="G1" s="416"/>
      <c r="H1" s="416"/>
    </row>
    <row r="2" spans="2:8" ht="21" customHeight="1">
      <c r="B2" s="416" t="s">
        <v>48</v>
      </c>
      <c r="C2" s="416"/>
      <c r="D2" s="416"/>
      <c r="E2" s="416"/>
      <c r="F2" s="416"/>
      <c r="G2" s="416"/>
      <c r="H2" s="416"/>
    </row>
    <row r="5" spans="1:14" ht="12.75">
      <c r="A5" s="323" t="s">
        <v>106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4" ht="12.75">
      <c r="A6" s="417" t="s">
        <v>98</v>
      </c>
      <c r="B6" s="417"/>
      <c r="C6" s="417"/>
      <c r="D6" s="417"/>
      <c r="E6" s="417"/>
      <c r="F6" s="417"/>
      <c r="G6" s="417"/>
      <c r="H6" s="75"/>
      <c r="I6" s="75"/>
      <c r="J6" s="75"/>
      <c r="K6" s="75"/>
      <c r="L6" s="75"/>
      <c r="M6" s="75"/>
      <c r="N6" s="75"/>
    </row>
    <row r="7" spans="1:14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18" t="s">
        <v>49</v>
      </c>
      <c r="B8" s="418"/>
      <c r="C8" s="418"/>
      <c r="D8" s="418"/>
      <c r="E8" s="418">
        <v>0</v>
      </c>
      <c r="F8" s="418"/>
    </row>
    <row r="9" spans="1:15" ht="12.75" customHeight="1">
      <c r="A9" s="324" t="s">
        <v>50</v>
      </c>
      <c r="B9" s="327" t="s">
        <v>0</v>
      </c>
      <c r="C9" s="419" t="s">
        <v>107</v>
      </c>
      <c r="D9" s="420" t="s">
        <v>2</v>
      </c>
      <c r="E9" s="421" t="s">
        <v>52</v>
      </c>
      <c r="F9" s="239"/>
      <c r="G9" s="319" t="s">
        <v>99</v>
      </c>
      <c r="H9" s="320"/>
      <c r="I9" s="422" t="s">
        <v>6</v>
      </c>
      <c r="J9" s="300"/>
      <c r="K9" s="300"/>
      <c r="L9" s="300"/>
      <c r="M9" s="423"/>
      <c r="N9" s="305" t="s">
        <v>53</v>
      </c>
      <c r="O9" s="305" t="s">
        <v>8</v>
      </c>
    </row>
    <row r="10" spans="1:15" ht="12.75">
      <c r="A10" s="325"/>
      <c r="B10" s="328"/>
      <c r="C10" s="424"/>
      <c r="D10" s="425"/>
      <c r="E10" s="426"/>
      <c r="F10" s="359"/>
      <c r="G10" s="321"/>
      <c r="H10" s="322"/>
      <c r="I10" s="427"/>
      <c r="J10" s="303"/>
      <c r="K10" s="303"/>
      <c r="L10" s="303"/>
      <c r="M10" s="428"/>
      <c r="N10" s="306"/>
      <c r="O10" s="306"/>
    </row>
    <row r="11" spans="1:15" ht="26.25" customHeight="1">
      <c r="A11" s="325"/>
      <c r="B11" s="328"/>
      <c r="C11" s="424"/>
      <c r="D11" s="425"/>
      <c r="E11" s="429" t="s">
        <v>54</v>
      </c>
      <c r="F11" s="241"/>
      <c r="G11" s="172" t="s">
        <v>55</v>
      </c>
      <c r="H11" s="430" t="s">
        <v>5</v>
      </c>
      <c r="I11" s="431" t="s">
        <v>56</v>
      </c>
      <c r="J11" s="312" t="s">
        <v>100</v>
      </c>
      <c r="K11" s="312" t="s">
        <v>57</v>
      </c>
      <c r="L11" s="312" t="s">
        <v>29</v>
      </c>
      <c r="M11" s="430" t="s">
        <v>31</v>
      </c>
      <c r="N11" s="306"/>
      <c r="O11" s="306"/>
    </row>
    <row r="12" spans="1:15" ht="66.75" customHeight="1" thickBot="1">
      <c r="A12" s="326"/>
      <c r="B12" s="329"/>
      <c r="C12" s="432"/>
      <c r="D12" s="433"/>
      <c r="E12" s="434" t="s">
        <v>59</v>
      </c>
      <c r="F12" s="435" t="s">
        <v>15</v>
      </c>
      <c r="G12" s="77" t="s">
        <v>101</v>
      </c>
      <c r="H12" s="436"/>
      <c r="I12" s="437"/>
      <c r="J12" s="313"/>
      <c r="K12" s="313"/>
      <c r="L12" s="313"/>
      <c r="M12" s="436"/>
      <c r="N12" s="307"/>
      <c r="O12" s="307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s="23" customFormat="1" ht="13.5" thickBot="1">
      <c r="A14" s="55" t="s">
        <v>46</v>
      </c>
      <c r="B14" s="56"/>
      <c r="C14" s="57">
        <f>'2011'!C8</f>
        <v>16590.699999999997</v>
      </c>
      <c r="D14" s="57">
        <f>'2011'!D8</f>
        <v>9169.2514555</v>
      </c>
      <c r="E14" s="56">
        <f>'2011'!I8</f>
        <v>1082.0619999999997</v>
      </c>
      <c r="F14" s="56">
        <f>'2011'!H8</f>
        <v>0</v>
      </c>
      <c r="G14" s="58">
        <f>'2011'!M8</f>
        <v>1714.69</v>
      </c>
      <c r="H14" s="58">
        <f>'2011'!N8</f>
        <v>10883.9414555</v>
      </c>
      <c r="I14" s="58">
        <f>'2011'!P8</f>
        <v>1200.1200000000003</v>
      </c>
      <c r="J14" s="58">
        <f>'2011'!Q8</f>
        <v>403.904084</v>
      </c>
      <c r="K14" s="58">
        <f>'2011'!R8</f>
        <v>8177.984769414001</v>
      </c>
      <c r="L14" s="56">
        <f>'2011'!U8+'2011'!V8+'2011'!W8</f>
        <v>5195.4349999999995</v>
      </c>
      <c r="M14" s="59">
        <f>'2011'!AA8</f>
        <v>14977.443853413999</v>
      </c>
      <c r="N14" s="60">
        <f>'2011'!AB8</f>
        <v>-4093.5023979139996</v>
      </c>
      <c r="O14" s="60">
        <f>'2011'!AC8</f>
        <v>632.6280000000002</v>
      </c>
      <c r="P14" s="61"/>
      <c r="Q14" s="50"/>
    </row>
    <row r="15" spans="1:17" ht="12.75">
      <c r="A15" s="8" t="s">
        <v>96</v>
      </c>
      <c r="B15" s="438"/>
      <c r="C15" s="439"/>
      <c r="D15" s="440"/>
      <c r="E15" s="441"/>
      <c r="F15" s="442"/>
      <c r="G15" s="443"/>
      <c r="H15" s="442"/>
      <c r="I15" s="443"/>
      <c r="J15" s="444"/>
      <c r="K15" s="445"/>
      <c r="L15" s="446"/>
      <c r="M15" s="447"/>
      <c r="N15" s="448"/>
      <c r="O15" s="448"/>
      <c r="P15" s="228"/>
      <c r="Q15" s="228"/>
    </row>
    <row r="16" spans="1:17" ht="12.75">
      <c r="A16" s="449" t="s">
        <v>37</v>
      </c>
      <c r="B16" s="210">
        <f>'2011'!B10</f>
        <v>137</v>
      </c>
      <c r="C16" s="210">
        <f>'2011'!C10</f>
        <v>0</v>
      </c>
      <c r="D16" s="210">
        <f>'2011'!D10</f>
        <v>0</v>
      </c>
      <c r="E16" s="445">
        <f>'2011'!I10</f>
        <v>0</v>
      </c>
      <c r="F16" s="447">
        <f>'2011'!H10</f>
        <v>0</v>
      </c>
      <c r="G16" s="447">
        <f>'2011'!M10</f>
        <v>0</v>
      </c>
      <c r="H16" s="447">
        <f>'2011'!N10</f>
        <v>0</v>
      </c>
      <c r="I16" s="450">
        <f>'2011'!P10</f>
        <v>0</v>
      </c>
      <c r="J16" s="450">
        <f>'2011'!Q10</f>
        <v>0</v>
      </c>
      <c r="K16" s="445">
        <f>'2011'!R10</f>
        <v>0</v>
      </c>
      <c r="L16" s="446">
        <f>'2011'!U10</f>
        <v>0</v>
      </c>
      <c r="M16" s="447">
        <f>'2011'!AA10</f>
        <v>0</v>
      </c>
      <c r="N16" s="451">
        <f>0</f>
        <v>0</v>
      </c>
      <c r="O16" s="451">
        <v>0</v>
      </c>
      <c r="P16" s="228"/>
      <c r="Q16" s="228"/>
    </row>
    <row r="17" spans="1:17" ht="12.75">
      <c r="A17" s="449" t="s">
        <v>38</v>
      </c>
      <c r="B17" s="210">
        <f>'2011'!B11</f>
        <v>137</v>
      </c>
      <c r="C17" s="210">
        <f>'2011'!C11</f>
        <v>0</v>
      </c>
      <c r="D17" s="210">
        <f>'2011'!D11</f>
        <v>0</v>
      </c>
      <c r="E17" s="445">
        <f>'2011'!I11</f>
        <v>0</v>
      </c>
      <c r="F17" s="447">
        <f>'2011'!H11</f>
        <v>0</v>
      </c>
      <c r="G17" s="447">
        <f>'2011'!M11</f>
        <v>0</v>
      </c>
      <c r="H17" s="447">
        <f>'2011'!N11</f>
        <v>0</v>
      </c>
      <c r="I17" s="450">
        <f>'2011'!P11</f>
        <v>0</v>
      </c>
      <c r="J17" s="450">
        <f>'2011'!Q11</f>
        <v>0</v>
      </c>
      <c r="K17" s="445">
        <f>'2011'!R11</f>
        <v>0</v>
      </c>
      <c r="L17" s="446">
        <f>'2011'!U11</f>
        <v>0</v>
      </c>
      <c r="M17" s="447">
        <f>'2011'!AA11</f>
        <v>0</v>
      </c>
      <c r="N17" s="451">
        <f>0</f>
        <v>0</v>
      </c>
      <c r="O17" s="451">
        <v>1</v>
      </c>
      <c r="P17" s="228"/>
      <c r="Q17" s="228"/>
    </row>
    <row r="18" spans="1:17" ht="12.75">
      <c r="A18" s="449" t="s">
        <v>39</v>
      </c>
      <c r="B18" s="210">
        <f>'2011'!B12</f>
        <v>137</v>
      </c>
      <c r="C18" s="210">
        <f>'2011'!C12</f>
        <v>0</v>
      </c>
      <c r="D18" s="210">
        <f>'2011'!D12</f>
        <v>0</v>
      </c>
      <c r="E18" s="445">
        <f>'2011'!I12</f>
        <v>0</v>
      </c>
      <c r="F18" s="447">
        <f>'2011'!H12</f>
        <v>0</v>
      </c>
      <c r="G18" s="447">
        <f>'2011'!M12</f>
        <v>0</v>
      </c>
      <c r="H18" s="447">
        <f>'2011'!N12</f>
        <v>0</v>
      </c>
      <c r="I18" s="450">
        <f>'2011'!P12</f>
        <v>0</v>
      </c>
      <c r="J18" s="450">
        <f>'2011'!Q12</f>
        <v>0</v>
      </c>
      <c r="K18" s="445">
        <f>'2011'!R12</f>
        <v>0</v>
      </c>
      <c r="L18" s="446">
        <f>'2011'!U12</f>
        <v>0</v>
      </c>
      <c r="M18" s="447">
        <f>'2011'!AA12</f>
        <v>0</v>
      </c>
      <c r="N18" s="451">
        <f>0</f>
        <v>0</v>
      </c>
      <c r="O18" s="451">
        <v>2</v>
      </c>
      <c r="P18" s="228"/>
      <c r="Q18" s="228"/>
    </row>
    <row r="19" spans="1:17" ht="12.75">
      <c r="A19" s="449" t="s">
        <v>40</v>
      </c>
      <c r="B19" s="210">
        <f>'2011'!B13</f>
        <v>137</v>
      </c>
      <c r="C19" s="210">
        <f>'2011'!C13</f>
        <v>0</v>
      </c>
      <c r="D19" s="210">
        <f>'2011'!D13</f>
        <v>0</v>
      </c>
      <c r="E19" s="445">
        <f>'2011'!I13</f>
        <v>0</v>
      </c>
      <c r="F19" s="447">
        <f>'2011'!H13</f>
        <v>0</v>
      </c>
      <c r="G19" s="447">
        <f>'2011'!M13</f>
        <v>0</v>
      </c>
      <c r="H19" s="447">
        <f>'2011'!N13</f>
        <v>0</v>
      </c>
      <c r="I19" s="450">
        <f>'2011'!P13</f>
        <v>0</v>
      </c>
      <c r="J19" s="450">
        <f>'2011'!Q13</f>
        <v>0</v>
      </c>
      <c r="K19" s="445">
        <f>'2011'!R13</f>
        <v>0</v>
      </c>
      <c r="L19" s="446">
        <f>'2011'!U13</f>
        <v>0</v>
      </c>
      <c r="M19" s="447">
        <f>'2011'!AA13</f>
        <v>0</v>
      </c>
      <c r="N19" s="451">
        <f>0</f>
        <v>0</v>
      </c>
      <c r="O19" s="451">
        <v>3</v>
      </c>
      <c r="P19" s="228"/>
      <c r="Q19" s="228"/>
    </row>
    <row r="20" spans="1:17" ht="12.75">
      <c r="A20" s="449" t="s">
        <v>41</v>
      </c>
      <c r="B20" s="210">
        <f>'2011'!B14</f>
        <v>137</v>
      </c>
      <c r="C20" s="210">
        <f>'2011'!C14</f>
        <v>0</v>
      </c>
      <c r="D20" s="210">
        <f>'2011'!D14</f>
        <v>0</v>
      </c>
      <c r="E20" s="445">
        <f>'2011'!I14</f>
        <v>0</v>
      </c>
      <c r="F20" s="447">
        <f>'2011'!H14</f>
        <v>0</v>
      </c>
      <c r="G20" s="447">
        <f>'2011'!M14</f>
        <v>0</v>
      </c>
      <c r="H20" s="447">
        <f>'2011'!N14</f>
        <v>0</v>
      </c>
      <c r="I20" s="450">
        <f>'2011'!P14</f>
        <v>0</v>
      </c>
      <c r="J20" s="450">
        <f>'2011'!Q14</f>
        <v>0</v>
      </c>
      <c r="K20" s="445">
        <f>'2011'!R14</f>
        <v>0</v>
      </c>
      <c r="L20" s="446">
        <f>'2011'!U14</f>
        <v>0</v>
      </c>
      <c r="M20" s="447">
        <f>'2011'!AA14</f>
        <v>0</v>
      </c>
      <c r="N20" s="451">
        <f>0</f>
        <v>0</v>
      </c>
      <c r="O20" s="451">
        <v>4</v>
      </c>
      <c r="P20" s="228"/>
      <c r="Q20" s="228"/>
    </row>
    <row r="21" spans="1:17" ht="12.75">
      <c r="A21" s="449" t="s">
        <v>42</v>
      </c>
      <c r="B21" s="210">
        <f>'2011'!B15</f>
        <v>137</v>
      </c>
      <c r="C21" s="210">
        <f>'2011'!C15</f>
        <v>0</v>
      </c>
      <c r="D21" s="210">
        <f>'2011'!D15</f>
        <v>0</v>
      </c>
      <c r="E21" s="445">
        <f>'2011'!I15</f>
        <v>0</v>
      </c>
      <c r="F21" s="447">
        <f>'2011'!H15</f>
        <v>0</v>
      </c>
      <c r="G21" s="447">
        <f>'2011'!M15</f>
        <v>0</v>
      </c>
      <c r="H21" s="447">
        <f>'2011'!N15</f>
        <v>0</v>
      </c>
      <c r="I21" s="450">
        <f>'2011'!P15</f>
        <v>0</v>
      </c>
      <c r="J21" s="450">
        <f>'2011'!Q15</f>
        <v>0</v>
      </c>
      <c r="K21" s="445">
        <f>'2011'!R15</f>
        <v>0</v>
      </c>
      <c r="L21" s="446">
        <f>'2011'!U15</f>
        <v>0</v>
      </c>
      <c r="M21" s="447">
        <f>'2011'!AA15</f>
        <v>0</v>
      </c>
      <c r="N21" s="451">
        <f>0</f>
        <v>0</v>
      </c>
      <c r="O21" s="451">
        <v>5</v>
      </c>
      <c r="P21" s="228"/>
      <c r="Q21" s="228"/>
    </row>
    <row r="22" spans="1:17" ht="12.75">
      <c r="A22" s="449" t="s">
        <v>43</v>
      </c>
      <c r="B22" s="210">
        <f>'2011'!B16</f>
        <v>137</v>
      </c>
      <c r="C22" s="210">
        <f>'2011'!C16</f>
        <v>0</v>
      </c>
      <c r="D22" s="210">
        <f>'2011'!D16</f>
        <v>0</v>
      </c>
      <c r="E22" s="445">
        <f>'2011'!I16</f>
        <v>0</v>
      </c>
      <c r="F22" s="447">
        <f>'2011'!H16</f>
        <v>0</v>
      </c>
      <c r="G22" s="447">
        <f>'2011'!M16</f>
        <v>0</v>
      </c>
      <c r="H22" s="447">
        <f>'2011'!N16</f>
        <v>0</v>
      </c>
      <c r="I22" s="450">
        <f>'2011'!P16</f>
        <v>0</v>
      </c>
      <c r="J22" s="450">
        <f>'2011'!Q16</f>
        <v>0</v>
      </c>
      <c r="K22" s="445">
        <f>'2011'!R16</f>
        <v>0</v>
      </c>
      <c r="L22" s="446">
        <f>'2011'!U16</f>
        <v>0</v>
      </c>
      <c r="M22" s="447">
        <f>'2011'!AA16</f>
        <v>0</v>
      </c>
      <c r="N22" s="451">
        <f>0</f>
        <v>0</v>
      </c>
      <c r="O22" s="451">
        <v>6</v>
      </c>
      <c r="P22" s="228"/>
      <c r="Q22" s="228"/>
    </row>
    <row r="23" spans="1:17" ht="12.75">
      <c r="A23" s="449" t="s">
        <v>44</v>
      </c>
      <c r="B23" s="210">
        <f>'2011'!B17</f>
        <v>137</v>
      </c>
      <c r="C23" s="210">
        <f>'2011'!C17</f>
        <v>0</v>
      </c>
      <c r="D23" s="210">
        <f>'2011'!D17</f>
        <v>0</v>
      </c>
      <c r="E23" s="445">
        <f>'2011'!I17</f>
        <v>0</v>
      </c>
      <c r="F23" s="447">
        <f>'2011'!H17</f>
        <v>0</v>
      </c>
      <c r="G23" s="447">
        <f>'2011'!M17</f>
        <v>0</v>
      </c>
      <c r="H23" s="447">
        <f>'2011'!N17</f>
        <v>0</v>
      </c>
      <c r="I23" s="450">
        <f>'2011'!P17</f>
        <v>0</v>
      </c>
      <c r="J23" s="450">
        <f>'2011'!Q17</f>
        <v>0</v>
      </c>
      <c r="K23" s="445">
        <f>'2011'!R17</f>
        <v>0</v>
      </c>
      <c r="L23" s="446">
        <f>'2011'!U17</f>
        <v>0</v>
      </c>
      <c r="M23" s="447">
        <f>'2011'!AA17</f>
        <v>0</v>
      </c>
      <c r="N23" s="451">
        <f>0</f>
        <v>0</v>
      </c>
      <c r="O23" s="451">
        <v>7</v>
      </c>
      <c r="P23" s="228"/>
      <c r="Q23" s="228"/>
    </row>
    <row r="24" spans="1:17" ht="12.75">
      <c r="A24" s="449" t="s">
        <v>45</v>
      </c>
      <c r="B24" s="210">
        <f>'2011'!B18</f>
        <v>137</v>
      </c>
      <c r="C24" s="210">
        <f>'2011'!C18</f>
        <v>0</v>
      </c>
      <c r="D24" s="210">
        <f>'2011'!D18</f>
        <v>0</v>
      </c>
      <c r="E24" s="445">
        <f>'2011'!I18</f>
        <v>0</v>
      </c>
      <c r="F24" s="447">
        <f>'2011'!H18</f>
        <v>0</v>
      </c>
      <c r="G24" s="447">
        <f>'2011'!M18</f>
        <v>0</v>
      </c>
      <c r="H24" s="447">
        <f>'2011'!N18</f>
        <v>0</v>
      </c>
      <c r="I24" s="450">
        <f>'2011'!P18</f>
        <v>0</v>
      </c>
      <c r="J24" s="450">
        <f>'2011'!Q18</f>
        <v>0</v>
      </c>
      <c r="K24" s="445">
        <f>'2011'!R18</f>
        <v>0</v>
      </c>
      <c r="L24" s="446">
        <f>'2011'!U18</f>
        <v>0</v>
      </c>
      <c r="M24" s="447">
        <f>'2011'!AA18</f>
        <v>0</v>
      </c>
      <c r="N24" s="451">
        <f>0</f>
        <v>0</v>
      </c>
      <c r="O24" s="451">
        <v>8</v>
      </c>
      <c r="P24" s="228"/>
      <c r="Q24" s="228"/>
    </row>
    <row r="25" spans="1:17" ht="12.75">
      <c r="A25" s="449" t="s">
        <v>33</v>
      </c>
      <c r="B25" s="210">
        <f>'2011'!B19</f>
        <v>137</v>
      </c>
      <c r="C25" s="210">
        <f>'2011'!C19</f>
        <v>0</v>
      </c>
      <c r="D25" s="210">
        <f>'2011'!D19</f>
        <v>0</v>
      </c>
      <c r="E25" s="445">
        <f>'2011'!I19</f>
        <v>0</v>
      </c>
      <c r="F25" s="447">
        <f>'2011'!H19</f>
        <v>0</v>
      </c>
      <c r="G25" s="447">
        <f>'2011'!M19</f>
        <v>0</v>
      </c>
      <c r="H25" s="447">
        <f>'2011'!N19</f>
        <v>0</v>
      </c>
      <c r="I25" s="450">
        <f>'2011'!P19</f>
        <v>0</v>
      </c>
      <c r="J25" s="450">
        <f>'2011'!Q19</f>
        <v>0</v>
      </c>
      <c r="K25" s="445">
        <f>'2011'!R19</f>
        <v>0</v>
      </c>
      <c r="L25" s="446">
        <f>'2011'!U19</f>
        <v>0</v>
      </c>
      <c r="M25" s="447">
        <f>'2011'!AA19</f>
        <v>0</v>
      </c>
      <c r="N25" s="451">
        <f>0</f>
        <v>0</v>
      </c>
      <c r="O25" s="451">
        <v>9</v>
      </c>
      <c r="P25" s="228"/>
      <c r="Q25" s="228"/>
    </row>
    <row r="26" spans="1:17" ht="12.75">
      <c r="A26" s="449" t="s">
        <v>34</v>
      </c>
      <c r="B26" s="210">
        <f>'2011'!B20</f>
        <v>137</v>
      </c>
      <c r="C26" s="210">
        <f>'2011'!C20</f>
        <v>0</v>
      </c>
      <c r="D26" s="210">
        <f>'2011'!D20</f>
        <v>0</v>
      </c>
      <c r="E26" s="445">
        <f>'2011'!I20</f>
        <v>0</v>
      </c>
      <c r="F26" s="447">
        <f>'2011'!H20</f>
        <v>0</v>
      </c>
      <c r="G26" s="447">
        <f>'2011'!M20</f>
        <v>0</v>
      </c>
      <c r="H26" s="447">
        <f>'2011'!N20</f>
        <v>0</v>
      </c>
      <c r="I26" s="450">
        <f>'2011'!P20</f>
        <v>0</v>
      </c>
      <c r="J26" s="450">
        <f>'2011'!Q20</f>
        <v>0</v>
      </c>
      <c r="K26" s="445">
        <f>'2011'!R20</f>
        <v>0</v>
      </c>
      <c r="L26" s="446">
        <f>'2011'!U20</f>
        <v>0</v>
      </c>
      <c r="M26" s="447">
        <f>'2011'!AA20</f>
        <v>0</v>
      </c>
      <c r="N26" s="451">
        <f>0</f>
        <v>0</v>
      </c>
      <c r="O26" s="451">
        <v>10</v>
      </c>
      <c r="P26" s="228"/>
      <c r="Q26" s="228"/>
    </row>
    <row r="27" spans="1:17" ht="13.5" thickBot="1">
      <c r="A27" s="449" t="s">
        <v>35</v>
      </c>
      <c r="B27" s="210">
        <f>'2011'!B21</f>
        <v>137</v>
      </c>
      <c r="C27" s="210">
        <f>'2011'!C21</f>
        <v>0</v>
      </c>
      <c r="D27" s="210">
        <f>'2011'!D21</f>
        <v>0</v>
      </c>
      <c r="E27" s="445">
        <f>'2011'!I21</f>
        <v>0</v>
      </c>
      <c r="F27" s="447">
        <f>'2011'!H21</f>
        <v>0</v>
      </c>
      <c r="G27" s="447">
        <f>'2011'!M21</f>
        <v>0</v>
      </c>
      <c r="H27" s="447">
        <f>'2011'!N21</f>
        <v>0</v>
      </c>
      <c r="I27" s="450">
        <f>'2011'!P21</f>
        <v>0</v>
      </c>
      <c r="J27" s="450">
        <f>'2011'!Q21</f>
        <v>0</v>
      </c>
      <c r="K27" s="445">
        <f>'2011'!R21</f>
        <v>0</v>
      </c>
      <c r="L27" s="446">
        <f>'2011'!U21</f>
        <v>0</v>
      </c>
      <c r="M27" s="447">
        <f>'2011'!AA21</f>
        <v>0</v>
      </c>
      <c r="N27" s="451">
        <f>0</f>
        <v>0</v>
      </c>
      <c r="O27" s="451">
        <v>11</v>
      </c>
      <c r="P27" s="228"/>
      <c r="Q27" s="228"/>
    </row>
    <row r="28" spans="1:17" s="23" customFormat="1" ht="13.5" thickBot="1">
      <c r="A28" s="43" t="s">
        <v>3</v>
      </c>
      <c r="B28" s="44"/>
      <c r="C28" s="49">
        <f aca="true" t="shared" si="0" ref="C28:N28">SUM(C16:C27)</f>
        <v>0</v>
      </c>
      <c r="D28" s="49">
        <f t="shared" si="0"/>
        <v>0</v>
      </c>
      <c r="E28" s="49">
        <f t="shared" si="0"/>
        <v>0</v>
      </c>
      <c r="F28" s="49">
        <f t="shared" si="0"/>
        <v>0</v>
      </c>
      <c r="G28" s="49">
        <f t="shared" si="0"/>
        <v>0</v>
      </c>
      <c r="H28" s="49">
        <f t="shared" si="0"/>
        <v>0</v>
      </c>
      <c r="I28" s="49">
        <f>SUM(I16:I27)</f>
        <v>0</v>
      </c>
      <c r="J28" s="49">
        <f t="shared" si="0"/>
        <v>0</v>
      </c>
      <c r="K28" s="49">
        <f t="shared" si="0"/>
        <v>0</v>
      </c>
      <c r="L28" s="49">
        <f t="shared" si="0"/>
        <v>0</v>
      </c>
      <c r="M28" s="49">
        <f t="shared" si="0"/>
        <v>0</v>
      </c>
      <c r="N28" s="49">
        <f t="shared" si="0"/>
        <v>0</v>
      </c>
      <c r="O28" s="49">
        <f>SUM(O16:O27)</f>
        <v>66</v>
      </c>
      <c r="P28" s="50"/>
      <c r="Q28" s="50"/>
    </row>
    <row r="29" spans="1:17" ht="13.5" thickBot="1">
      <c r="A29" s="452" t="s">
        <v>60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4"/>
      <c r="P29" s="228"/>
      <c r="Q29" s="228"/>
    </row>
    <row r="30" spans="1:17" s="23" customFormat="1" ht="13.5" thickBot="1">
      <c r="A30" s="55" t="s">
        <v>46</v>
      </c>
      <c r="B30" s="56"/>
      <c r="C30" s="57">
        <f aca="true" t="shared" si="1" ref="C30:K30">C14+C28</f>
        <v>16590.699999999997</v>
      </c>
      <c r="D30" s="58">
        <f t="shared" si="1"/>
        <v>9169.2514555</v>
      </c>
      <c r="E30" s="56">
        <f t="shared" si="1"/>
        <v>1082.0619999999997</v>
      </c>
      <c r="F30" s="57">
        <f t="shared" si="1"/>
        <v>0</v>
      </c>
      <c r="G30" s="58">
        <f t="shared" si="1"/>
        <v>1714.69</v>
      </c>
      <c r="H30" s="57">
        <f t="shared" si="1"/>
        <v>10883.9414555</v>
      </c>
      <c r="I30" s="58">
        <f t="shared" si="1"/>
        <v>1200.1200000000003</v>
      </c>
      <c r="J30" s="58">
        <f t="shared" si="1"/>
        <v>403.904084</v>
      </c>
      <c r="K30" s="58">
        <f t="shared" si="1"/>
        <v>8177.984769414001</v>
      </c>
      <c r="L30" s="56">
        <f>L14+L28</f>
        <v>5195.4349999999995</v>
      </c>
      <c r="M30" s="59">
        <f>M14+M28</f>
        <v>14977.443853413999</v>
      </c>
      <c r="N30" s="60">
        <f>N14+N28</f>
        <v>-4093.5023979139996</v>
      </c>
      <c r="O30" s="60">
        <f>O14+O28</f>
        <v>698.6280000000002</v>
      </c>
      <c r="P30" s="61"/>
      <c r="Q30" s="50"/>
    </row>
    <row r="32" spans="1:17" ht="12.75">
      <c r="A32" s="23" t="s">
        <v>80</v>
      </c>
      <c r="D32" s="455" t="s">
        <v>102</v>
      </c>
      <c r="P32" s="228"/>
      <c r="Q32" s="228"/>
    </row>
    <row r="33" spans="1:17" ht="12.75">
      <c r="A33" s="224" t="s">
        <v>82</v>
      </c>
      <c r="B33" s="224" t="s">
        <v>83</v>
      </c>
      <c r="C33" s="316" t="s">
        <v>84</v>
      </c>
      <c r="D33" s="316"/>
      <c r="P33" s="228"/>
      <c r="Q33" s="228"/>
    </row>
    <row r="34" spans="1:17" ht="12.75">
      <c r="A34" s="456">
        <v>0</v>
      </c>
      <c r="B34" s="456">
        <v>4620</v>
      </c>
      <c r="C34" s="457">
        <f>A34-B34</f>
        <v>-4620</v>
      </c>
      <c r="D34" s="458"/>
      <c r="P34" s="228"/>
      <c r="Q34" s="228"/>
    </row>
    <row r="35" spans="1:17" ht="12.75">
      <c r="A35" s="227"/>
      <c r="P35" s="228"/>
      <c r="Q35" s="228"/>
    </row>
    <row r="36" spans="1:17" ht="12.75">
      <c r="A36" s="223" t="s">
        <v>85</v>
      </c>
      <c r="G36" s="223" t="s">
        <v>86</v>
      </c>
      <c r="P36" s="228"/>
      <c r="Q36" s="228"/>
    </row>
    <row r="37" ht="12.75">
      <c r="A37" s="228"/>
    </row>
    <row r="38" ht="12.75">
      <c r="A38" s="455" t="s">
        <v>103</v>
      </c>
    </row>
    <row r="39" ht="12.75">
      <c r="A39" s="223" t="s">
        <v>104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2012-05-30T03:19:55Z</dcterms:modified>
  <cp:category/>
  <cp:version/>
  <cp:contentType/>
  <cp:contentStatus/>
</cp:coreProperties>
</file>