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Лист2" sheetId="2" r:id="rId2"/>
    <sheet name="2011" sheetId="3" r:id="rId3"/>
    <sheet name="2011 печать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<sst xmlns="http://schemas.openxmlformats.org/spreadsheetml/2006/main" count="266" uniqueCount="109">
  <si>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</si>
  <si>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</si>
  <si>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</si>
  <si>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</si>
  <si>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</si>
  <si>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</si>
  <si>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</si>
  <si>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</si>
  <si>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</si>
  <si>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</si>
  <si>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</si>
  <si>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</si>
  <si>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</si>
  <si>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</si>
  <si>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</si>
  <si>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</si>
  <si>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</si>
  <si>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</si>
  <si>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</si>
  <si>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</si>
  <si>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</si>
  <si>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</si>
  <si>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</si>
  <si>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</si>
  <si>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</si>
  <si>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</si>
  <si>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</si>
  <si>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</si>
  <si>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</si>
  <si>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</si>
  <si>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</si>
  <si>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</si>
  <si>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</si>
  <si>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</si>
  <si>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</si>
  <si>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</si>
  <si>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</si>
  <si>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</si>
  <si>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</si>
  <si>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</si>
  <si>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</si>
  <si>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</si>
  <si>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</si>
  <si>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</si>
  <si>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</si>
  <si>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</si>
  <si>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</si>
  <si>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</si>
  <si>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</si>
  <si>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</si>
  <si>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</si>
  <si>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</si>
  <si>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</si>
  <si>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</si>
  <si>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</si>
  <si>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</si>
  <si>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</si>
  <si>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</si>
  <si>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</si>
  <si>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</si>
  <si>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</si>
  <si>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</si>
  <si>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</si>
  <si>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</si>
  <si>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</si>
  <si>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</si>
  <si>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</si>
  <si>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О.А. Хильчук</t>
  </si>
  <si>
    <t>тел. 3-48-80</t>
  </si>
  <si>
    <t xml:space="preserve">Собрано квартплаты </t>
  </si>
  <si>
    <t>содержанию и тек.рем.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</si>
  <si>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</si>
  <si>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</si>
  <si>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</si>
  <si>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</si>
  <si>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</si>
  <si>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</si>
  <si>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</si>
  <si>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</si>
  <si>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</si>
  <si>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</si>
  <si>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</si>
  <si>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</si>
  <si>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Доп. работы по содержанию ТУК</t>
  </si>
  <si>
    <t xml:space="preserve">Долг(-)/ переплата(+)  жителей </t>
  </si>
  <si>
    <t>Лицевой счет по адресу г. Таштагол, ул. Ленина, д. 32</t>
  </si>
  <si>
    <t>Выписка по лицевому счету по адресу г. Таштагол, ул. 28 Панфиловцев, д. 20</t>
  </si>
  <si>
    <t>2010 год</t>
  </si>
  <si>
    <t>*по состоянию на 01.01.2011 г.</t>
  </si>
  <si>
    <t>за период с октября 2008 г. по декабрь 2010 г.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</si>
  <si>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</si>
  <si>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</si>
  <si>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</si>
  <si>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</si>
  <si>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</si>
  <si>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"ФОРУМ"</t>
  </si>
  <si>
    <t>Тек. ремонт ООО "ТУК"</t>
  </si>
  <si>
    <t>Доп. работы по содержанию и текущ. Ремонту</t>
  </si>
  <si>
    <t>2011 год</t>
  </si>
  <si>
    <t>ВСЕГО</t>
  </si>
  <si>
    <t>на 01.01.2012 г.</t>
  </si>
  <si>
    <t>Тариф по содержанию и тек.ремонту 100 % (8,55руб.*площадь)</t>
  </si>
  <si>
    <t>Собрано квартплаты от населения</t>
  </si>
  <si>
    <t>Услуга начисления</t>
  </si>
  <si>
    <t>Собрано за содержание и тек.рем.</t>
  </si>
  <si>
    <t>*по состоянию на 01.01.2012 г.</t>
  </si>
  <si>
    <t>Исп. В.В. Колмогорова</t>
  </si>
  <si>
    <t>Лицевой счет по адресу г. Таштагол, ул. 28 Панфиловцев, д.20</t>
  </si>
  <si>
    <t>Выписка по лицевому счету по адресу г. Таштагол ул. 28 панфиловцев, д.20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</si>
</sst>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_(* #,##0.00_);_(* \(#,##0.00\);_(* &quot;-&quot;??_);_(@_)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33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33" xfId="0" applyNumberFormat="1" applyFont="1" applyFill="1" applyBorder="1" applyAlignment="1">
      <alignment wrapText="1"/>
    </xf>
    <xf numFmtId="4" fontId="0" fillId="0" borderId="3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7" fillId="0" borderId="22" xfId="34" applyNumberFormat="1" applyFont="1" applyFill="1" applyBorder="1" applyAlignment="1">
      <alignment horizontal="right" vertical="center" wrapText="1"/>
      <protection/>
    </xf>
    <xf numFmtId="4" fontId="7" fillId="0" borderId="23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2" fillId="0" borderId="11" xfId="54" applyNumberFormat="1" applyFont="1" applyFill="1" applyBorder="1" applyAlignment="1">
      <alignment horizontal="right"/>
      <protection/>
    </xf>
    <xf numFmtId="4" fontId="7" fillId="0" borderId="32" xfId="34" applyNumberFormat="1" applyFont="1" applyFill="1" applyBorder="1" applyAlignment="1">
      <alignment horizontal="right" vertical="center" wrapText="1"/>
      <protection/>
    </xf>
    <xf numFmtId="4" fontId="7" fillId="0" borderId="31" xfId="34" applyNumberFormat="1" applyFont="1" applyFill="1" applyBorder="1" applyAlignment="1">
      <alignment horizontal="right" vertical="center" wrapText="1"/>
      <protection/>
    </xf>
    <xf numFmtId="4" fontId="0" fillId="0" borderId="35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7" fillId="33" borderId="22" xfId="34" applyNumberFormat="1" applyFont="1" applyFill="1" applyBorder="1" applyAlignment="1">
      <alignment horizontal="right" vertical="center" wrapText="1"/>
      <protection/>
    </xf>
    <xf numFmtId="4" fontId="1" fillId="33" borderId="22" xfId="0" applyNumberFormat="1" applyFont="1" applyFill="1" applyBorder="1" applyAlignment="1">
      <alignment horizontal="right" wrapText="1"/>
    </xf>
    <xf numFmtId="4" fontId="1" fillId="33" borderId="23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22" xfId="0" applyNumberFormat="1" applyFont="1" applyFill="1" applyBorder="1" applyAlignment="1">
      <alignment horizontal="right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4" borderId="11" xfId="0" applyNumberFormat="1" applyFont="1" applyFill="1" applyBorder="1" applyAlignment="1">
      <alignment horizontal="right"/>
    </xf>
    <xf numFmtId="4" fontId="1" fillId="34" borderId="13" xfId="0" applyNumberFormat="1" applyFont="1" applyFill="1" applyBorder="1" applyAlignment="1">
      <alignment/>
    </xf>
    <xf numFmtId="4" fontId="1" fillId="33" borderId="35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4" fontId="0" fillId="0" borderId="38" xfId="0" applyNumberFormat="1" applyFont="1" applyFill="1" applyBorder="1" applyAlignment="1">
      <alignment horizontal="right"/>
    </xf>
    <xf numFmtId="4" fontId="7" fillId="0" borderId="36" xfId="34" applyNumberFormat="1" applyFont="1" applyFill="1" applyBorder="1" applyAlignment="1">
      <alignment horizontal="right" vertical="center" wrapText="1"/>
      <protection/>
    </xf>
    <xf numFmtId="4" fontId="0" fillId="0" borderId="37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 wrapText="1"/>
    </xf>
    <xf numFmtId="4" fontId="0" fillId="0" borderId="39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 horizontal="right"/>
    </xf>
    <xf numFmtId="4" fontId="7" fillId="0" borderId="25" xfId="34" applyNumberFormat="1" applyFont="1" applyFill="1" applyBorder="1" applyAlignment="1">
      <alignment horizontal="right" vertical="center" wrapText="1"/>
      <protection/>
    </xf>
    <xf numFmtId="0" fontId="1" fillId="0" borderId="25" xfId="0" applyFont="1" applyFill="1" applyBorder="1" applyAlignment="1">
      <alignment/>
    </xf>
    <xf numFmtId="0" fontId="1" fillId="0" borderId="40" xfId="0" applyFont="1" applyFill="1" applyBorder="1" applyAlignment="1">
      <alignment horizontal="center" textRotation="90"/>
    </xf>
    <xf numFmtId="4" fontId="0" fillId="0" borderId="40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1" fillId="33" borderId="38" xfId="0" applyNumberFormat="1" applyFont="1" applyFill="1" applyBorder="1" applyAlignment="1">
      <alignment horizontal="right"/>
    </xf>
    <xf numFmtId="4" fontId="1" fillId="33" borderId="39" xfId="0" applyNumberFormat="1" applyFont="1" applyFill="1" applyBorder="1" applyAlignment="1">
      <alignment horizontal="right"/>
    </xf>
    <xf numFmtId="4" fontId="7" fillId="33" borderId="23" xfId="34" applyNumberFormat="1" applyFont="1" applyFill="1" applyBorder="1" applyAlignment="1">
      <alignment horizontal="right" vertical="center" wrapText="1"/>
      <protection/>
    </xf>
    <xf numFmtId="4" fontId="1" fillId="33" borderId="37" xfId="0" applyNumberFormat="1" applyFont="1" applyFill="1" applyBorder="1" applyAlignment="1">
      <alignment horizontal="right"/>
    </xf>
    <xf numFmtId="0" fontId="1" fillId="33" borderId="36" xfId="0" applyFont="1" applyFill="1" applyBorder="1" applyAlignment="1">
      <alignment/>
    </xf>
    <xf numFmtId="4" fontId="2" fillId="0" borderId="26" xfId="34" applyNumberFormat="1" applyFont="1" applyFill="1" applyBorder="1" applyAlignment="1">
      <alignment horizontal="right" vertical="center" wrapText="1"/>
      <protection/>
    </xf>
    <xf numFmtId="4" fontId="2" fillId="0" borderId="15" xfId="34" applyNumberFormat="1" applyFont="1" applyFill="1" applyBorder="1" applyAlignment="1">
      <alignment horizontal="right" vertical="center" wrapText="1"/>
      <protection/>
    </xf>
    <xf numFmtId="4" fontId="2" fillId="0" borderId="41" xfId="34" applyNumberFormat="1" applyFont="1" applyFill="1" applyBorder="1" applyAlignment="1">
      <alignment horizontal="right" vertical="center" wrapText="1"/>
      <protection/>
    </xf>
    <xf numFmtId="4" fontId="2" fillId="0" borderId="14" xfId="34" applyNumberFormat="1" applyFont="1" applyFill="1" applyBorder="1" applyAlignment="1">
      <alignment horizontal="right" vertical="center" wrapText="1"/>
      <protection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/>
    </xf>
    <xf numFmtId="4" fontId="0" fillId="35" borderId="15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left"/>
    </xf>
    <xf numFmtId="4" fontId="0" fillId="34" borderId="35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4" fontId="0" fillId="36" borderId="11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center" vertical="center" wrapText="1"/>
    </xf>
    <xf numFmtId="4" fontId="0" fillId="37" borderId="11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wrapText="1"/>
    </xf>
    <xf numFmtId="0" fontId="1" fillId="0" borderId="43" xfId="0" applyFont="1" applyFill="1" applyBorder="1" applyAlignment="1">
      <alignment/>
    </xf>
    <xf numFmtId="4" fontId="0" fillId="36" borderId="13" xfId="0" applyNumberFormat="1" applyFont="1" applyFill="1" applyBorder="1" applyAlignment="1">
      <alignment horizontal="right"/>
    </xf>
    <xf numFmtId="4" fontId="0" fillId="36" borderId="13" xfId="0" applyNumberFormat="1" applyFont="1" applyFill="1" applyBorder="1" applyAlignment="1">
      <alignment horizontal="right" vertical="center" wrapText="1"/>
    </xf>
    <xf numFmtId="4" fontId="1" fillId="36" borderId="11" xfId="0" applyNumberFormat="1" applyFont="1" applyFill="1" applyBorder="1" applyAlignment="1">
      <alignment wrapText="1"/>
    </xf>
    <xf numFmtId="4" fontId="1" fillId="36" borderId="11" xfId="0" applyNumberFormat="1" applyFont="1" applyFill="1" applyBorder="1" applyAlignment="1">
      <alignment horizontal="right" wrapText="1"/>
    </xf>
    <xf numFmtId="4" fontId="1" fillId="33" borderId="17" xfId="0" applyNumberFormat="1" applyFont="1" applyFill="1" applyBorder="1" applyAlignment="1">
      <alignment horizontal="right"/>
    </xf>
    <xf numFmtId="4" fontId="1" fillId="36" borderId="17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/>
    </xf>
    <xf numFmtId="0" fontId="1" fillId="0" borderId="34" xfId="0" applyFont="1" applyFill="1" applyBorder="1" applyAlignment="1">
      <alignment horizontal="center" textRotation="90" wrapText="1"/>
    </xf>
    <xf numFmtId="4" fontId="2" fillId="0" borderId="29" xfId="34" applyNumberFormat="1" applyFont="1" applyFill="1" applyBorder="1" applyAlignment="1">
      <alignment horizontal="right" vertical="center" wrapText="1"/>
      <protection/>
    </xf>
    <xf numFmtId="4" fontId="2" fillId="0" borderId="45" xfId="34" applyNumberFormat="1" applyFont="1" applyFill="1" applyBorder="1" applyAlignment="1">
      <alignment horizontal="right" vertical="center" wrapText="1"/>
      <protection/>
    </xf>
    <xf numFmtId="4" fontId="2" fillId="0" borderId="27" xfId="34" applyNumberFormat="1" applyFont="1" applyFill="1" applyBorder="1" applyAlignment="1">
      <alignment horizontal="right" vertical="center" wrapText="1"/>
      <protection/>
    </xf>
    <xf numFmtId="4" fontId="0" fillId="35" borderId="14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2" fontId="0" fillId="0" borderId="15" xfId="0" applyNumberFormat="1" applyBorder="1" applyAlignment="1">
      <alignment/>
    </xf>
    <xf numFmtId="2" fontId="2" fillId="0" borderId="46" xfId="34" applyNumberFormat="1" applyFont="1" applyFill="1" applyBorder="1" applyAlignment="1">
      <alignment vertical="center" wrapText="1"/>
      <protection/>
    </xf>
    <xf numFmtId="2" fontId="2" fillId="34" borderId="29" xfId="62" applyNumberFormat="1" applyFont="1" applyFill="1" applyBorder="1" applyAlignment="1">
      <alignment vertical="center" wrapText="1"/>
    </xf>
    <xf numFmtId="2" fontId="0" fillId="0" borderId="28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35" borderId="15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34" borderId="35" xfId="0" applyNumberFormat="1" applyFont="1" applyFill="1" applyBorder="1" applyAlignment="1">
      <alignment/>
    </xf>
    <xf numFmtId="2" fontId="0" fillId="38" borderId="11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0" fillId="39" borderId="38" xfId="0" applyNumberFormat="1" applyFont="1" applyFill="1" applyBorder="1" applyAlignment="1">
      <alignment/>
    </xf>
    <xf numFmtId="2" fontId="0" fillId="39" borderId="27" xfId="0" applyNumberFormat="1" applyFont="1" applyFill="1" applyBorder="1" applyAlignment="1">
      <alignment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0" fontId="0" fillId="0" borderId="11" xfId="0" applyBorder="1" applyAlignment="1">
      <alignment horizontal="right"/>
    </xf>
    <xf numFmtId="4" fontId="0" fillId="39" borderId="38" xfId="0" applyNumberFormat="1" applyFont="1" applyFill="1" applyBorder="1" applyAlignment="1">
      <alignment horizontal="right"/>
    </xf>
    <xf numFmtId="4" fontId="0" fillId="39" borderId="47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2" fillId="0" borderId="10" xfId="34" applyNumberFormat="1" applyFont="1" applyFill="1" applyBorder="1" applyAlignment="1">
      <alignment horizontal="right" vertical="center" wrapText="1"/>
      <protection/>
    </xf>
    <xf numFmtId="2" fontId="2" fillId="34" borderId="11" xfId="62" applyNumberFormat="1" applyFont="1" applyFill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right"/>
    </xf>
    <xf numFmtId="2" fontId="0" fillId="35" borderId="15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34" borderId="48" xfId="0" applyNumberFormat="1" applyFont="1" applyFill="1" applyBorder="1" applyAlignment="1">
      <alignment horizontal="right"/>
    </xf>
    <xf numFmtId="2" fontId="0" fillId="34" borderId="35" xfId="0" applyNumberFormat="1" applyFont="1" applyFill="1" applyBorder="1" applyAlignment="1">
      <alignment horizontal="right"/>
    </xf>
    <xf numFmtId="2" fontId="0" fillId="38" borderId="11" xfId="0" applyNumberFormat="1" applyFont="1" applyFill="1" applyBorder="1" applyAlignment="1">
      <alignment horizontal="right"/>
    </xf>
    <xf numFmtId="2" fontId="0" fillId="0" borderId="35" xfId="0" applyNumberFormat="1" applyFont="1" applyFill="1" applyBorder="1" applyAlignment="1">
      <alignment horizontal="right"/>
    </xf>
    <xf numFmtId="2" fontId="0" fillId="39" borderId="38" xfId="0" applyNumberFormat="1" applyFont="1" applyFill="1" applyBorder="1" applyAlignment="1">
      <alignment horizontal="right"/>
    </xf>
    <xf numFmtId="2" fontId="0" fillId="39" borderId="47" xfId="0" applyNumberFormat="1" applyFont="1" applyFill="1" applyBorder="1" applyAlignment="1">
      <alignment horizontal="right"/>
    </xf>
    <xf numFmtId="4" fontId="0" fillId="0" borderId="35" xfId="0" applyNumberFormat="1" applyFon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0" fillId="0" borderId="35" xfId="0" applyNumberFormat="1" applyFont="1" applyBorder="1" applyAlignment="1">
      <alignment horizontal="right"/>
    </xf>
    <xf numFmtId="2" fontId="0" fillId="0" borderId="35" xfId="0" applyNumberFormat="1" applyBorder="1" applyAlignment="1">
      <alignment horizontal="right"/>
    </xf>
    <xf numFmtId="2" fontId="2" fillId="0" borderId="11" xfId="34" applyNumberFormat="1" applyFont="1" applyFill="1" applyBorder="1" applyAlignment="1">
      <alignment horizontal="right" vertical="center" wrapText="1"/>
      <protection/>
    </xf>
    <xf numFmtId="2" fontId="2" fillId="34" borderId="13" xfId="62" applyNumberFormat="1" applyFont="1" applyFill="1" applyBorder="1" applyAlignment="1">
      <alignment horizontal="right" vertical="center" wrapText="1"/>
    </xf>
    <xf numFmtId="2" fontId="0" fillId="36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 horizontal="right"/>
    </xf>
    <xf numFmtId="2" fontId="0" fillId="37" borderId="11" xfId="0" applyNumberFormat="1" applyFont="1" applyFill="1" applyBorder="1" applyAlignment="1">
      <alignment horizontal="right"/>
    </xf>
    <xf numFmtId="2" fontId="2" fillId="0" borderId="28" xfId="34" applyNumberFormat="1" applyFont="1" applyFill="1" applyBorder="1" applyAlignment="1">
      <alignment horizontal="right" vertical="center" wrapText="1"/>
      <protection/>
    </xf>
    <xf numFmtId="2" fontId="0" fillId="0" borderId="49" xfId="0" applyNumberFormat="1" applyBorder="1" applyAlignment="1">
      <alignment horizontal="right"/>
    </xf>
    <xf numFmtId="2" fontId="2" fillId="0" borderId="50" xfId="34" applyNumberFormat="1" applyFont="1" applyFill="1" applyBorder="1" applyAlignment="1">
      <alignment horizontal="right" vertical="center" wrapText="1"/>
      <protection/>
    </xf>
    <xf numFmtId="2" fontId="2" fillId="34" borderId="17" xfId="62" applyNumberFormat="1" applyFont="1" applyFill="1" applyBorder="1" applyAlignment="1">
      <alignment horizontal="right" vertical="center" wrapText="1"/>
    </xf>
    <xf numFmtId="2" fontId="0" fillId="0" borderId="17" xfId="0" applyNumberFormat="1" applyFont="1" applyBorder="1" applyAlignment="1">
      <alignment horizontal="right"/>
    </xf>
    <xf numFmtId="2" fontId="0" fillId="0" borderId="49" xfId="0" applyNumberFormat="1" applyFont="1" applyBorder="1" applyAlignment="1">
      <alignment horizontal="right"/>
    </xf>
    <xf numFmtId="2" fontId="0" fillId="35" borderId="49" xfId="0" applyNumberFormat="1" applyFont="1" applyFill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34" borderId="51" xfId="0" applyNumberFormat="1" applyFont="1" applyFill="1" applyBorder="1" applyAlignment="1">
      <alignment horizontal="right"/>
    </xf>
    <xf numFmtId="2" fontId="0" fillId="36" borderId="17" xfId="0" applyNumberFormat="1" applyFont="1" applyFill="1" applyBorder="1" applyAlignment="1">
      <alignment horizontal="right"/>
    </xf>
    <xf numFmtId="2" fontId="0" fillId="38" borderId="17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0" borderId="51" xfId="0" applyNumberFormat="1" applyFont="1" applyFill="1" applyBorder="1" applyAlignment="1">
      <alignment horizontal="right"/>
    </xf>
    <xf numFmtId="2" fontId="0" fillId="37" borderId="17" xfId="0" applyNumberFormat="1" applyFont="1" applyFill="1" applyBorder="1" applyAlignment="1">
      <alignment horizontal="right"/>
    </xf>
    <xf numFmtId="2" fontId="0" fillId="39" borderId="52" xfId="0" applyNumberFormat="1" applyFont="1" applyFill="1" applyBorder="1" applyAlignment="1">
      <alignment horizontal="right"/>
    </xf>
    <xf numFmtId="2" fontId="0" fillId="39" borderId="53" xfId="0" applyNumberFormat="1" applyFont="1" applyFill="1" applyBorder="1" applyAlignment="1">
      <alignment horizontal="right"/>
    </xf>
    <xf numFmtId="2" fontId="0" fillId="0" borderId="28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 vertical="center"/>
    </xf>
    <xf numFmtId="2" fontId="0" fillId="35" borderId="15" xfId="0" applyNumberFormat="1" applyFont="1" applyFill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2" fontId="2" fillId="0" borderId="16" xfId="34" applyNumberFormat="1" applyFont="1" applyFill="1" applyBorder="1" applyAlignment="1">
      <alignment horizontal="right" vertical="center" wrapText="1"/>
      <protection/>
    </xf>
    <xf numFmtId="2" fontId="0" fillId="0" borderId="17" xfId="0" applyNumberFormat="1" applyFont="1" applyBorder="1" applyAlignment="1">
      <alignment horizontal="right"/>
    </xf>
    <xf numFmtId="2" fontId="0" fillId="0" borderId="49" xfId="0" applyNumberFormat="1" applyFont="1" applyBorder="1" applyAlignment="1">
      <alignment horizontal="right"/>
    </xf>
    <xf numFmtId="2" fontId="0" fillId="0" borderId="50" xfId="0" applyNumberFormat="1" applyFont="1" applyFill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2" fontId="10" fillId="34" borderId="13" xfId="62" applyNumberFormat="1" applyFont="1" applyFill="1" applyBorder="1" applyAlignment="1">
      <alignment horizontal="right" vertical="center" wrapText="1"/>
    </xf>
    <xf numFmtId="2" fontId="9" fillId="0" borderId="11" xfId="0" applyNumberFormat="1" applyFont="1" applyBorder="1" applyAlignment="1">
      <alignment horizontal="right"/>
    </xf>
    <xf numFmtId="2" fontId="9" fillId="0" borderId="28" xfId="0" applyNumberFormat="1" applyFont="1" applyFill="1" applyBorder="1" applyAlignment="1">
      <alignment horizontal="right"/>
    </xf>
    <xf numFmtId="2" fontId="9" fillId="35" borderId="15" xfId="0" applyNumberFormat="1" applyFont="1" applyFill="1" applyBorder="1" applyAlignment="1">
      <alignment horizontal="right"/>
    </xf>
    <xf numFmtId="2" fontId="9" fillId="34" borderId="35" xfId="0" applyNumberFormat="1" applyFont="1" applyFill="1" applyBorder="1" applyAlignment="1">
      <alignment horizontal="right"/>
    </xf>
    <xf numFmtId="2" fontId="9" fillId="0" borderId="11" xfId="0" applyNumberFormat="1" applyFont="1" applyFill="1" applyBorder="1" applyAlignment="1">
      <alignment horizontal="right"/>
    </xf>
    <xf numFmtId="2" fontId="9" fillId="38" borderId="11" xfId="0" applyNumberFormat="1" applyFont="1" applyFill="1" applyBorder="1" applyAlignment="1">
      <alignment horizontal="right"/>
    </xf>
    <xf numFmtId="2" fontId="9" fillId="0" borderId="35" xfId="0" applyNumberFormat="1" applyFont="1" applyFill="1" applyBorder="1" applyAlignment="1">
      <alignment horizontal="right"/>
    </xf>
    <xf numFmtId="2" fontId="9" fillId="37" borderId="11" xfId="0" applyNumberFormat="1" applyFont="1" applyFill="1" applyBorder="1" applyAlignment="1">
      <alignment horizontal="right"/>
    </xf>
    <xf numFmtId="2" fontId="9" fillId="39" borderId="38" xfId="0" applyNumberFormat="1" applyFont="1" applyFill="1" applyBorder="1" applyAlignment="1">
      <alignment horizontal="right"/>
    </xf>
    <xf numFmtId="2" fontId="9" fillId="39" borderId="47" xfId="0" applyNumberFormat="1" applyFont="1" applyFill="1" applyBorder="1" applyAlignment="1">
      <alignment horizontal="right"/>
    </xf>
    <xf numFmtId="2" fontId="0" fillId="0" borderId="17" xfId="0" applyNumberFormat="1" applyFont="1" applyFill="1" applyBorder="1" applyAlignment="1">
      <alignment horizontal="right"/>
    </xf>
    <xf numFmtId="4" fontId="3" fillId="0" borderId="15" xfId="34" applyNumberFormat="1" applyFont="1" applyBorder="1" applyAlignment="1">
      <alignment horizontal="right" vertical="center" wrapText="1"/>
      <protection/>
    </xf>
    <xf numFmtId="43" fontId="10" fillId="34" borderId="13" xfId="62" applyFont="1" applyFill="1" applyBorder="1" applyAlignment="1">
      <alignment horizontal="right" vertical="center" wrapText="1"/>
    </xf>
    <xf numFmtId="4" fontId="0" fillId="37" borderId="10" xfId="0" applyNumberFormat="1" applyFont="1" applyFill="1" applyBorder="1" applyAlignment="1">
      <alignment horizontal="right"/>
    </xf>
    <xf numFmtId="4" fontId="0" fillId="39" borderId="48" xfId="0" applyNumberFormat="1" applyFont="1" applyFill="1" applyBorder="1" applyAlignment="1">
      <alignment horizontal="right"/>
    </xf>
    <xf numFmtId="4" fontId="0" fillId="39" borderId="28" xfId="0" applyNumberFormat="1" applyFont="1" applyFill="1" applyBorder="1" applyAlignment="1">
      <alignment horizontal="right"/>
    </xf>
    <xf numFmtId="4" fontId="0" fillId="39" borderId="27" xfId="0" applyNumberFormat="1" applyFont="1" applyFill="1" applyBorder="1" applyAlignment="1">
      <alignment horizontal="right"/>
    </xf>
    <xf numFmtId="4" fontId="3" fillId="0" borderId="35" xfId="34" applyNumberFormat="1" applyFont="1" applyBorder="1" applyAlignment="1">
      <alignment horizontal="right" vertical="center" wrapText="1"/>
      <protection/>
    </xf>
    <xf numFmtId="43" fontId="10" fillId="34" borderId="11" xfId="62" applyFont="1" applyFill="1" applyBorder="1" applyAlignment="1">
      <alignment horizontal="right" vertical="center" wrapText="1"/>
    </xf>
    <xf numFmtId="4" fontId="3" fillId="0" borderId="11" xfId="34" applyNumberFormat="1" applyFont="1" applyBorder="1" applyAlignment="1">
      <alignment horizontal="right" vertical="center" wrapText="1"/>
      <protection/>
    </xf>
    <xf numFmtId="4" fontId="0" fillId="0" borderId="54" xfId="0" applyNumberFormat="1" applyFont="1" applyFill="1" applyBorder="1" applyAlignment="1">
      <alignment horizontal="right"/>
    </xf>
    <xf numFmtId="4" fontId="0" fillId="0" borderId="52" xfId="0" applyNumberFormat="1" applyFont="1" applyFill="1" applyBorder="1" applyAlignment="1">
      <alignment horizontal="right"/>
    </xf>
    <xf numFmtId="4" fontId="3" fillId="0" borderId="35" xfId="34" applyNumberFormat="1" applyFont="1" applyBorder="1" applyAlignment="1">
      <alignment horizontal="center" vertical="center" wrapText="1"/>
      <protection/>
    </xf>
    <xf numFmtId="4" fontId="2" fillId="0" borderId="10" xfId="34" applyNumberFormat="1" applyFont="1" applyFill="1" applyBorder="1" applyAlignment="1">
      <alignment horizontal="center" vertical="center" wrapText="1"/>
      <protection/>
    </xf>
    <xf numFmtId="43" fontId="10" fillId="34" borderId="11" xfId="62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35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34" borderId="48" xfId="0" applyNumberFormat="1" applyFont="1" applyFill="1" applyBorder="1" applyAlignment="1">
      <alignment/>
    </xf>
    <xf numFmtId="4" fontId="0" fillId="34" borderId="35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3" fontId="2" fillId="34" borderId="11" xfId="62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52" xfId="0" applyNumberFormat="1" applyFont="1" applyFill="1" applyBorder="1" applyAlignment="1">
      <alignment horizontal="center" vertical="center" wrapText="1"/>
    </xf>
    <xf numFmtId="2" fontId="1" fillId="36" borderId="55" xfId="0" applyNumberFormat="1" applyFont="1" applyFill="1" applyBorder="1" applyAlignment="1">
      <alignment horizontal="center" vertical="center" wrapText="1"/>
    </xf>
    <xf numFmtId="2" fontId="1" fillId="36" borderId="42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textRotation="90"/>
    </xf>
    <xf numFmtId="0" fontId="1" fillId="0" borderId="44" xfId="0" applyFont="1" applyFill="1" applyBorder="1" applyAlignment="1">
      <alignment horizontal="center" textRotation="90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34" borderId="55" xfId="0" applyNumberFormat="1" applyFont="1" applyFill="1" applyBorder="1" applyAlignment="1">
      <alignment horizontal="center" vertical="center" wrapText="1"/>
    </xf>
    <xf numFmtId="4" fontId="1" fillId="34" borderId="44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textRotation="90"/>
    </xf>
    <xf numFmtId="0" fontId="1" fillId="0" borderId="43" xfId="0" applyFont="1" applyFill="1" applyBorder="1" applyAlignment="1">
      <alignment horizontal="center" textRotation="90"/>
    </xf>
    <xf numFmtId="0" fontId="0" fillId="0" borderId="60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1" fillId="0" borderId="60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2" fontId="1" fillId="37" borderId="55" xfId="0" applyNumberFormat="1" applyFont="1" applyFill="1" applyBorder="1" applyAlignment="1">
      <alignment horizontal="center" vertical="center" wrapText="1"/>
    </xf>
    <xf numFmtId="2" fontId="1" fillId="37" borderId="44" xfId="0" applyNumberFormat="1" applyFont="1" applyFill="1" applyBorder="1" applyAlignment="1">
      <alignment horizontal="center" vertical="center" wrapText="1"/>
    </xf>
    <xf numFmtId="2" fontId="1" fillId="37" borderId="42" xfId="0" applyNumberFormat="1" applyFont="1" applyFill="1" applyBorder="1" applyAlignment="1">
      <alignment horizontal="center" vertical="center" wrapText="1"/>
    </xf>
    <xf numFmtId="2" fontId="8" fillId="34" borderId="55" xfId="0" applyNumberFormat="1" applyFont="1" applyFill="1" applyBorder="1" applyAlignment="1">
      <alignment horizontal="center" vertical="center" wrapText="1"/>
    </xf>
    <xf numFmtId="2" fontId="8" fillId="34" borderId="44" xfId="0" applyNumberFormat="1" applyFont="1" applyFill="1" applyBorder="1" applyAlignment="1">
      <alignment horizontal="center" vertical="center" wrapText="1"/>
    </xf>
    <xf numFmtId="2" fontId="8" fillId="34" borderId="42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2" fontId="1" fillId="34" borderId="55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0" fontId="1" fillId="35" borderId="55" xfId="0" applyFont="1" applyFill="1" applyBorder="1" applyAlignment="1">
      <alignment horizontal="center" textRotation="90"/>
    </xf>
    <xf numFmtId="0" fontId="1" fillId="35" borderId="44" xfId="0" applyFont="1" applyFill="1" applyBorder="1" applyAlignment="1">
      <alignment horizontal="center" textRotation="90"/>
    </xf>
    <xf numFmtId="0" fontId="1" fillId="39" borderId="55" xfId="0" applyFont="1" applyFill="1" applyBorder="1" applyAlignment="1">
      <alignment horizontal="center" vertical="center" wrapText="1"/>
    </xf>
    <xf numFmtId="0" fontId="1" fillId="39" borderId="44" xfId="0" applyFont="1" applyFill="1" applyBorder="1" applyAlignment="1">
      <alignment horizontal="center" vertical="center" wrapText="1"/>
    </xf>
    <xf numFmtId="0" fontId="1" fillId="39" borderId="42" xfId="0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36" borderId="33" xfId="0" applyNumberFormat="1" applyFont="1" applyFill="1" applyBorder="1" applyAlignment="1">
      <alignment horizontal="center" vertical="center" wrapText="1"/>
    </xf>
    <xf numFmtId="2" fontId="1" fillId="36" borderId="64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3" fontId="0" fillId="0" borderId="35" xfId="62" applyFont="1" applyFill="1" applyBorder="1" applyAlignment="1">
      <alignment horizontal="center"/>
    </xf>
    <xf numFmtId="43" fontId="0" fillId="0" borderId="28" xfId="62" applyFont="1" applyFill="1" applyBorder="1" applyAlignment="1">
      <alignment horizontal="center"/>
    </xf>
    <xf numFmtId="2" fontId="1" fillId="33" borderId="35" xfId="0" applyNumberFormat="1" applyFont="1" applyFill="1" applyBorder="1" applyAlignment="1">
      <alignment horizontal="center" vertical="center" textRotation="90" wrapText="1"/>
    </xf>
    <xf numFmtId="2" fontId="1" fillId="33" borderId="40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41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67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41" xfId="0" applyNumberFormat="1" applyFont="1" applyFill="1" applyBorder="1" applyAlignment="1">
      <alignment horizontal="center" vertical="center" textRotation="90" wrapText="1"/>
    </xf>
    <xf numFmtId="4" fontId="1" fillId="0" borderId="69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45" xfId="0" applyNumberFormat="1" applyFont="1" applyFill="1" applyBorder="1" applyAlignment="1">
      <alignment horizontal="center" vertical="center" textRotation="90" wrapText="1"/>
    </xf>
    <xf numFmtId="0" fontId="1" fillId="0" borderId="70" xfId="0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3" fontId="8" fillId="34" borderId="55" xfId="64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2" fontId="1" fillId="0" borderId="55" xfId="0" applyNumberFormat="1" applyFont="1" applyBorder="1" applyAlignment="1">
      <alignment horizontal="center" vertical="center" wrapText="1"/>
    </xf>
    <xf numFmtId="43" fontId="8" fillId="34" borderId="44" xfId="64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36" borderId="55" xfId="55" applyNumberFormat="1" applyFont="1" applyFill="1" applyBorder="1" applyAlignment="1">
      <alignment horizontal="center" vertical="center" wrapText="1"/>
      <protection/>
    </xf>
    <xf numFmtId="2" fontId="1" fillId="33" borderId="65" xfId="55" applyNumberFormat="1" applyFont="1" applyFill="1" applyBorder="1" applyAlignment="1">
      <alignment horizontal="center" vertical="center" wrapText="1"/>
      <protection/>
    </xf>
    <xf numFmtId="2" fontId="1" fillId="33" borderId="55" xfId="55" applyNumberFormat="1" applyFont="1" applyFill="1" applyBorder="1" applyAlignment="1">
      <alignment horizontal="center" vertical="center" wrapText="1"/>
      <protection/>
    </xf>
    <xf numFmtId="2" fontId="1" fillId="33" borderId="55" xfId="0" applyNumberFormat="1" applyFont="1" applyFill="1" applyBorder="1" applyAlignment="1">
      <alignment horizontal="center" vertical="center" wrapText="1"/>
    </xf>
    <xf numFmtId="2" fontId="1" fillId="0" borderId="55" xfId="55" applyNumberFormat="1" applyFont="1" applyFill="1" applyBorder="1" applyAlignment="1">
      <alignment horizontal="center" vertical="center" wrapText="1"/>
      <protection/>
    </xf>
    <xf numFmtId="0" fontId="0" fillId="0" borderId="59" xfId="0" applyFont="1" applyBorder="1" applyAlignment="1">
      <alignment/>
    </xf>
    <xf numFmtId="0" fontId="1" fillId="0" borderId="4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36" borderId="42" xfId="55" applyNumberFormat="1" applyFont="1" applyFill="1" applyBorder="1" applyAlignment="1">
      <alignment horizontal="center" vertical="center" wrapText="1"/>
      <protection/>
    </xf>
    <xf numFmtId="2" fontId="1" fillId="33" borderId="52" xfId="55" applyNumberFormat="1" applyFont="1" applyFill="1" applyBorder="1" applyAlignment="1">
      <alignment horizontal="center" vertical="center" wrapText="1"/>
      <protection/>
    </xf>
    <xf numFmtId="2" fontId="1" fillId="33" borderId="42" xfId="55" applyNumberFormat="1" applyFont="1" applyFill="1" applyBorder="1" applyAlignment="1">
      <alignment horizontal="center" vertical="center" wrapText="1"/>
      <protection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0" borderId="42" xfId="55" applyNumberFormat="1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left"/>
    </xf>
    <xf numFmtId="4" fontId="1" fillId="33" borderId="64" xfId="0" applyNumberFormat="1" applyFont="1" applyFill="1" applyBorder="1" applyAlignment="1">
      <alignment horizontal="right"/>
    </xf>
    <xf numFmtId="4" fontId="1" fillId="34" borderId="17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4" fontId="0" fillId="34" borderId="35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35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2" fontId="0" fillId="0" borderId="48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0" fontId="0" fillId="0" borderId="35" xfId="0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48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4" fontId="0" fillId="0" borderId="15" xfId="55" applyNumberFormat="1" applyFont="1" applyFill="1" applyBorder="1" applyAlignment="1">
      <alignment horizontal="center"/>
      <protection/>
    </xf>
    <xf numFmtId="0" fontId="0" fillId="0" borderId="29" xfId="0" applyBorder="1" applyAlignment="1">
      <alignment horizontal="center"/>
    </xf>
    <xf numFmtId="4" fontId="0" fillId="34" borderId="35" xfId="55" applyNumberFormat="1" applyFont="1" applyFill="1" applyBorder="1">
      <alignment/>
      <protection/>
    </xf>
    <xf numFmtId="4" fontId="0" fillId="0" borderId="11" xfId="55" applyNumberFormat="1" applyFont="1" applyFill="1" applyBorder="1">
      <alignment/>
      <protection/>
    </xf>
    <xf numFmtId="4" fontId="0" fillId="33" borderId="11" xfId="55" applyNumberFormat="1" applyFont="1" applyFill="1" applyBorder="1">
      <alignment/>
      <protection/>
    </xf>
    <xf numFmtId="4" fontId="0" fillId="33" borderId="35" xfId="55" applyNumberFormat="1" applyFont="1" applyFill="1" applyBorder="1">
      <alignment/>
      <protection/>
    </xf>
    <xf numFmtId="4" fontId="0" fillId="0" borderId="35" xfId="55" applyNumberFormat="1" applyFont="1" applyFill="1" applyBorder="1">
      <alignment/>
      <protection/>
    </xf>
    <xf numFmtId="4" fontId="0" fillId="0" borderId="35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/>
    </xf>
    <xf numFmtId="0" fontId="0" fillId="0" borderId="29" xfId="55" applyBorder="1" applyAlignment="1">
      <alignment horizontal="center"/>
      <protection/>
    </xf>
    <xf numFmtId="4" fontId="0" fillId="34" borderId="48" xfId="55" applyNumberFormat="1" applyFont="1" applyFill="1" applyBorder="1">
      <alignment/>
      <protection/>
    </xf>
    <xf numFmtId="0" fontId="2" fillId="0" borderId="15" xfId="0" applyFont="1" applyBorder="1" applyAlignment="1">
      <alignment horizontal="center"/>
    </xf>
    <xf numFmtId="43" fontId="2" fillId="34" borderId="35" xfId="65" applyFont="1" applyFill="1" applyBorder="1" applyAlignment="1">
      <alignment horizontal="center" vertical="center" wrapText="1"/>
    </xf>
    <xf numFmtId="4" fontId="1" fillId="0" borderId="29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7" fillId="0" borderId="29" xfId="0" applyFont="1" applyBorder="1" applyAlignment="1">
      <alignment/>
    </xf>
    <xf numFmtId="4" fontId="1" fillId="0" borderId="35" xfId="55" applyNumberFormat="1" applyFont="1" applyFill="1" applyBorder="1">
      <alignment/>
      <protection/>
    </xf>
    <xf numFmtId="4" fontId="2" fillId="0" borderId="11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" fontId="1" fillId="34" borderId="35" xfId="55" applyNumberFormat="1" applyFont="1" applyFill="1" applyBorder="1">
      <alignment/>
      <protection/>
    </xf>
    <xf numFmtId="0" fontId="7" fillId="0" borderId="15" xfId="0" applyFont="1" applyBorder="1" applyAlignment="1">
      <alignment/>
    </xf>
    <xf numFmtId="0" fontId="0" fillId="0" borderId="33" xfId="0" applyFont="1" applyFill="1" applyBorder="1" applyAlignment="1">
      <alignment/>
    </xf>
    <xf numFmtId="4" fontId="0" fillId="36" borderId="11" xfId="55" applyNumberFormat="1" applyFont="1" applyFill="1" applyBorder="1">
      <alignment/>
      <protection/>
    </xf>
    <xf numFmtId="4" fontId="0" fillId="33" borderId="11" xfId="55" applyNumberFormat="1" applyFont="1" applyFill="1" applyBorder="1" applyAlignment="1">
      <alignment horizontal="center"/>
      <protection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4" fontId="1" fillId="0" borderId="72" xfId="0" applyNumberFormat="1" applyFont="1" applyFill="1" applyBorder="1" applyAlignment="1">
      <alignment horizontal="center" vertical="center" textRotation="90" wrapText="1"/>
    </xf>
    <xf numFmtId="4" fontId="1" fillId="0" borderId="66" xfId="0" applyNumberFormat="1" applyFont="1" applyFill="1" applyBorder="1" applyAlignment="1">
      <alignment horizontal="center" vertical="center" textRotation="90" wrapText="1"/>
    </xf>
    <xf numFmtId="0" fontId="1" fillId="0" borderId="74" xfId="0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40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textRotation="90" wrapText="1"/>
    </xf>
    <xf numFmtId="0" fontId="1" fillId="0" borderId="41" xfId="0" applyFont="1" applyFill="1" applyBorder="1" applyAlignment="1">
      <alignment horizontal="center" textRotation="90"/>
    </xf>
    <xf numFmtId="2" fontId="1" fillId="0" borderId="41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2" fontId="0" fillId="0" borderId="15" xfId="0" applyNumberFormat="1" applyBorder="1" applyAlignment="1">
      <alignment horizontal="center"/>
    </xf>
    <xf numFmtId="4" fontId="0" fillId="0" borderId="28" xfId="0" applyNumberFormat="1" applyFont="1" applyFill="1" applyBorder="1" applyAlignment="1">
      <alignment horizontal="right"/>
    </xf>
    <xf numFmtId="0" fontId="1" fillId="0" borderId="58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left"/>
    </xf>
    <xf numFmtId="4" fontId="0" fillId="0" borderId="4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167" fontId="2" fillId="34" borderId="11" xfId="62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0" fillId="40" borderId="0" xfId="0" applyNumberFormat="1" applyFont="1" applyFill="1" applyBorder="1" applyAlignment="1">
      <alignment/>
    </xf>
    <xf numFmtId="4" fontId="1" fillId="40" borderId="0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Ц СЧЕТА 1 кв 201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_ЛИЦ СЧЕТА 1 кв 2011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28%20&#1055;&#1072;&#1085;&#1092;&#1080;&#1083;&#1086;&#1074;&#1094;&#1077;&#1074;%209%20&#1089;%202011%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28%20&#1055;&#1072;&#1085;&#1092;&#1080;&#1083;&#1086;&#1074;&#1094;&#1077;&#1074;%201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58;&#1072;&#1096;&#1090;&#1072;&#1075;&#1086;&#1083;\&#1051;&#1080;&#1094;&#1077;&#1074;&#1086;&#1081;%20&#1089;&#1095;&#1077;&#1090;%20&#1050;&#1086;&#1084;&#1084;&#1091;&#1085;&#1072;&#1083;&#1100;&#1085;&#1072;&#1103;,%207%20&#1089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"/>
      <sheetName val="2011 печать"/>
    </sheetNames>
    <sheetDataSet>
      <sheetData sheetId="0">
        <row r="44">
          <cell r="X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">
          <cell r="B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zoomScalePageLayoutView="0" workbookViewId="0" topLeftCell="AF19">
      <selection activeCell="AO38" sqref="AO38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00390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10.25390625" style="2" customWidth="1"/>
    <col min="25" max="29" width="9.25390625" style="2" bestFit="1" customWidth="1"/>
    <col min="30" max="30" width="10.125" style="2" bestFit="1" customWidth="1"/>
    <col min="31" max="33" width="9.25390625" style="2" bestFit="1" customWidth="1"/>
    <col min="34" max="34" width="10.125" style="2" bestFit="1" customWidth="1"/>
    <col min="35" max="35" width="9.25390625" style="2" bestFit="1" customWidth="1"/>
    <col min="36" max="36" width="10.625" style="2" customWidth="1"/>
    <col min="37" max="37" width="9.25390625" style="2" bestFit="1" customWidth="1"/>
    <col min="38" max="39" width="10.125" style="2" bestFit="1" customWidth="1"/>
    <col min="40" max="40" width="9.375" style="2" customWidth="1"/>
    <col min="41" max="41" width="8.00390625" style="2" customWidth="1"/>
    <col min="42" max="42" width="9.75390625" style="2" customWidth="1"/>
    <col min="43" max="47" width="9.125" style="2" customWidth="1"/>
    <col min="48" max="48" width="10.00390625" style="2" customWidth="1"/>
    <col min="49" max="16384" width="9.125" style="2" customWidth="1"/>
  </cols>
  <sheetData>
    <row r="1" spans="1:14" ht="12.75">
      <c r="A1" s="290" t="s">
        <v>85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9" ht="13.5" customHeight="1" thickBot="1">
      <c r="A3" s="291" t="s">
        <v>71</v>
      </c>
      <c r="B3" s="293" t="s">
        <v>0</v>
      </c>
      <c r="C3" s="295" t="s">
        <v>1</v>
      </c>
      <c r="D3" s="297" t="s">
        <v>2</v>
      </c>
      <c r="E3" s="291" t="s">
        <v>9</v>
      </c>
      <c r="F3" s="304"/>
      <c r="G3" s="291" t="s">
        <v>10</v>
      </c>
      <c r="H3" s="307"/>
      <c r="I3" s="291" t="s">
        <v>11</v>
      </c>
      <c r="J3" s="307"/>
      <c r="K3" s="291" t="s">
        <v>12</v>
      </c>
      <c r="L3" s="307"/>
      <c r="M3" s="299" t="s">
        <v>13</v>
      </c>
      <c r="N3" s="307"/>
      <c r="O3" s="291" t="s">
        <v>3</v>
      </c>
      <c r="P3" s="299"/>
      <c r="Q3" s="315" t="s">
        <v>4</v>
      </c>
      <c r="R3" s="316"/>
      <c r="S3" s="316"/>
      <c r="T3" s="316"/>
      <c r="U3" s="316"/>
      <c r="V3" s="316"/>
      <c r="W3" s="325" t="s">
        <v>72</v>
      </c>
      <c r="X3" s="312" t="s">
        <v>73</v>
      </c>
      <c r="Y3" s="337" t="s">
        <v>6</v>
      </c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9"/>
      <c r="AT3" s="334" t="s">
        <v>74</v>
      </c>
      <c r="AU3" s="335"/>
      <c r="AV3" s="330" t="s">
        <v>7</v>
      </c>
      <c r="AW3" s="330" t="s">
        <v>8</v>
      </c>
    </row>
    <row r="4" spans="1:49" ht="36" customHeight="1" thickBot="1">
      <c r="A4" s="292"/>
      <c r="B4" s="294"/>
      <c r="C4" s="296"/>
      <c r="D4" s="298"/>
      <c r="E4" s="305"/>
      <c r="F4" s="306"/>
      <c r="G4" s="300"/>
      <c r="H4" s="308"/>
      <c r="I4" s="300"/>
      <c r="J4" s="308"/>
      <c r="K4" s="300"/>
      <c r="L4" s="308"/>
      <c r="M4" s="323"/>
      <c r="N4" s="324"/>
      <c r="O4" s="300"/>
      <c r="P4" s="301"/>
      <c r="Q4" s="317"/>
      <c r="R4" s="318"/>
      <c r="S4" s="318"/>
      <c r="T4" s="318"/>
      <c r="U4" s="318"/>
      <c r="V4" s="318"/>
      <c r="W4" s="326"/>
      <c r="X4" s="313"/>
      <c r="Y4" s="322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1"/>
      <c r="AT4" s="309" t="s">
        <v>75</v>
      </c>
      <c r="AU4" s="333" t="s">
        <v>76</v>
      </c>
      <c r="AV4" s="331"/>
      <c r="AW4" s="331"/>
    </row>
    <row r="5" spans="1:49" ht="29.25" customHeight="1" thickBot="1">
      <c r="A5" s="292"/>
      <c r="B5" s="294"/>
      <c r="C5" s="296"/>
      <c r="D5" s="298"/>
      <c r="E5" s="302" t="s">
        <v>14</v>
      </c>
      <c r="F5" s="286" t="s">
        <v>15</v>
      </c>
      <c r="G5" s="286" t="s">
        <v>14</v>
      </c>
      <c r="H5" s="286" t="s">
        <v>15</v>
      </c>
      <c r="I5" s="286" t="s">
        <v>14</v>
      </c>
      <c r="J5" s="286" t="s">
        <v>15</v>
      </c>
      <c r="K5" s="286" t="s">
        <v>14</v>
      </c>
      <c r="L5" s="286" t="s">
        <v>15</v>
      </c>
      <c r="M5" s="286" t="s">
        <v>14</v>
      </c>
      <c r="N5" s="286" t="s">
        <v>15</v>
      </c>
      <c r="O5" s="286" t="s">
        <v>14</v>
      </c>
      <c r="P5" s="328" t="s">
        <v>15</v>
      </c>
      <c r="Q5" s="288" t="s">
        <v>16</v>
      </c>
      <c r="R5" s="288" t="s">
        <v>17</v>
      </c>
      <c r="S5" s="288" t="s">
        <v>18</v>
      </c>
      <c r="T5" s="288" t="s">
        <v>19</v>
      </c>
      <c r="U5" s="288" t="s">
        <v>20</v>
      </c>
      <c r="V5" s="321" t="s">
        <v>21</v>
      </c>
      <c r="W5" s="326"/>
      <c r="X5" s="313"/>
      <c r="Y5" s="319" t="s">
        <v>22</v>
      </c>
      <c r="Z5" s="278" t="s">
        <v>23</v>
      </c>
      <c r="AA5" s="278" t="s">
        <v>24</v>
      </c>
      <c r="AB5" s="280" t="s">
        <v>25</v>
      </c>
      <c r="AC5" s="278" t="s">
        <v>26</v>
      </c>
      <c r="AD5" s="280" t="s">
        <v>25</v>
      </c>
      <c r="AE5" s="280" t="s">
        <v>27</v>
      </c>
      <c r="AF5" s="280" t="s">
        <v>25</v>
      </c>
      <c r="AG5" s="280" t="s">
        <v>28</v>
      </c>
      <c r="AH5" s="280" t="s">
        <v>25</v>
      </c>
      <c r="AI5" s="342" t="s">
        <v>83</v>
      </c>
      <c r="AJ5" s="284" t="s">
        <v>25</v>
      </c>
      <c r="AK5" s="282" t="s">
        <v>77</v>
      </c>
      <c r="AL5" s="282" t="s">
        <v>78</v>
      </c>
      <c r="AM5" s="143" t="s">
        <v>25</v>
      </c>
      <c r="AN5" s="334" t="s">
        <v>79</v>
      </c>
      <c r="AO5" s="336"/>
      <c r="AP5" s="335"/>
      <c r="AQ5" s="333" t="s">
        <v>30</v>
      </c>
      <c r="AR5" s="333" t="s">
        <v>25</v>
      </c>
      <c r="AS5" s="333" t="s">
        <v>31</v>
      </c>
      <c r="AT5" s="310"/>
      <c r="AU5" s="280"/>
      <c r="AV5" s="331"/>
      <c r="AW5" s="331"/>
    </row>
    <row r="6" spans="1:49" ht="54" customHeight="1" thickBot="1">
      <c r="A6" s="292"/>
      <c r="B6" s="294"/>
      <c r="C6" s="296"/>
      <c r="D6" s="298"/>
      <c r="E6" s="303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329"/>
      <c r="Q6" s="289"/>
      <c r="R6" s="289"/>
      <c r="S6" s="289"/>
      <c r="T6" s="289"/>
      <c r="U6" s="289"/>
      <c r="V6" s="322"/>
      <c r="W6" s="327"/>
      <c r="X6" s="314"/>
      <c r="Y6" s="320"/>
      <c r="Z6" s="279"/>
      <c r="AA6" s="279"/>
      <c r="AB6" s="281"/>
      <c r="AC6" s="279"/>
      <c r="AD6" s="281"/>
      <c r="AE6" s="281"/>
      <c r="AF6" s="281"/>
      <c r="AG6" s="281"/>
      <c r="AH6" s="281"/>
      <c r="AI6" s="343"/>
      <c r="AJ6" s="285"/>
      <c r="AK6" s="283"/>
      <c r="AL6" s="283"/>
      <c r="AM6" s="126"/>
      <c r="AN6" s="125" t="s">
        <v>80</v>
      </c>
      <c r="AO6" s="125" t="s">
        <v>81</v>
      </c>
      <c r="AP6" s="125" t="s">
        <v>82</v>
      </c>
      <c r="AQ6" s="281"/>
      <c r="AR6" s="281"/>
      <c r="AS6" s="281"/>
      <c r="AT6" s="311"/>
      <c r="AU6" s="281"/>
      <c r="AV6" s="332"/>
      <c r="AW6" s="332"/>
    </row>
    <row r="7" spans="1:49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8">
        <v>10</v>
      </c>
      <c r="K7" s="9">
        <v>11</v>
      </c>
      <c r="L7" s="8">
        <v>12</v>
      </c>
      <c r="M7" s="9">
        <v>13</v>
      </c>
      <c r="N7" s="8">
        <v>14</v>
      </c>
      <c r="O7" s="9">
        <v>15</v>
      </c>
      <c r="P7" s="8">
        <v>16</v>
      </c>
      <c r="Q7" s="9">
        <v>17</v>
      </c>
      <c r="R7" s="8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8">
        <v>28</v>
      </c>
      <c r="AC7" s="9">
        <v>29</v>
      </c>
      <c r="AD7" s="8">
        <v>30</v>
      </c>
      <c r="AE7" s="9">
        <v>31</v>
      </c>
      <c r="AF7" s="8">
        <v>32</v>
      </c>
      <c r="AG7" s="9">
        <v>33</v>
      </c>
      <c r="AH7" s="8">
        <v>34</v>
      </c>
      <c r="AI7" s="9">
        <v>35</v>
      </c>
      <c r="AJ7" s="8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</row>
    <row r="8" spans="1:49" ht="12.75">
      <c r="A8" s="5" t="s">
        <v>32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"/>
      <c r="R8" s="11"/>
      <c r="S8" s="11"/>
      <c r="T8" s="11"/>
      <c r="U8" s="11"/>
      <c r="V8" s="11"/>
      <c r="W8" s="11"/>
      <c r="X8" s="7"/>
      <c r="Y8" s="7"/>
      <c r="Z8" s="7"/>
      <c r="AA8" s="7"/>
      <c r="AB8" s="7"/>
      <c r="AC8" s="7"/>
      <c r="AD8" s="7"/>
      <c r="AE8" s="7"/>
      <c r="AF8" s="7"/>
      <c r="AG8" s="7"/>
      <c r="AH8" s="6"/>
      <c r="AI8" s="158"/>
      <c r="AJ8" s="158"/>
      <c r="AK8" s="6"/>
      <c r="AL8" s="6"/>
      <c r="AM8" s="6"/>
      <c r="AN8" s="7"/>
      <c r="AO8" s="7"/>
      <c r="AP8" s="7"/>
      <c r="AQ8" s="12"/>
      <c r="AR8" s="1"/>
      <c r="AS8" s="1"/>
      <c r="AT8" s="1"/>
      <c r="AU8" s="1"/>
      <c r="AV8" s="1"/>
      <c r="AW8" s="141"/>
    </row>
    <row r="9" spans="1:49" s="131" customFormat="1" ht="12.75">
      <c r="A9" s="132" t="s">
        <v>33</v>
      </c>
      <c r="B9" s="165">
        <v>128.2</v>
      </c>
      <c r="C9" s="166">
        <f>B9*8.65</f>
        <v>1108.9299999999998</v>
      </c>
      <c r="D9" s="167">
        <f>C9*0.24088-1</f>
        <v>266.1190584</v>
      </c>
      <c r="E9" s="168">
        <v>104.2</v>
      </c>
      <c r="F9" s="169">
        <v>0</v>
      </c>
      <c r="G9" s="169">
        <v>140.67</v>
      </c>
      <c r="H9" s="169">
        <v>0</v>
      </c>
      <c r="I9" s="169">
        <v>338.65</v>
      </c>
      <c r="J9" s="169">
        <v>0</v>
      </c>
      <c r="K9" s="169">
        <v>234.45</v>
      </c>
      <c r="L9" s="169">
        <v>0</v>
      </c>
      <c r="M9" s="169">
        <v>83.36</v>
      </c>
      <c r="N9" s="170">
        <v>0</v>
      </c>
      <c r="O9" s="171">
        <f>E9+G9+I9+K9+M9</f>
        <v>901.33</v>
      </c>
      <c r="P9" s="172">
        <f>N9+L9+J9+H9+F9</f>
        <v>0</v>
      </c>
      <c r="Q9" s="173">
        <v>0</v>
      </c>
      <c r="R9" s="173">
        <v>0</v>
      </c>
      <c r="S9" s="173">
        <v>0</v>
      </c>
      <c r="T9" s="173">
        <v>0</v>
      </c>
      <c r="U9" s="173">
        <v>0</v>
      </c>
      <c r="V9" s="165">
        <f>SUM(Q9:U9)</f>
        <v>0</v>
      </c>
      <c r="W9" s="174">
        <f>D9+P9+V9</f>
        <v>266.1190584</v>
      </c>
      <c r="X9" s="174"/>
      <c r="Y9" s="171">
        <f>0.6*B9</f>
        <v>76.91999999999999</v>
      </c>
      <c r="Z9" s="171">
        <f>B9*0.2*1.05826</f>
        <v>27.1337864</v>
      </c>
      <c r="AA9" s="171">
        <f>0.8476*B9</f>
        <v>108.66232</v>
      </c>
      <c r="AB9" s="171">
        <f>AA9*0.18</f>
        <v>19.559217599999997</v>
      </c>
      <c r="AC9" s="171">
        <f>(1.04)*B9*0.75645</f>
        <v>100.85596559999999</v>
      </c>
      <c r="AD9" s="171">
        <f>AC9*0.18</f>
        <v>18.154073807999996</v>
      </c>
      <c r="AE9" s="171">
        <f>1.91*B9*0.75645</f>
        <v>185.22585989999996</v>
      </c>
      <c r="AF9" s="171">
        <f>AE9*0.18</f>
        <v>33.340654781999994</v>
      </c>
      <c r="AG9" s="171">
        <v>0</v>
      </c>
      <c r="AH9" s="171">
        <f>AG9*0.18</f>
        <v>0</v>
      </c>
      <c r="AK9" s="175"/>
      <c r="AM9" s="175">
        <f>AK9*0.18</f>
        <v>0</v>
      </c>
      <c r="AN9" s="171"/>
      <c r="AO9" s="171"/>
      <c r="AP9" s="171">
        <f>AN9*AO9*1.12*1.18</f>
        <v>0</v>
      </c>
      <c r="AQ9" s="127"/>
      <c r="AR9" s="176"/>
      <c r="AS9" s="176">
        <f>SUM(Y9:AM9)+AP9</f>
        <v>569.85187809</v>
      </c>
      <c r="AT9" s="171"/>
      <c r="AU9" s="171">
        <f>AS9-(X9-AT9)</f>
        <v>569.85187809</v>
      </c>
      <c r="AV9" s="177">
        <f>W9-AS9</f>
        <v>-303.73281969000004</v>
      </c>
      <c r="AW9" s="178">
        <f>V9-O9</f>
        <v>-901.33</v>
      </c>
    </row>
    <row r="10" spans="1:49" ht="12.75">
      <c r="A10" s="13" t="s">
        <v>34</v>
      </c>
      <c r="B10" s="183">
        <v>128.2</v>
      </c>
      <c r="C10" s="184">
        <f>B10*8.65</f>
        <v>1108.9299999999998</v>
      </c>
      <c r="D10" s="185">
        <f>C10*0.24088-1</f>
        <v>266.1190584</v>
      </c>
      <c r="E10" s="186">
        <v>0.01</v>
      </c>
      <c r="F10" s="186">
        <v>0</v>
      </c>
      <c r="G10" s="186">
        <v>-0.01</v>
      </c>
      <c r="H10" s="186">
        <v>0</v>
      </c>
      <c r="I10" s="186">
        <v>-0.01</v>
      </c>
      <c r="J10" s="186">
        <v>0</v>
      </c>
      <c r="K10" s="186">
        <v>-0.01</v>
      </c>
      <c r="L10" s="186">
        <v>0</v>
      </c>
      <c r="M10" s="186">
        <v>0</v>
      </c>
      <c r="N10" s="187">
        <v>0</v>
      </c>
      <c r="O10" s="145">
        <f>E10+G10+I10+K10+M10</f>
        <v>-0.02</v>
      </c>
      <c r="P10" s="188">
        <f>N10+L10+J10+H10+F10</f>
        <v>0</v>
      </c>
      <c r="Q10" s="189">
        <v>4.13</v>
      </c>
      <c r="R10" s="190">
        <v>5.57</v>
      </c>
      <c r="S10" s="190">
        <v>13.4</v>
      </c>
      <c r="T10" s="190">
        <v>9.28</v>
      </c>
      <c r="U10" s="190">
        <v>3.3</v>
      </c>
      <c r="V10" s="183">
        <f>SUM(Q10:U10)</f>
        <v>35.68</v>
      </c>
      <c r="W10" s="191">
        <f>D10+P10+V10</f>
        <v>301.7990584</v>
      </c>
      <c r="X10" s="192"/>
      <c r="Y10" s="145">
        <f>0.6*B10</f>
        <v>76.91999999999999</v>
      </c>
      <c r="Z10" s="145">
        <f>B10*0.201</f>
        <v>25.7682</v>
      </c>
      <c r="AA10" s="145">
        <f>0.8476*B10</f>
        <v>108.66232</v>
      </c>
      <c r="AB10" s="145">
        <f>AA10*0.18</f>
        <v>19.559217599999997</v>
      </c>
      <c r="AC10" s="145">
        <f>(1.04)*B10*0.75645</f>
        <v>100.85596559999999</v>
      </c>
      <c r="AD10" s="145">
        <f>AC10*0.18</f>
        <v>18.154073807999996</v>
      </c>
      <c r="AE10" s="145">
        <f>1.91*B10*0.75645</f>
        <v>185.22585989999996</v>
      </c>
      <c r="AF10" s="145">
        <f>AE10*0.18</f>
        <v>33.340654781999994</v>
      </c>
      <c r="AG10" s="145">
        <v>0</v>
      </c>
      <c r="AH10" s="145">
        <f>AG10*0.18</f>
        <v>0</v>
      </c>
      <c r="AK10" s="193"/>
      <c r="AM10" s="193">
        <f>AK10*0.18</f>
        <v>0</v>
      </c>
      <c r="AN10" s="145"/>
      <c r="AO10" s="145"/>
      <c r="AP10" s="145">
        <f>AN10*AO10*1.12*1.18</f>
        <v>0</v>
      </c>
      <c r="AQ10" s="25"/>
      <c r="AR10" s="194"/>
      <c r="AS10" s="194">
        <f>SUM(Y10:AM10)+AP10</f>
        <v>568.4862916899999</v>
      </c>
      <c r="AT10" s="145"/>
      <c r="AU10" s="145">
        <f>AS10-(X10-AT10)</f>
        <v>568.4862916899999</v>
      </c>
      <c r="AV10" s="195">
        <f>W10-AS10</f>
        <v>-266.68723328999994</v>
      </c>
      <c r="AW10" s="196">
        <f>V10-O10</f>
        <v>35.7</v>
      </c>
    </row>
    <row r="11" spans="1:49" ht="13.5" thickBot="1">
      <c r="A11" s="43" t="s">
        <v>35</v>
      </c>
      <c r="B11" s="183">
        <v>128.2</v>
      </c>
      <c r="C11" s="184">
        <f>B11*8.65</f>
        <v>1108.9299999999998</v>
      </c>
      <c r="D11" s="185">
        <f>C11*0.24035+1</f>
        <v>267.5313255</v>
      </c>
      <c r="E11" s="186">
        <v>52.1</v>
      </c>
      <c r="F11" s="186">
        <v>0</v>
      </c>
      <c r="G11" s="186">
        <v>70.34</v>
      </c>
      <c r="H11" s="186">
        <v>0</v>
      </c>
      <c r="I11" s="186">
        <v>169.33</v>
      </c>
      <c r="J11" s="186">
        <v>0</v>
      </c>
      <c r="K11" s="186">
        <v>117.23</v>
      </c>
      <c r="L11" s="186">
        <v>0</v>
      </c>
      <c r="M11" s="186">
        <v>41.68</v>
      </c>
      <c r="N11" s="187">
        <v>0</v>
      </c>
      <c r="O11" s="145">
        <f>E11+G11+I11+K11+M11</f>
        <v>450.68</v>
      </c>
      <c r="P11" s="188">
        <f>N11+L11+J11+H11+F11</f>
        <v>0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  <c r="V11" s="183">
        <f>SUM(Q11:U11)</f>
        <v>0</v>
      </c>
      <c r="W11" s="192">
        <f>D11+P11+V11</f>
        <v>267.5313255</v>
      </c>
      <c r="X11" s="192"/>
      <c r="Y11" s="145">
        <f>0.6*B11</f>
        <v>76.91999999999999</v>
      </c>
      <c r="Z11" s="145">
        <f>B11*0.2*1.02524</f>
        <v>26.2871536</v>
      </c>
      <c r="AA11" s="145">
        <f>0.8476*B11</f>
        <v>108.66232</v>
      </c>
      <c r="AB11" s="145">
        <f>AA11*0.18</f>
        <v>19.559217599999997</v>
      </c>
      <c r="AC11" s="145">
        <f>(1.04)*B11*0.75645</f>
        <v>100.85596559999999</v>
      </c>
      <c r="AD11" s="145">
        <f>AC11*0.18</f>
        <v>18.154073807999996</v>
      </c>
      <c r="AE11" s="145">
        <f>1.91*B11*0.75645</f>
        <v>185.22585989999996</v>
      </c>
      <c r="AF11" s="145">
        <f>AE11*0.18</f>
        <v>33.340654781999994</v>
      </c>
      <c r="AG11" s="145">
        <v>0</v>
      </c>
      <c r="AH11" s="145">
        <f>AG11*0.18</f>
        <v>0</v>
      </c>
      <c r="AK11" s="193"/>
      <c r="AM11" s="193">
        <f>AK11*0.18</f>
        <v>0</v>
      </c>
      <c r="AN11" s="145"/>
      <c r="AO11" s="145"/>
      <c r="AP11" s="145">
        <f>AN11*AO11*1.12*1.18</f>
        <v>0</v>
      </c>
      <c r="AQ11" s="25"/>
      <c r="AR11" s="194"/>
      <c r="AS11" s="194">
        <f>SUM(Y11:AM11)+AP11</f>
        <v>569.00524529</v>
      </c>
      <c r="AT11" s="145"/>
      <c r="AU11" s="145">
        <f>AS11-(X11-AT11)</f>
        <v>569.00524529</v>
      </c>
      <c r="AV11" s="195">
        <f>W11-AS11</f>
        <v>-301.47391978999997</v>
      </c>
      <c r="AW11" s="196">
        <f>V11-O11</f>
        <v>-450.68</v>
      </c>
    </row>
    <row r="12" spans="1:49" s="23" customFormat="1" ht="15" customHeight="1" thickBot="1">
      <c r="A12" s="44" t="s">
        <v>3</v>
      </c>
      <c r="B12" s="70"/>
      <c r="C12" s="70">
        <f>SUM(C9:C11)</f>
        <v>3326.7899999999995</v>
      </c>
      <c r="D12" s="70">
        <f aca="true" t="shared" si="0" ref="D12:AE12">SUM(D9:D11)</f>
        <v>799.7694422999999</v>
      </c>
      <c r="E12" s="70">
        <f t="shared" si="0"/>
        <v>156.31</v>
      </c>
      <c r="F12" s="70">
        <f t="shared" si="0"/>
        <v>0</v>
      </c>
      <c r="G12" s="70">
        <f t="shared" si="0"/>
        <v>211</v>
      </c>
      <c r="H12" s="70">
        <f t="shared" si="0"/>
        <v>0</v>
      </c>
      <c r="I12" s="70">
        <f t="shared" si="0"/>
        <v>507.97</v>
      </c>
      <c r="J12" s="70">
        <f t="shared" si="0"/>
        <v>0</v>
      </c>
      <c r="K12" s="70">
        <f t="shared" si="0"/>
        <v>351.67</v>
      </c>
      <c r="L12" s="70">
        <f t="shared" si="0"/>
        <v>0</v>
      </c>
      <c r="M12" s="70">
        <f t="shared" si="0"/>
        <v>125.03999999999999</v>
      </c>
      <c r="N12" s="70">
        <f t="shared" si="0"/>
        <v>0</v>
      </c>
      <c r="O12" s="70">
        <f t="shared" si="0"/>
        <v>1351.99</v>
      </c>
      <c r="P12" s="70">
        <f t="shared" si="0"/>
        <v>0</v>
      </c>
      <c r="Q12" s="70">
        <f t="shared" si="0"/>
        <v>4.13</v>
      </c>
      <c r="R12" s="70">
        <f t="shared" si="0"/>
        <v>5.57</v>
      </c>
      <c r="S12" s="70">
        <f t="shared" si="0"/>
        <v>13.4</v>
      </c>
      <c r="T12" s="70">
        <f t="shared" si="0"/>
        <v>9.28</v>
      </c>
      <c r="U12" s="70">
        <f t="shared" si="0"/>
        <v>3.3</v>
      </c>
      <c r="V12" s="70">
        <f t="shared" si="0"/>
        <v>35.68</v>
      </c>
      <c r="W12" s="70">
        <f t="shared" si="0"/>
        <v>835.4494423</v>
      </c>
      <c r="X12" s="70">
        <f t="shared" si="0"/>
        <v>0</v>
      </c>
      <c r="Y12" s="70">
        <f t="shared" si="0"/>
        <v>230.75999999999996</v>
      </c>
      <c r="Z12" s="70">
        <f t="shared" si="0"/>
        <v>79.18914</v>
      </c>
      <c r="AA12" s="70">
        <f t="shared" si="0"/>
        <v>325.98695999999995</v>
      </c>
      <c r="AB12" s="70">
        <f t="shared" si="0"/>
        <v>58.67765279999999</v>
      </c>
      <c r="AC12" s="70">
        <f t="shared" si="0"/>
        <v>302.56789679999997</v>
      </c>
      <c r="AD12" s="70">
        <f t="shared" si="0"/>
        <v>54.46222142399999</v>
      </c>
      <c r="AE12" s="70">
        <f t="shared" si="0"/>
        <v>555.6775796999999</v>
      </c>
      <c r="AF12" s="70">
        <f aca="true" t="shared" si="1" ref="AF12:AW12">SUM(AF9:AF11)</f>
        <v>100.02196434599998</v>
      </c>
      <c r="AG12" s="70">
        <f t="shared" si="1"/>
        <v>0</v>
      </c>
      <c r="AH12" s="70">
        <f t="shared" si="1"/>
        <v>0</v>
      </c>
      <c r="AI12" s="70">
        <f t="shared" si="1"/>
        <v>0</v>
      </c>
      <c r="AJ12" s="70">
        <f t="shared" si="1"/>
        <v>0</v>
      </c>
      <c r="AK12" s="70">
        <f t="shared" si="1"/>
        <v>0</v>
      </c>
      <c r="AL12" s="70">
        <f t="shared" si="1"/>
        <v>0</v>
      </c>
      <c r="AM12" s="70">
        <f t="shared" si="1"/>
        <v>0</v>
      </c>
      <c r="AN12" s="70">
        <f t="shared" si="1"/>
        <v>0</v>
      </c>
      <c r="AO12" s="70">
        <f t="shared" si="1"/>
        <v>0</v>
      </c>
      <c r="AP12" s="70">
        <f t="shared" si="1"/>
        <v>0</v>
      </c>
      <c r="AQ12" s="70">
        <f t="shared" si="1"/>
        <v>0</v>
      </c>
      <c r="AR12" s="70">
        <f t="shared" si="1"/>
        <v>0</v>
      </c>
      <c r="AS12" s="70">
        <f t="shared" si="1"/>
        <v>1707.34341507</v>
      </c>
      <c r="AT12" s="70">
        <f t="shared" si="1"/>
        <v>0</v>
      </c>
      <c r="AU12" s="70">
        <f t="shared" si="1"/>
        <v>1707.34341507</v>
      </c>
      <c r="AV12" s="70">
        <f t="shared" si="1"/>
        <v>-871.89397277</v>
      </c>
      <c r="AW12" s="70">
        <f t="shared" si="1"/>
        <v>-1316.31</v>
      </c>
    </row>
    <row r="13" spans="1:49" ht="15" customHeight="1">
      <c r="A13" s="8" t="s">
        <v>36</v>
      </c>
      <c r="B13" s="134"/>
      <c r="C13" s="135"/>
      <c r="D13" s="135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7"/>
      <c r="P13" s="137"/>
      <c r="Q13" s="138"/>
      <c r="R13" s="138"/>
      <c r="S13" s="138"/>
      <c r="T13" s="138"/>
      <c r="U13" s="138"/>
      <c r="V13" s="139"/>
      <c r="W13" s="97"/>
      <c r="X13" s="53"/>
      <c r="Y13" s="53"/>
      <c r="Z13" s="53"/>
      <c r="AA13" s="53"/>
      <c r="AB13" s="53"/>
      <c r="AC13" s="53"/>
      <c r="AD13" s="53"/>
      <c r="AE13" s="53"/>
      <c r="AF13" s="68"/>
      <c r="AG13" s="68"/>
      <c r="AH13" s="68"/>
      <c r="AI13" s="152"/>
      <c r="AJ13" s="153"/>
      <c r="AK13" s="95"/>
      <c r="AL13" s="95"/>
      <c r="AM13" s="140"/>
      <c r="AN13" s="53"/>
      <c r="AO13" s="53"/>
      <c r="AP13" s="54"/>
      <c r="AQ13" s="1"/>
      <c r="AR13" s="1"/>
      <c r="AS13" s="1"/>
      <c r="AT13" s="1"/>
      <c r="AU13" s="1"/>
      <c r="AV13" s="1"/>
      <c r="AW13" s="141"/>
    </row>
    <row r="14" spans="1:49" ht="12.75">
      <c r="A14" s="13" t="s">
        <v>37</v>
      </c>
      <c r="B14" s="200">
        <v>128.2</v>
      </c>
      <c r="C14" s="201">
        <f aca="true" t="shared" si="2" ref="C14:C22">B14*8.65</f>
        <v>1108.9299999999998</v>
      </c>
      <c r="D14" s="202">
        <f>C14*0.125</f>
        <v>138.61624999999998</v>
      </c>
      <c r="E14" s="186">
        <v>52.1</v>
      </c>
      <c r="F14" s="186">
        <v>0</v>
      </c>
      <c r="G14" s="186">
        <v>70.34</v>
      </c>
      <c r="H14" s="186">
        <v>0</v>
      </c>
      <c r="I14" s="186">
        <v>169.33</v>
      </c>
      <c r="J14" s="186">
        <v>0</v>
      </c>
      <c r="K14" s="186">
        <v>117.23</v>
      </c>
      <c r="L14" s="186">
        <v>0</v>
      </c>
      <c r="M14" s="186">
        <v>41.68</v>
      </c>
      <c r="N14" s="187">
        <v>0</v>
      </c>
      <c r="O14" s="145">
        <f aca="true" t="shared" si="3" ref="O14:O25">E14+G14+I14+K14+M14</f>
        <v>450.68</v>
      </c>
      <c r="P14" s="188">
        <f aca="true" t="shared" si="4" ref="P14:P25">N14+L14+J14+H14+F14</f>
        <v>0</v>
      </c>
      <c r="Q14" s="198">
        <v>4.71</v>
      </c>
      <c r="R14" s="190">
        <v>6.36</v>
      </c>
      <c r="S14" s="190">
        <v>15.31</v>
      </c>
      <c r="T14" s="190">
        <v>10.6</v>
      </c>
      <c r="U14" s="190">
        <v>3.77</v>
      </c>
      <c r="V14" s="199">
        <f aca="true" t="shared" si="5" ref="V14:V21">SUM(Q14:U14)</f>
        <v>40.75000000000001</v>
      </c>
      <c r="W14" s="192">
        <f>D14+P14+V14</f>
        <v>179.36624999999998</v>
      </c>
      <c r="X14" s="192"/>
      <c r="Y14" s="145">
        <f>0.6*B14*0.9</f>
        <v>69.228</v>
      </c>
      <c r="Z14" s="145">
        <f>B14*0.2*0.8913+0.01</f>
        <v>22.862932</v>
      </c>
      <c r="AA14" s="145">
        <f>0.85*B14*0.8852+0.01</f>
        <v>96.470244</v>
      </c>
      <c r="AB14" s="145">
        <f aca="true" t="shared" si="6" ref="AB14:AB22">AA14*0.18</f>
        <v>17.36464392</v>
      </c>
      <c r="AC14" s="145">
        <f>0.83*B14*0.887</f>
        <v>94.382122</v>
      </c>
      <c r="AD14" s="145">
        <f aca="true" t="shared" si="7" ref="AD14:AD22">AC14*0.18</f>
        <v>16.988781959999997</v>
      </c>
      <c r="AE14" s="145">
        <f>(1.91)*B14*0.887</f>
        <v>217.19259399999999</v>
      </c>
      <c r="AF14" s="145">
        <f aca="true" t="shared" si="8" ref="AF14:AF22">AE14*0.18</f>
        <v>39.094666919999995</v>
      </c>
      <c r="AG14" s="145">
        <v>0</v>
      </c>
      <c r="AH14" s="145">
        <f aca="true" t="shared" si="9" ref="AH14:AJ25">AG14*0.18</f>
        <v>0</v>
      </c>
      <c r="AI14" s="203"/>
      <c r="AJ14" s="203"/>
      <c r="AK14" s="204">
        <v>480</v>
      </c>
      <c r="AL14" s="204"/>
      <c r="AM14" s="204">
        <f>AK14*0.18</f>
        <v>86.39999999999999</v>
      </c>
      <c r="AN14" s="145">
        <v>508</v>
      </c>
      <c r="AO14" s="145">
        <v>0</v>
      </c>
      <c r="AP14" s="145">
        <f aca="true" t="shared" si="10" ref="AP14:AP25">AN14*AO14*1.12*1.18</f>
        <v>0</v>
      </c>
      <c r="AQ14" s="194"/>
      <c r="AR14" s="194">
        <f>AQ14*0.18</f>
        <v>0</v>
      </c>
      <c r="AS14" s="194">
        <f aca="true" t="shared" si="11" ref="AS14:AS19">SUM(Y14:AM14)</f>
        <v>1139.9839848000001</v>
      </c>
      <c r="AT14" s="205"/>
      <c r="AU14" s="145">
        <f>AS14-(X14-AT14)</f>
        <v>1139.9839848000001</v>
      </c>
      <c r="AV14" s="195">
        <f aca="true" t="shared" si="12" ref="AV14:AV22">W14-AS14</f>
        <v>-960.6177348000001</v>
      </c>
      <c r="AW14" s="196">
        <f>V14-O14</f>
        <v>-409.93</v>
      </c>
    </row>
    <row r="15" spans="1:49" ht="12.75">
      <c r="A15" s="13" t="s">
        <v>38</v>
      </c>
      <c r="B15" s="183">
        <v>128.2</v>
      </c>
      <c r="C15" s="206">
        <f t="shared" si="2"/>
        <v>1108.9299999999998</v>
      </c>
      <c r="D15" s="202">
        <f>C15*0.125</f>
        <v>138.61624999999998</v>
      </c>
      <c r="E15" s="186">
        <v>52.1</v>
      </c>
      <c r="F15" s="186">
        <v>0</v>
      </c>
      <c r="G15" s="186">
        <v>70.34</v>
      </c>
      <c r="H15" s="186">
        <v>0</v>
      </c>
      <c r="I15" s="186">
        <v>169.33</v>
      </c>
      <c r="J15" s="186">
        <v>0</v>
      </c>
      <c r="K15" s="186">
        <v>117.23</v>
      </c>
      <c r="L15" s="186">
        <v>0</v>
      </c>
      <c r="M15" s="186">
        <v>41.68</v>
      </c>
      <c r="N15" s="187">
        <v>0</v>
      </c>
      <c r="O15" s="145">
        <f t="shared" si="3"/>
        <v>450.68</v>
      </c>
      <c r="P15" s="188">
        <f t="shared" si="4"/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83">
        <f t="shared" si="5"/>
        <v>0</v>
      </c>
      <c r="W15" s="192">
        <f>D15+P15+V15</f>
        <v>138.61624999999998</v>
      </c>
      <c r="X15" s="192"/>
      <c r="Y15" s="145">
        <f>0.6*B15*0.9</f>
        <v>69.228</v>
      </c>
      <c r="Z15" s="145">
        <f>B15*0.2*0.9152</f>
        <v>23.465728000000002</v>
      </c>
      <c r="AA15" s="145">
        <f>0.85*B15*0.8853</f>
        <v>96.47114099999999</v>
      </c>
      <c r="AB15" s="145">
        <f t="shared" si="6"/>
        <v>17.364805379999996</v>
      </c>
      <c r="AC15" s="145">
        <f>0.83*B15*0.9</f>
        <v>95.7654</v>
      </c>
      <c r="AD15" s="145">
        <f t="shared" si="7"/>
        <v>17.237772</v>
      </c>
      <c r="AE15" s="145">
        <f>(1.91)*B15*0.9+0.01</f>
        <v>220.38579999999996</v>
      </c>
      <c r="AF15" s="145">
        <f t="shared" si="8"/>
        <v>39.66944399999999</v>
      </c>
      <c r="AG15" s="145">
        <v>0</v>
      </c>
      <c r="AH15" s="145">
        <f t="shared" si="9"/>
        <v>0</v>
      </c>
      <c r="AI15" s="203"/>
      <c r="AJ15" s="203"/>
      <c r="AK15" s="204"/>
      <c r="AL15" s="204"/>
      <c r="AM15" s="204">
        <f>(AK15+AL15)*0.18</f>
        <v>0</v>
      </c>
      <c r="AN15" s="145">
        <v>407</v>
      </c>
      <c r="AO15" s="145">
        <v>0</v>
      </c>
      <c r="AP15" s="145">
        <f t="shared" si="10"/>
        <v>0</v>
      </c>
      <c r="AQ15" s="194"/>
      <c r="AR15" s="194">
        <f>AQ15*0.18</f>
        <v>0</v>
      </c>
      <c r="AS15" s="194">
        <f t="shared" si="11"/>
        <v>579.5880903799999</v>
      </c>
      <c r="AT15" s="205"/>
      <c r="AU15" s="145">
        <f>AS15-(X15-AT15)</f>
        <v>579.5880903799999</v>
      </c>
      <c r="AV15" s="195">
        <f t="shared" si="12"/>
        <v>-440.97184037999995</v>
      </c>
      <c r="AW15" s="196">
        <f>V15-O15</f>
        <v>-450.68</v>
      </c>
    </row>
    <row r="16" spans="1:49" ht="13.5" thickBot="1">
      <c r="A16" s="147" t="s">
        <v>39</v>
      </c>
      <c r="B16" s="207">
        <v>128.2</v>
      </c>
      <c r="C16" s="208">
        <f t="shared" si="2"/>
        <v>1108.9299999999998</v>
      </c>
      <c r="D16" s="209">
        <f>C16*0.125</f>
        <v>138.61624999999998</v>
      </c>
      <c r="E16" s="210">
        <v>-260.5</v>
      </c>
      <c r="F16" s="210">
        <v>0</v>
      </c>
      <c r="G16" s="210">
        <v>-351.7</v>
      </c>
      <c r="H16" s="210">
        <v>0</v>
      </c>
      <c r="I16" s="210">
        <v>-846.65</v>
      </c>
      <c r="J16" s="210">
        <v>0</v>
      </c>
      <c r="K16" s="210">
        <v>-586.15</v>
      </c>
      <c r="L16" s="210">
        <v>0</v>
      </c>
      <c r="M16" s="210">
        <v>-208.4</v>
      </c>
      <c r="N16" s="211">
        <v>0</v>
      </c>
      <c r="O16" s="148">
        <f t="shared" si="3"/>
        <v>-2253.4</v>
      </c>
      <c r="P16" s="212">
        <f t="shared" si="4"/>
        <v>0</v>
      </c>
      <c r="Q16" s="213">
        <v>8.01</v>
      </c>
      <c r="R16" s="213">
        <v>10.82</v>
      </c>
      <c r="S16" s="213">
        <v>26.05</v>
      </c>
      <c r="T16" s="213">
        <v>18.03</v>
      </c>
      <c r="U16" s="213">
        <v>6.41</v>
      </c>
      <c r="V16" s="207">
        <f t="shared" si="5"/>
        <v>69.32</v>
      </c>
      <c r="W16" s="214">
        <f aca="true" t="shared" si="13" ref="W16:W25">D16+P16+V16</f>
        <v>207.93624999999997</v>
      </c>
      <c r="X16" s="214"/>
      <c r="Y16" s="148">
        <f>0.6*B16*0.9</f>
        <v>69.228</v>
      </c>
      <c r="Z16" s="148">
        <f>B16*0.2*0.9081</f>
        <v>23.283684</v>
      </c>
      <c r="AA16" s="148">
        <f>0.85*B16*0.8909</f>
        <v>97.08137299999999</v>
      </c>
      <c r="AB16" s="148">
        <f t="shared" si="6"/>
        <v>17.47464714</v>
      </c>
      <c r="AC16" s="148">
        <f>(0.83*B16)*0.8927</f>
        <v>94.9886362</v>
      </c>
      <c r="AD16" s="148">
        <f t="shared" si="7"/>
        <v>17.097954516</v>
      </c>
      <c r="AE16" s="148">
        <f>1.91*B16*0.8927</f>
        <v>218.5883074</v>
      </c>
      <c r="AF16" s="148">
        <f t="shared" si="8"/>
        <v>39.345895332</v>
      </c>
      <c r="AG16" s="148">
        <v>0</v>
      </c>
      <c r="AH16" s="148">
        <f t="shared" si="9"/>
        <v>0</v>
      </c>
      <c r="AI16" s="215">
        <v>2241.92</v>
      </c>
      <c r="AJ16" s="215">
        <f t="shared" si="9"/>
        <v>403.5456</v>
      </c>
      <c r="AK16" s="216"/>
      <c r="AL16" s="216"/>
      <c r="AM16" s="217">
        <f>(AK16+AL16)*0.18</f>
        <v>0</v>
      </c>
      <c r="AN16" s="148">
        <v>383</v>
      </c>
      <c r="AO16" s="148">
        <v>0</v>
      </c>
      <c r="AP16" s="148">
        <f t="shared" si="10"/>
        <v>0</v>
      </c>
      <c r="AQ16" s="218"/>
      <c r="AR16" s="218">
        <f>AQ16*0.18</f>
        <v>0</v>
      </c>
      <c r="AS16" s="148">
        <f t="shared" si="11"/>
        <v>3222.554097588</v>
      </c>
      <c r="AT16" s="219"/>
      <c r="AU16" s="148">
        <f>AS16-(X16-AT16)</f>
        <v>3222.554097588</v>
      </c>
      <c r="AV16" s="220">
        <f t="shared" si="12"/>
        <v>-3014.6178475879997</v>
      </c>
      <c r="AW16" s="221">
        <f>V16-O16</f>
        <v>2322.7200000000003</v>
      </c>
    </row>
    <row r="17" spans="1:49" ht="12.75">
      <c r="A17" s="146" t="s">
        <v>40</v>
      </c>
      <c r="B17" s="183">
        <v>128.2</v>
      </c>
      <c r="C17" s="184">
        <f t="shared" si="2"/>
        <v>1108.9299999999998</v>
      </c>
      <c r="D17" s="202">
        <f>C17*0.1</f>
        <v>110.89299999999999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7">
        <v>0</v>
      </c>
      <c r="O17" s="222">
        <f t="shared" si="3"/>
        <v>0</v>
      </c>
      <c r="P17" s="188">
        <f t="shared" si="4"/>
        <v>0</v>
      </c>
      <c r="Q17" s="189">
        <v>0</v>
      </c>
      <c r="R17" s="190">
        <v>0</v>
      </c>
      <c r="S17" s="190">
        <v>0</v>
      </c>
      <c r="T17" s="190">
        <v>0</v>
      </c>
      <c r="U17" s="190">
        <v>0</v>
      </c>
      <c r="V17" s="183">
        <f t="shared" si="5"/>
        <v>0</v>
      </c>
      <c r="W17" s="191">
        <f t="shared" si="13"/>
        <v>110.89299999999999</v>
      </c>
      <c r="X17" s="192"/>
      <c r="Y17" s="145">
        <f>0.6*B17*0.9</f>
        <v>69.228</v>
      </c>
      <c r="Z17" s="145">
        <f>B17*0.2*0.9234</f>
        <v>23.675976000000002</v>
      </c>
      <c r="AA17" s="145">
        <f>0.85*B17*0.8909</f>
        <v>97.08137299999999</v>
      </c>
      <c r="AB17" s="145">
        <f t="shared" si="6"/>
        <v>17.47464714</v>
      </c>
      <c r="AC17" s="145">
        <f>(0.83*B17)*0.8927</f>
        <v>94.9886362</v>
      </c>
      <c r="AD17" s="145">
        <f t="shared" si="7"/>
        <v>17.097954516</v>
      </c>
      <c r="AE17" s="145">
        <f>1.91*B17*0.8927</f>
        <v>218.5883074</v>
      </c>
      <c r="AF17" s="145">
        <f t="shared" si="8"/>
        <v>39.345895332</v>
      </c>
      <c r="AG17" s="145">
        <v>0</v>
      </c>
      <c r="AH17" s="145">
        <f t="shared" si="9"/>
        <v>0</v>
      </c>
      <c r="AI17" s="203"/>
      <c r="AJ17" s="203">
        <f t="shared" si="9"/>
        <v>0</v>
      </c>
      <c r="AK17" s="193"/>
      <c r="AL17" s="193"/>
      <c r="AM17" s="204">
        <f>(AK17+AL17)*0.18</f>
        <v>0</v>
      </c>
      <c r="AN17" s="145">
        <v>307</v>
      </c>
      <c r="AO17" s="145">
        <v>0</v>
      </c>
      <c r="AP17" s="145">
        <f t="shared" si="10"/>
        <v>0</v>
      </c>
      <c r="AQ17" s="194"/>
      <c r="AR17" s="194">
        <f>AQ17*0.18</f>
        <v>0</v>
      </c>
      <c r="AS17" s="227">
        <f t="shared" si="11"/>
        <v>577.4807895880001</v>
      </c>
      <c r="AT17" s="205"/>
      <c r="AU17" s="145">
        <f>AS17-(X17-AT17)</f>
        <v>577.4807895880001</v>
      </c>
      <c r="AV17" s="195">
        <f t="shared" si="12"/>
        <v>-466.58778958800013</v>
      </c>
      <c r="AW17" s="196">
        <f>V17-O17</f>
        <v>0</v>
      </c>
    </row>
    <row r="18" spans="1:49" ht="12.75">
      <c r="A18" s="13" t="s">
        <v>41</v>
      </c>
      <c r="B18" s="183">
        <v>128.2</v>
      </c>
      <c r="C18" s="184">
        <f t="shared" si="2"/>
        <v>1108.9299999999998</v>
      </c>
      <c r="D18" s="202">
        <f>C18-E18-F18-G18-H18-I18-J18-K18-L18-M18-N18</f>
        <v>1108.9299999999998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99">
        <v>0</v>
      </c>
      <c r="O18" s="223">
        <f t="shared" si="3"/>
        <v>0</v>
      </c>
      <c r="P18" s="224">
        <f t="shared" si="4"/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83">
        <f t="shared" si="5"/>
        <v>0</v>
      </c>
      <c r="W18" s="192">
        <f t="shared" si="13"/>
        <v>1108.9299999999998</v>
      </c>
      <c r="X18" s="192"/>
      <c r="Y18" s="145">
        <f>0.6*B18</f>
        <v>76.91999999999999</v>
      </c>
      <c r="Z18" s="145">
        <f>B18*0.2*1.011</f>
        <v>25.92204</v>
      </c>
      <c r="AA18" s="145">
        <f>0.85*B18*0.9899</f>
        <v>107.86940299999999</v>
      </c>
      <c r="AB18" s="145">
        <f t="shared" si="6"/>
        <v>19.416492539999997</v>
      </c>
      <c r="AC18" s="145">
        <f>(0.83*B18)*0.992</f>
        <v>105.554752</v>
      </c>
      <c r="AD18" s="145">
        <f t="shared" si="7"/>
        <v>18.999855359999998</v>
      </c>
      <c r="AE18" s="145">
        <f>1.91*B18*0.992</f>
        <v>242.90310399999996</v>
      </c>
      <c r="AF18" s="145">
        <f t="shared" si="8"/>
        <v>43.72255871999999</v>
      </c>
      <c r="AG18" s="145">
        <v>0</v>
      </c>
      <c r="AH18" s="145">
        <f t="shared" si="9"/>
        <v>0</v>
      </c>
      <c r="AI18" s="203"/>
      <c r="AJ18" s="203">
        <f t="shared" si="9"/>
        <v>0</v>
      </c>
      <c r="AK18" s="193"/>
      <c r="AL18" s="193"/>
      <c r="AM18" s="204">
        <f>(AK18+AL18)*0.18</f>
        <v>0</v>
      </c>
      <c r="AN18" s="145">
        <v>263</v>
      </c>
      <c r="AO18" s="145">
        <v>0</v>
      </c>
      <c r="AP18" s="145">
        <f t="shared" si="10"/>
        <v>0</v>
      </c>
      <c r="AQ18" s="194"/>
      <c r="AR18" s="194">
        <f aca="true" t="shared" si="14" ref="AR18:AR25">AQ18*0.18</f>
        <v>0</v>
      </c>
      <c r="AS18" s="145">
        <f t="shared" si="11"/>
        <v>641.3082056199999</v>
      </c>
      <c r="AT18" s="205"/>
      <c r="AU18" s="145">
        <f aca="true" t="shared" si="15" ref="AU18:AU25">AS18-(X18-AT18)</f>
        <v>641.3082056199999</v>
      </c>
      <c r="AV18" s="195">
        <f t="shared" si="12"/>
        <v>467.62179438</v>
      </c>
      <c r="AW18" s="196">
        <f aca="true" t="shared" si="16" ref="AW18:AW25">V18-O18</f>
        <v>0</v>
      </c>
    </row>
    <row r="19" spans="1:49" ht="13.5" thickBot="1">
      <c r="A19" s="147" t="s">
        <v>42</v>
      </c>
      <c r="B19" s="207">
        <v>128.2</v>
      </c>
      <c r="C19" s="228">
        <f t="shared" si="2"/>
        <v>1108.9299999999998</v>
      </c>
      <c r="D19" s="209">
        <f>C19-E19-F19-G19-H19-I19-J19-K19-L19-M19-N19</f>
        <v>1108.9299999999998</v>
      </c>
      <c r="E19" s="229">
        <v>0</v>
      </c>
      <c r="F19" s="229">
        <v>0</v>
      </c>
      <c r="G19" s="229">
        <v>0</v>
      </c>
      <c r="H19" s="229">
        <v>0</v>
      </c>
      <c r="I19" s="229">
        <v>0</v>
      </c>
      <c r="J19" s="229">
        <v>0</v>
      </c>
      <c r="K19" s="229">
        <v>0</v>
      </c>
      <c r="L19" s="229">
        <v>0</v>
      </c>
      <c r="M19" s="229">
        <v>0</v>
      </c>
      <c r="N19" s="230">
        <v>0</v>
      </c>
      <c r="O19" s="231">
        <f t="shared" si="3"/>
        <v>0</v>
      </c>
      <c r="P19" s="212">
        <f t="shared" si="4"/>
        <v>0</v>
      </c>
      <c r="Q19" s="213">
        <v>0</v>
      </c>
      <c r="R19" s="213">
        <v>0</v>
      </c>
      <c r="S19" s="213">
        <v>0</v>
      </c>
      <c r="T19" s="213">
        <v>0</v>
      </c>
      <c r="U19" s="213">
        <v>0</v>
      </c>
      <c r="V19" s="207">
        <f t="shared" si="5"/>
        <v>0</v>
      </c>
      <c r="W19" s="214">
        <f t="shared" si="13"/>
        <v>1108.9299999999998</v>
      </c>
      <c r="X19" s="214"/>
      <c r="Y19" s="148">
        <f>0.6*B19</f>
        <v>76.91999999999999</v>
      </c>
      <c r="Z19" s="148">
        <f>B19*0.2*1.01045</f>
        <v>25.907938</v>
      </c>
      <c r="AA19" s="148">
        <f>0.85*B19*0.98824</f>
        <v>107.68851279999998</v>
      </c>
      <c r="AB19" s="148">
        <f t="shared" si="6"/>
        <v>19.383932303999995</v>
      </c>
      <c r="AC19" s="148">
        <f>(0.83*B19)*0.99023</f>
        <v>105.36641338</v>
      </c>
      <c r="AD19" s="148">
        <f t="shared" si="7"/>
        <v>18.9659544084</v>
      </c>
      <c r="AE19" s="148">
        <f>(1.91)*B19*0.99023</f>
        <v>242.46969825999997</v>
      </c>
      <c r="AF19" s="148">
        <f t="shared" si="8"/>
        <v>43.644545686799994</v>
      </c>
      <c r="AG19" s="148">
        <v>0</v>
      </c>
      <c r="AH19" s="148">
        <f t="shared" si="9"/>
        <v>0</v>
      </c>
      <c r="AI19" s="215"/>
      <c r="AJ19" s="215">
        <f t="shared" si="9"/>
        <v>0</v>
      </c>
      <c r="AK19" s="216"/>
      <c r="AL19" s="216"/>
      <c r="AM19" s="217">
        <f>(AK19+AL19)*0.18</f>
        <v>0</v>
      </c>
      <c r="AN19" s="148">
        <v>233</v>
      </c>
      <c r="AO19" s="148">
        <v>0</v>
      </c>
      <c r="AP19" s="148">
        <f t="shared" si="10"/>
        <v>0</v>
      </c>
      <c r="AQ19" s="218"/>
      <c r="AR19" s="218">
        <f t="shared" si="14"/>
        <v>0</v>
      </c>
      <c r="AS19" s="148">
        <f t="shared" si="11"/>
        <v>640.3469948392</v>
      </c>
      <c r="AT19" s="219"/>
      <c r="AU19" s="148">
        <f t="shared" si="15"/>
        <v>640.3469948392</v>
      </c>
      <c r="AV19" s="220">
        <f t="shared" si="12"/>
        <v>468.58300516079987</v>
      </c>
      <c r="AW19" s="221">
        <f t="shared" si="16"/>
        <v>0</v>
      </c>
    </row>
    <row r="20" spans="1:49" ht="12.75">
      <c r="A20" s="146" t="s">
        <v>43</v>
      </c>
      <c r="B20" s="232">
        <v>128.2</v>
      </c>
      <c r="C20" s="184">
        <f t="shared" si="2"/>
        <v>1108.9299999999998</v>
      </c>
      <c r="D20" s="233">
        <f>C20*0.1</f>
        <v>110.89299999999999</v>
      </c>
      <c r="E20" s="234">
        <v>0</v>
      </c>
      <c r="F20" s="234">
        <v>0</v>
      </c>
      <c r="G20" s="234">
        <v>0</v>
      </c>
      <c r="H20" s="234">
        <v>0</v>
      </c>
      <c r="I20" s="234">
        <v>0</v>
      </c>
      <c r="J20" s="234">
        <v>0</v>
      </c>
      <c r="K20" s="234">
        <v>0</v>
      </c>
      <c r="L20" s="234">
        <v>0</v>
      </c>
      <c r="M20" s="234">
        <v>0</v>
      </c>
      <c r="N20" s="232">
        <v>0</v>
      </c>
      <c r="O20" s="235">
        <f t="shared" si="3"/>
        <v>0</v>
      </c>
      <c r="P20" s="236">
        <f t="shared" si="4"/>
        <v>0</v>
      </c>
      <c r="Q20" s="234">
        <v>0</v>
      </c>
      <c r="R20" s="234">
        <v>0</v>
      </c>
      <c r="S20" s="234">
        <v>0</v>
      </c>
      <c r="T20" s="234">
        <v>0</v>
      </c>
      <c r="U20" s="234">
        <v>0</v>
      </c>
      <c r="V20" s="232">
        <f t="shared" si="5"/>
        <v>0</v>
      </c>
      <c r="W20" s="237">
        <f t="shared" si="13"/>
        <v>110.89299999999999</v>
      </c>
      <c r="X20" s="237"/>
      <c r="Y20" s="145">
        <f>0.6*B20</f>
        <v>76.91999999999999</v>
      </c>
      <c r="Z20" s="145">
        <f>B20*0.2*0.9942</f>
        <v>25.491288</v>
      </c>
      <c r="AA20" s="145">
        <f>0.85*B20*0.9882+0.01</f>
        <v>107.69415399999998</v>
      </c>
      <c r="AB20" s="238">
        <f t="shared" si="6"/>
        <v>19.384947719999996</v>
      </c>
      <c r="AC20" s="145">
        <f>0.83*B20*0.9902</f>
        <v>105.36322119999998</v>
      </c>
      <c r="AD20" s="238">
        <f t="shared" si="7"/>
        <v>18.965379815999995</v>
      </c>
      <c r="AE20" s="145">
        <f>1.91*B20*0.9902-0.01</f>
        <v>242.45235239999997</v>
      </c>
      <c r="AF20" s="238">
        <f t="shared" si="8"/>
        <v>43.64142343199999</v>
      </c>
      <c r="AG20" s="238">
        <v>0</v>
      </c>
      <c r="AH20" s="238">
        <f t="shared" si="9"/>
        <v>0</v>
      </c>
      <c r="AI20" s="203"/>
      <c r="AJ20" s="203">
        <f t="shared" si="9"/>
        <v>0</v>
      </c>
      <c r="AK20" s="239"/>
      <c r="AL20" s="239"/>
      <c r="AM20" s="239">
        <f>AK20*0.18</f>
        <v>0</v>
      </c>
      <c r="AN20" s="238">
        <v>248</v>
      </c>
      <c r="AO20" s="238">
        <v>0</v>
      </c>
      <c r="AP20" s="238">
        <f t="shared" si="10"/>
        <v>0</v>
      </c>
      <c r="AQ20" s="240"/>
      <c r="AR20" s="240">
        <f t="shared" si="14"/>
        <v>0</v>
      </c>
      <c r="AS20" s="240">
        <f aca="true" t="shared" si="17" ref="AS20:AS25">SUM(Y20:AM20)+AP20</f>
        <v>639.9127665679999</v>
      </c>
      <c r="AT20" s="241"/>
      <c r="AU20" s="238">
        <f t="shared" si="15"/>
        <v>639.9127665679999</v>
      </c>
      <c r="AV20" s="242">
        <f t="shared" si="12"/>
        <v>-529.0197665679999</v>
      </c>
      <c r="AW20" s="243">
        <f t="shared" si="16"/>
        <v>0</v>
      </c>
    </row>
    <row r="21" spans="1:49" ht="12.75">
      <c r="A21" s="13" t="s">
        <v>44</v>
      </c>
      <c r="B21" s="183">
        <v>128.2</v>
      </c>
      <c r="C21" s="184">
        <f t="shared" si="2"/>
        <v>1108.9299999999998</v>
      </c>
      <c r="D21" s="202">
        <f>C21*0.1</f>
        <v>110.89299999999999</v>
      </c>
      <c r="E21" s="225">
        <v>0</v>
      </c>
      <c r="F21" s="225">
        <v>0</v>
      </c>
      <c r="G21" s="225">
        <v>0</v>
      </c>
      <c r="H21" s="225">
        <v>0</v>
      </c>
      <c r="I21" s="225">
        <v>0</v>
      </c>
      <c r="J21" s="225">
        <v>0</v>
      </c>
      <c r="K21" s="225">
        <v>0</v>
      </c>
      <c r="L21" s="225">
        <v>0</v>
      </c>
      <c r="M21" s="225">
        <v>0</v>
      </c>
      <c r="N21" s="226">
        <v>0</v>
      </c>
      <c r="O21" s="222">
        <f t="shared" si="3"/>
        <v>0</v>
      </c>
      <c r="P21" s="188">
        <f t="shared" si="4"/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83">
        <f t="shared" si="5"/>
        <v>0</v>
      </c>
      <c r="W21" s="192">
        <f t="shared" si="13"/>
        <v>110.89299999999999</v>
      </c>
      <c r="X21" s="192"/>
      <c r="Y21" s="145">
        <f>0.6*B21</f>
        <v>76.91999999999999</v>
      </c>
      <c r="Z21" s="145">
        <f>B21*0.2*0.99875</f>
        <v>25.607950000000002</v>
      </c>
      <c r="AA21" s="145">
        <f>0.85*B21*0.9883</f>
        <v>107.69505099999998</v>
      </c>
      <c r="AB21" s="145">
        <f t="shared" si="6"/>
        <v>19.385109179999997</v>
      </c>
      <c r="AC21" s="145">
        <f>0.83*B21*0.9902</f>
        <v>105.36322119999998</v>
      </c>
      <c r="AD21" s="145">
        <f t="shared" si="7"/>
        <v>18.965379815999995</v>
      </c>
      <c r="AE21" s="145">
        <f>1.91*B21*0.9902</f>
        <v>242.46235239999996</v>
      </c>
      <c r="AF21" s="145">
        <f t="shared" si="8"/>
        <v>43.64322343199999</v>
      </c>
      <c r="AG21" s="145">
        <v>0</v>
      </c>
      <c r="AH21" s="145">
        <f t="shared" si="9"/>
        <v>0</v>
      </c>
      <c r="AI21" s="203"/>
      <c r="AJ21" s="203">
        <f t="shared" si="9"/>
        <v>0</v>
      </c>
      <c r="AK21" s="193"/>
      <c r="AL21" s="193"/>
      <c r="AM21" s="204">
        <f>(AK21+AL21)*0.18</f>
        <v>0</v>
      </c>
      <c r="AN21" s="149">
        <v>293</v>
      </c>
      <c r="AO21" s="145">
        <v>0</v>
      </c>
      <c r="AP21" s="145">
        <f t="shared" si="10"/>
        <v>0</v>
      </c>
      <c r="AQ21" s="194"/>
      <c r="AR21" s="194">
        <f t="shared" si="14"/>
        <v>0</v>
      </c>
      <c r="AS21" s="194">
        <f t="shared" si="17"/>
        <v>640.0422870279999</v>
      </c>
      <c r="AT21" s="205"/>
      <c r="AU21" s="145">
        <f t="shared" si="15"/>
        <v>640.0422870279999</v>
      </c>
      <c r="AV21" s="195">
        <f t="shared" si="12"/>
        <v>-529.1492870279999</v>
      </c>
      <c r="AW21" s="196">
        <f t="shared" si="16"/>
        <v>0</v>
      </c>
    </row>
    <row r="22" spans="1:49" ht="13.5" thickBot="1">
      <c r="A22" s="147" t="s">
        <v>45</v>
      </c>
      <c r="B22" s="207">
        <v>128.2</v>
      </c>
      <c r="C22" s="228">
        <f t="shared" si="2"/>
        <v>1108.9299999999998</v>
      </c>
      <c r="D22" s="209">
        <f>C22*0.1</f>
        <v>110.89299999999999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  <c r="J22" s="210">
        <v>0</v>
      </c>
      <c r="K22" s="210">
        <v>0</v>
      </c>
      <c r="L22" s="210">
        <v>0</v>
      </c>
      <c r="M22" s="210">
        <v>0</v>
      </c>
      <c r="N22" s="211">
        <v>0</v>
      </c>
      <c r="O22" s="231">
        <f t="shared" si="3"/>
        <v>0</v>
      </c>
      <c r="P22" s="212">
        <f t="shared" si="4"/>
        <v>0</v>
      </c>
      <c r="Q22" s="213">
        <v>0</v>
      </c>
      <c r="R22" s="213">
        <v>0</v>
      </c>
      <c r="S22" s="213">
        <v>0</v>
      </c>
      <c r="T22" s="213">
        <v>0</v>
      </c>
      <c r="U22" s="213">
        <v>0</v>
      </c>
      <c r="V22" s="207">
        <v>0</v>
      </c>
      <c r="W22" s="214">
        <f t="shared" si="13"/>
        <v>110.89299999999999</v>
      </c>
      <c r="X22" s="214"/>
      <c r="Y22" s="148">
        <f>0.6*B22</f>
        <v>76.91999999999999</v>
      </c>
      <c r="Z22" s="148">
        <f>B22*0.2*0.9997</f>
        <v>25.632308000000002</v>
      </c>
      <c r="AA22" s="148">
        <f>0.85*B22*0.9882</f>
        <v>107.68415399999998</v>
      </c>
      <c r="AB22" s="148">
        <f t="shared" si="6"/>
        <v>19.383147719999997</v>
      </c>
      <c r="AC22" s="148">
        <f>(0.83*B22)*0.9902</f>
        <v>105.36322119999998</v>
      </c>
      <c r="AD22" s="148">
        <f t="shared" si="7"/>
        <v>18.965379815999995</v>
      </c>
      <c r="AE22" s="148">
        <f>1.91*B22*0.9902</f>
        <v>242.46235239999996</v>
      </c>
      <c r="AF22" s="148">
        <f t="shared" si="8"/>
        <v>43.64322343199999</v>
      </c>
      <c r="AG22" s="148">
        <v>0</v>
      </c>
      <c r="AH22" s="148">
        <f t="shared" si="9"/>
        <v>0</v>
      </c>
      <c r="AI22" s="215"/>
      <c r="AJ22" s="215">
        <f t="shared" si="9"/>
        <v>0</v>
      </c>
      <c r="AK22" s="216"/>
      <c r="AL22" s="216"/>
      <c r="AM22" s="217">
        <f>(AK22+AL22)*0.18</f>
        <v>0</v>
      </c>
      <c r="AN22" s="244">
        <v>349</v>
      </c>
      <c r="AO22" s="148">
        <v>0</v>
      </c>
      <c r="AP22" s="148">
        <f t="shared" si="10"/>
        <v>0</v>
      </c>
      <c r="AQ22" s="218"/>
      <c r="AR22" s="218">
        <f t="shared" si="14"/>
        <v>0</v>
      </c>
      <c r="AS22" s="218">
        <f t="shared" si="17"/>
        <v>640.053786568</v>
      </c>
      <c r="AT22" s="219"/>
      <c r="AU22" s="148">
        <f t="shared" si="15"/>
        <v>640.053786568</v>
      </c>
      <c r="AV22" s="220">
        <f t="shared" si="12"/>
        <v>-529.1607865679999</v>
      </c>
      <c r="AW22" s="221">
        <f t="shared" si="16"/>
        <v>0</v>
      </c>
    </row>
    <row r="23" spans="1:49" ht="12.75">
      <c r="A23" s="146" t="s">
        <v>33</v>
      </c>
      <c r="B23" s="245">
        <v>128.2</v>
      </c>
      <c r="C23" s="121">
        <v>0</v>
      </c>
      <c r="D23" s="246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197">
        <v>0</v>
      </c>
      <c r="O23" s="56">
        <f t="shared" si="3"/>
        <v>0</v>
      </c>
      <c r="P23" s="163">
        <f t="shared" si="4"/>
        <v>0</v>
      </c>
      <c r="Q23" s="164">
        <v>0</v>
      </c>
      <c r="R23" s="164">
        <v>0</v>
      </c>
      <c r="S23" s="164">
        <v>0</v>
      </c>
      <c r="T23" s="164">
        <v>0</v>
      </c>
      <c r="U23" s="164">
        <v>0</v>
      </c>
      <c r="V23" s="197">
        <f>SUM(Q23:U23)</f>
        <v>0</v>
      </c>
      <c r="W23" s="133">
        <f t="shared" si="13"/>
        <v>0</v>
      </c>
      <c r="X23" s="96"/>
      <c r="Y23" s="40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f t="shared" si="9"/>
        <v>0</v>
      </c>
      <c r="AI23" s="142">
        <v>2334.72</v>
      </c>
      <c r="AJ23" s="142">
        <f t="shared" si="9"/>
        <v>420.24959999999993</v>
      </c>
      <c r="AK23" s="24"/>
      <c r="AL23" s="24"/>
      <c r="AM23" s="24">
        <f>(AK23+AL23)*0.18</f>
        <v>0</v>
      </c>
      <c r="AN23" s="129">
        <v>425</v>
      </c>
      <c r="AO23" s="130">
        <v>0</v>
      </c>
      <c r="AP23" s="15">
        <f t="shared" si="10"/>
        <v>0</v>
      </c>
      <c r="AQ23" s="78"/>
      <c r="AR23" s="78">
        <f t="shared" si="14"/>
        <v>0</v>
      </c>
      <c r="AS23" s="17">
        <f t="shared" si="17"/>
        <v>2754.9696</v>
      </c>
      <c r="AT23" s="247"/>
      <c r="AU23" s="54">
        <f t="shared" si="15"/>
        <v>2754.9696</v>
      </c>
      <c r="AV23" s="248">
        <f>(W23-AS23)+(X23-AT23)</f>
        <v>-2754.9696</v>
      </c>
      <c r="AW23" s="182">
        <f t="shared" si="16"/>
        <v>0</v>
      </c>
    </row>
    <row r="24" spans="1:49" ht="12.75">
      <c r="A24" s="13" t="s">
        <v>34</v>
      </c>
      <c r="B24" s="245">
        <v>128.2</v>
      </c>
      <c r="C24" s="121">
        <v>0</v>
      </c>
      <c r="D24" s="246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56">
        <f t="shared" si="3"/>
        <v>0</v>
      </c>
      <c r="P24" s="163">
        <f t="shared" si="4"/>
        <v>0</v>
      </c>
      <c r="Q24" s="186">
        <v>0</v>
      </c>
      <c r="R24" s="186">
        <v>0</v>
      </c>
      <c r="S24" s="186">
        <v>0</v>
      </c>
      <c r="T24" s="186">
        <v>0</v>
      </c>
      <c r="U24" s="186">
        <v>0</v>
      </c>
      <c r="V24" s="197">
        <f>SUM(Q24:U24)</f>
        <v>0</v>
      </c>
      <c r="W24" s="133">
        <f t="shared" si="13"/>
        <v>0</v>
      </c>
      <c r="X24" s="133"/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f t="shared" si="9"/>
        <v>0</v>
      </c>
      <c r="AI24" s="142"/>
      <c r="AJ24" s="142">
        <f t="shared" si="9"/>
        <v>0</v>
      </c>
      <c r="AK24" s="24"/>
      <c r="AL24" s="24"/>
      <c r="AM24" s="24">
        <f>AK24*0.18</f>
        <v>0</v>
      </c>
      <c r="AN24" s="129">
        <v>470</v>
      </c>
      <c r="AO24" s="130">
        <v>0</v>
      </c>
      <c r="AP24" s="15">
        <f t="shared" si="10"/>
        <v>0</v>
      </c>
      <c r="AQ24" s="78"/>
      <c r="AR24" s="78">
        <f t="shared" si="14"/>
        <v>0</v>
      </c>
      <c r="AS24" s="78">
        <f t="shared" si="17"/>
        <v>0</v>
      </c>
      <c r="AT24" s="144"/>
      <c r="AU24" s="15">
        <f t="shared" si="15"/>
        <v>0</v>
      </c>
      <c r="AV24" s="249">
        <f>(W24-AS24)+(X24-AT24)</f>
        <v>0</v>
      </c>
      <c r="AW24" s="250">
        <f t="shared" si="16"/>
        <v>0</v>
      </c>
    </row>
    <row r="25" spans="1:49" s="131" customFormat="1" ht="12.75">
      <c r="A25" s="132" t="s">
        <v>35</v>
      </c>
      <c r="B25" s="251">
        <v>128.2</v>
      </c>
      <c r="C25" s="179">
        <v>0</v>
      </c>
      <c r="D25" s="252">
        <v>0</v>
      </c>
      <c r="E25" s="253">
        <v>0</v>
      </c>
      <c r="F25" s="253">
        <v>0</v>
      </c>
      <c r="G25" s="253">
        <v>0</v>
      </c>
      <c r="H25" s="253">
        <v>0</v>
      </c>
      <c r="I25" s="253">
        <v>93.1</v>
      </c>
      <c r="J25" s="253">
        <v>0</v>
      </c>
      <c r="K25" s="253">
        <v>64.5</v>
      </c>
      <c r="L25" s="253">
        <v>0</v>
      </c>
      <c r="M25" s="253">
        <v>22.88</v>
      </c>
      <c r="N25" s="253">
        <v>0</v>
      </c>
      <c r="O25" s="15">
        <f t="shared" si="3"/>
        <v>180.48</v>
      </c>
      <c r="P25" s="128">
        <f t="shared" si="4"/>
        <v>0</v>
      </c>
      <c r="Q25" s="180">
        <v>0</v>
      </c>
      <c r="R25" s="180">
        <v>0</v>
      </c>
      <c r="S25" s="180">
        <v>0</v>
      </c>
      <c r="T25" s="180">
        <v>0</v>
      </c>
      <c r="U25" s="180">
        <v>0</v>
      </c>
      <c r="V25" s="197">
        <f>SUM(Q25:U25)</f>
        <v>0</v>
      </c>
      <c r="W25" s="133">
        <f t="shared" si="13"/>
        <v>0</v>
      </c>
      <c r="X25" s="133"/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f t="shared" si="9"/>
        <v>0</v>
      </c>
      <c r="AI25" s="142"/>
      <c r="AJ25" s="142">
        <f t="shared" si="9"/>
        <v>0</v>
      </c>
      <c r="AK25" s="24"/>
      <c r="AL25" s="24"/>
      <c r="AM25" s="24">
        <f>AK25*0.18</f>
        <v>0</v>
      </c>
      <c r="AN25" s="129">
        <v>514</v>
      </c>
      <c r="AO25" s="130">
        <v>0</v>
      </c>
      <c r="AP25" s="15">
        <f t="shared" si="10"/>
        <v>0</v>
      </c>
      <c r="AQ25" s="78"/>
      <c r="AR25" s="78">
        <f t="shared" si="14"/>
        <v>0</v>
      </c>
      <c r="AS25" s="78">
        <f t="shared" si="17"/>
        <v>0</v>
      </c>
      <c r="AT25" s="144"/>
      <c r="AU25" s="15">
        <f t="shared" si="15"/>
        <v>0</v>
      </c>
      <c r="AV25" s="181">
        <f>(W25-AS25)+(X25-AT25)</f>
        <v>0</v>
      </c>
      <c r="AW25" s="250">
        <f t="shared" si="16"/>
        <v>-180.48</v>
      </c>
    </row>
    <row r="26" spans="1:49" s="23" customFormat="1" ht="12.75">
      <c r="A26" s="18" t="s">
        <v>3</v>
      </c>
      <c r="B26" s="19"/>
      <c r="C26" s="19">
        <f>SUM(C14:C25)</f>
        <v>9980.37</v>
      </c>
      <c r="D26" s="19">
        <f aca="true" t="shared" si="18" ref="D26:AW26">SUM(D14:D25)</f>
        <v>3077.28075</v>
      </c>
      <c r="E26" s="19">
        <f t="shared" si="18"/>
        <v>-156.3</v>
      </c>
      <c r="F26" s="19">
        <f t="shared" si="18"/>
        <v>0</v>
      </c>
      <c r="G26" s="19">
        <f t="shared" si="18"/>
        <v>-211.01999999999998</v>
      </c>
      <c r="H26" s="19">
        <f t="shared" si="18"/>
        <v>0</v>
      </c>
      <c r="I26" s="19">
        <f t="shared" si="18"/>
        <v>-414.89</v>
      </c>
      <c r="J26" s="19">
        <f t="shared" si="18"/>
        <v>0</v>
      </c>
      <c r="K26" s="19">
        <f t="shared" si="18"/>
        <v>-287.18999999999994</v>
      </c>
      <c r="L26" s="19">
        <f t="shared" si="18"/>
        <v>0</v>
      </c>
      <c r="M26" s="19">
        <f t="shared" si="18"/>
        <v>-102.16000000000001</v>
      </c>
      <c r="N26" s="19">
        <f t="shared" si="18"/>
        <v>0</v>
      </c>
      <c r="O26" s="19">
        <f t="shared" si="18"/>
        <v>-1171.56</v>
      </c>
      <c r="P26" s="19">
        <f t="shared" si="18"/>
        <v>0</v>
      </c>
      <c r="Q26" s="19">
        <f t="shared" si="18"/>
        <v>12.719999999999999</v>
      </c>
      <c r="R26" s="19">
        <f t="shared" si="18"/>
        <v>17.18</v>
      </c>
      <c r="S26" s="19">
        <f t="shared" si="18"/>
        <v>41.36</v>
      </c>
      <c r="T26" s="19">
        <f t="shared" si="18"/>
        <v>28.630000000000003</v>
      </c>
      <c r="U26" s="19">
        <f t="shared" si="18"/>
        <v>10.18</v>
      </c>
      <c r="V26" s="19">
        <f t="shared" si="18"/>
        <v>110.07</v>
      </c>
      <c r="W26" s="19">
        <f t="shared" si="18"/>
        <v>3187.3507499999996</v>
      </c>
      <c r="X26" s="19">
        <f t="shared" si="18"/>
        <v>0</v>
      </c>
      <c r="Y26" s="19">
        <f t="shared" si="18"/>
        <v>661.5119999999998</v>
      </c>
      <c r="Z26" s="19">
        <f t="shared" si="18"/>
        <v>221.849844</v>
      </c>
      <c r="AA26" s="19">
        <f t="shared" si="18"/>
        <v>925.7354057999999</v>
      </c>
      <c r="AB26" s="19">
        <f t="shared" si="18"/>
        <v>166.63237304399996</v>
      </c>
      <c r="AC26" s="19">
        <f t="shared" si="18"/>
        <v>907.13562338</v>
      </c>
      <c r="AD26" s="19">
        <f t="shared" si="18"/>
        <v>163.28441220839997</v>
      </c>
      <c r="AE26" s="19">
        <f t="shared" si="18"/>
        <v>2087.5048682599995</v>
      </c>
      <c r="AF26" s="19">
        <f t="shared" si="18"/>
        <v>375.7508762868</v>
      </c>
      <c r="AG26" s="19">
        <f t="shared" si="18"/>
        <v>0</v>
      </c>
      <c r="AH26" s="19">
        <f t="shared" si="18"/>
        <v>0</v>
      </c>
      <c r="AI26" s="154">
        <f t="shared" si="18"/>
        <v>4576.639999999999</v>
      </c>
      <c r="AJ26" s="154">
        <f t="shared" si="18"/>
        <v>823.7951999999999</v>
      </c>
      <c r="AK26" s="20">
        <f t="shared" si="18"/>
        <v>480</v>
      </c>
      <c r="AL26" s="20">
        <f t="shared" si="18"/>
        <v>0</v>
      </c>
      <c r="AM26" s="20">
        <f t="shared" si="18"/>
        <v>86.39999999999999</v>
      </c>
      <c r="AN26" s="19">
        <f t="shared" si="18"/>
        <v>4400</v>
      </c>
      <c r="AO26" s="19">
        <f t="shared" si="18"/>
        <v>0</v>
      </c>
      <c r="AP26" s="19">
        <f t="shared" si="18"/>
        <v>0</v>
      </c>
      <c r="AQ26" s="19">
        <f t="shared" si="18"/>
        <v>0</v>
      </c>
      <c r="AR26" s="19">
        <f t="shared" si="18"/>
        <v>0</v>
      </c>
      <c r="AS26" s="19">
        <f t="shared" si="18"/>
        <v>11476.2406029792</v>
      </c>
      <c r="AT26" s="19">
        <f t="shared" si="18"/>
        <v>0</v>
      </c>
      <c r="AU26" s="19">
        <f t="shared" si="18"/>
        <v>11476.2406029792</v>
      </c>
      <c r="AV26" s="19">
        <f t="shared" si="18"/>
        <v>-8288.889852979199</v>
      </c>
      <c r="AW26" s="150">
        <f t="shared" si="18"/>
        <v>1281.63</v>
      </c>
    </row>
    <row r="27" spans="1:49" s="23" customFormat="1" ht="12.75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21"/>
      <c r="S27" s="21"/>
      <c r="T27" s="21"/>
      <c r="U27" s="21"/>
      <c r="V27" s="21"/>
      <c r="W27" s="21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74"/>
      <c r="AI27" s="155"/>
      <c r="AJ27" s="155"/>
      <c r="AK27" s="74"/>
      <c r="AL27" s="74"/>
      <c r="AM27" s="74"/>
      <c r="AN27" s="22"/>
      <c r="AO27" s="22"/>
      <c r="AP27" s="79"/>
      <c r="AQ27" s="52"/>
      <c r="AR27" s="52"/>
      <c r="AS27" s="52"/>
      <c r="AT27" s="52"/>
      <c r="AU27" s="52"/>
      <c r="AV27" s="52"/>
      <c r="AW27" s="151"/>
    </row>
    <row r="28" spans="1:49" s="23" customFormat="1" ht="13.5" thickBot="1">
      <c r="A28" s="26" t="s">
        <v>46</v>
      </c>
      <c r="B28" s="27"/>
      <c r="C28" s="27">
        <f>C12+C26</f>
        <v>13307.16</v>
      </c>
      <c r="D28" s="27">
        <f aca="true" t="shared" si="19" ref="D28:AW28">D12+D26</f>
        <v>3877.0501922999997</v>
      </c>
      <c r="E28" s="27">
        <f t="shared" si="19"/>
        <v>0.009999999999990905</v>
      </c>
      <c r="F28" s="27">
        <f t="shared" si="19"/>
        <v>0</v>
      </c>
      <c r="G28" s="27">
        <f t="shared" si="19"/>
        <v>-0.01999999999998181</v>
      </c>
      <c r="H28" s="27">
        <f t="shared" si="19"/>
        <v>0</v>
      </c>
      <c r="I28" s="27">
        <f t="shared" si="19"/>
        <v>93.08000000000004</v>
      </c>
      <c r="J28" s="27">
        <f t="shared" si="19"/>
        <v>0</v>
      </c>
      <c r="K28" s="27">
        <f t="shared" si="19"/>
        <v>64.48000000000008</v>
      </c>
      <c r="L28" s="27">
        <f t="shared" si="19"/>
        <v>0</v>
      </c>
      <c r="M28" s="27">
        <f t="shared" si="19"/>
        <v>22.87999999999998</v>
      </c>
      <c r="N28" s="27">
        <f t="shared" si="19"/>
        <v>0</v>
      </c>
      <c r="O28" s="27">
        <f t="shared" si="19"/>
        <v>180.43000000000006</v>
      </c>
      <c r="P28" s="27">
        <f t="shared" si="19"/>
        <v>0</v>
      </c>
      <c r="Q28" s="27">
        <f t="shared" si="19"/>
        <v>16.849999999999998</v>
      </c>
      <c r="R28" s="27">
        <f t="shared" si="19"/>
        <v>22.75</v>
      </c>
      <c r="S28" s="27">
        <f t="shared" si="19"/>
        <v>54.76</v>
      </c>
      <c r="T28" s="27">
        <f t="shared" si="19"/>
        <v>37.910000000000004</v>
      </c>
      <c r="U28" s="27">
        <f t="shared" si="19"/>
        <v>13.48</v>
      </c>
      <c r="V28" s="27">
        <f t="shared" si="19"/>
        <v>145.75</v>
      </c>
      <c r="W28" s="27">
        <f t="shared" si="19"/>
        <v>4022.8001922999997</v>
      </c>
      <c r="X28" s="27">
        <f t="shared" si="19"/>
        <v>0</v>
      </c>
      <c r="Y28" s="27">
        <f t="shared" si="19"/>
        <v>892.2719999999998</v>
      </c>
      <c r="Z28" s="27">
        <f t="shared" si="19"/>
        <v>301.03898399999997</v>
      </c>
      <c r="AA28" s="27">
        <f t="shared" si="19"/>
        <v>1251.7223657999998</v>
      </c>
      <c r="AB28" s="27">
        <f>AB12+AB26</f>
        <v>225.31002584399994</v>
      </c>
      <c r="AC28" s="27">
        <f t="shared" si="19"/>
        <v>1209.70352018</v>
      </c>
      <c r="AD28" s="27">
        <f t="shared" si="19"/>
        <v>217.74663363239995</v>
      </c>
      <c r="AE28" s="27">
        <f t="shared" si="19"/>
        <v>2643.1824479599995</v>
      </c>
      <c r="AF28" s="27">
        <f t="shared" si="19"/>
        <v>475.7728406328</v>
      </c>
      <c r="AG28" s="27">
        <f t="shared" si="19"/>
        <v>0</v>
      </c>
      <c r="AH28" s="27">
        <f t="shared" si="19"/>
        <v>0</v>
      </c>
      <c r="AI28" s="157">
        <f t="shared" si="19"/>
        <v>4576.639999999999</v>
      </c>
      <c r="AJ28" s="157">
        <f t="shared" si="19"/>
        <v>823.7951999999999</v>
      </c>
      <c r="AK28" s="156">
        <f t="shared" si="19"/>
        <v>480</v>
      </c>
      <c r="AL28" s="156">
        <f t="shared" si="19"/>
        <v>0</v>
      </c>
      <c r="AM28" s="156">
        <f t="shared" si="19"/>
        <v>86.39999999999999</v>
      </c>
      <c r="AN28" s="27">
        <f t="shared" si="19"/>
        <v>4400</v>
      </c>
      <c r="AO28" s="27">
        <f t="shared" si="19"/>
        <v>0</v>
      </c>
      <c r="AP28" s="27">
        <f t="shared" si="19"/>
        <v>0</v>
      </c>
      <c r="AQ28" s="27">
        <f t="shared" si="19"/>
        <v>0</v>
      </c>
      <c r="AR28" s="27">
        <f t="shared" si="19"/>
        <v>0</v>
      </c>
      <c r="AS28" s="27">
        <f t="shared" si="19"/>
        <v>13183.5840180492</v>
      </c>
      <c r="AT28" s="27">
        <f t="shared" si="19"/>
        <v>0</v>
      </c>
      <c r="AU28" s="27">
        <f t="shared" si="19"/>
        <v>13183.5840180492</v>
      </c>
      <c r="AV28" s="27">
        <f t="shared" si="19"/>
        <v>-9160.783825749199</v>
      </c>
      <c r="AW28" s="27">
        <f t="shared" si="19"/>
        <v>-34.679999999999836</v>
      </c>
    </row>
    <row r="29" spans="1:49" ht="15" customHeight="1">
      <c r="A29" s="8" t="s">
        <v>87</v>
      </c>
      <c r="B29" s="134"/>
      <c r="C29" s="135"/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7"/>
      <c r="P29" s="137"/>
      <c r="Q29" s="138"/>
      <c r="R29" s="138"/>
      <c r="S29" s="138"/>
      <c r="T29" s="138"/>
      <c r="U29" s="138"/>
      <c r="V29" s="139"/>
      <c r="W29" s="97"/>
      <c r="X29" s="53"/>
      <c r="Y29" s="53"/>
      <c r="Z29" s="53"/>
      <c r="AA29" s="53"/>
      <c r="AB29" s="53"/>
      <c r="AC29" s="53"/>
      <c r="AD29" s="53"/>
      <c r="AE29" s="53"/>
      <c r="AF29" s="68"/>
      <c r="AG29" s="68"/>
      <c r="AH29" s="68"/>
      <c r="AI29" s="152"/>
      <c r="AJ29" s="153"/>
      <c r="AK29" s="95"/>
      <c r="AL29" s="95"/>
      <c r="AM29" s="140"/>
      <c r="AN29" s="53"/>
      <c r="AO29" s="53"/>
      <c r="AP29" s="54"/>
      <c r="AQ29" s="1"/>
      <c r="AR29" s="1"/>
      <c r="AS29" s="1"/>
      <c r="AT29" s="1"/>
      <c r="AU29" s="1"/>
      <c r="AV29" s="1"/>
      <c r="AW29" s="141"/>
    </row>
    <row r="30" spans="1:49" ht="12.75">
      <c r="A30" s="13" t="s">
        <v>37</v>
      </c>
      <c r="B30" s="256">
        <v>128.2</v>
      </c>
      <c r="C30" s="257">
        <v>0</v>
      </c>
      <c r="D30" s="258">
        <v>0</v>
      </c>
      <c r="E30" s="259">
        <v>0</v>
      </c>
      <c r="F30" s="259">
        <v>0</v>
      </c>
      <c r="G30" s="259">
        <v>0</v>
      </c>
      <c r="H30" s="259">
        <v>0</v>
      </c>
      <c r="I30" s="259">
        <v>93.1</v>
      </c>
      <c r="J30" s="259">
        <v>0</v>
      </c>
      <c r="K30" s="259">
        <v>64.5</v>
      </c>
      <c r="L30" s="259">
        <v>0</v>
      </c>
      <c r="M30" s="259">
        <v>22.88</v>
      </c>
      <c r="N30" s="260">
        <v>0</v>
      </c>
      <c r="O30" s="261">
        <f aca="true" t="shared" si="20" ref="O30:O41">E30+G30+I30+K30+M30</f>
        <v>180.48</v>
      </c>
      <c r="P30" s="262">
        <f aca="true" t="shared" si="21" ref="P30:P41">N30+L30+J30+H30+F30</f>
        <v>0</v>
      </c>
      <c r="Q30" s="263">
        <v>0</v>
      </c>
      <c r="R30" s="264">
        <v>0</v>
      </c>
      <c r="S30" s="264">
        <v>0</v>
      </c>
      <c r="T30" s="264">
        <v>0</v>
      </c>
      <c r="U30" s="264">
        <v>0</v>
      </c>
      <c r="V30" s="265">
        <f>SUM(Q30:U30)</f>
        <v>0</v>
      </c>
      <c r="W30" s="266">
        <f aca="true" t="shared" si="22" ref="W30:W41">D30+P30+V30</f>
        <v>0</v>
      </c>
      <c r="X30" s="267"/>
      <c r="Y30" s="268">
        <v>0</v>
      </c>
      <c r="Z30" s="268">
        <v>0</v>
      </c>
      <c r="AA30" s="268">
        <v>0</v>
      </c>
      <c r="AB30" s="268">
        <v>0</v>
      </c>
      <c r="AC30" s="268">
        <v>0</v>
      </c>
      <c r="AD30" s="268">
        <v>0</v>
      </c>
      <c r="AE30" s="268">
        <v>0</v>
      </c>
      <c r="AF30" s="268">
        <v>0</v>
      </c>
      <c r="AG30" s="268">
        <v>0</v>
      </c>
      <c r="AH30" s="268">
        <v>0</v>
      </c>
      <c r="AI30" s="269"/>
      <c r="AJ30" s="269"/>
      <c r="AK30" s="270"/>
      <c r="AL30" s="270"/>
      <c r="AM30" s="270"/>
      <c r="AN30" s="271">
        <v>508</v>
      </c>
      <c r="AO30" s="272">
        <v>0</v>
      </c>
      <c r="AP30" s="268">
        <f aca="true" t="shared" si="23" ref="AP30:AP41">AN30*AO30*1.4</f>
        <v>0</v>
      </c>
      <c r="AQ30" s="273"/>
      <c r="AR30" s="273">
        <f aca="true" t="shared" si="24" ref="AR30:AR41">AQ30*0.18</f>
        <v>0</v>
      </c>
      <c r="AS30" s="273">
        <f>SUM(Y30:AR30)-AN30-AO30</f>
        <v>0</v>
      </c>
      <c r="AT30" s="274"/>
      <c r="AU30" s="145">
        <f>AS30-(X30-AT30)</f>
        <v>0</v>
      </c>
      <c r="AV30" s="195">
        <f aca="true" t="shared" si="25" ref="AV30:AV38">W30-AS30</f>
        <v>0</v>
      </c>
      <c r="AW30" s="196">
        <f>V30-O30</f>
        <v>-180.48</v>
      </c>
    </row>
    <row r="31" spans="1:49" ht="12.75">
      <c r="A31" s="13" t="s">
        <v>38</v>
      </c>
      <c r="B31" s="256">
        <v>128.2</v>
      </c>
      <c r="C31" s="257">
        <v>0</v>
      </c>
      <c r="D31" s="258">
        <v>0</v>
      </c>
      <c r="E31" s="259">
        <v>0</v>
      </c>
      <c r="F31" s="259">
        <v>0</v>
      </c>
      <c r="G31" s="259">
        <v>0</v>
      </c>
      <c r="H31" s="259">
        <v>0</v>
      </c>
      <c r="I31" s="259">
        <v>93.1</v>
      </c>
      <c r="J31" s="259">
        <v>0</v>
      </c>
      <c r="K31" s="259">
        <v>64.5</v>
      </c>
      <c r="L31" s="259">
        <v>0</v>
      </c>
      <c r="M31" s="259">
        <v>22.88</v>
      </c>
      <c r="N31" s="260">
        <v>0</v>
      </c>
      <c r="O31" s="261">
        <f t="shared" si="20"/>
        <v>180.48</v>
      </c>
      <c r="P31" s="275">
        <f t="shared" si="21"/>
        <v>0</v>
      </c>
      <c r="Q31" s="264">
        <v>0</v>
      </c>
      <c r="R31" s="264">
        <v>0</v>
      </c>
      <c r="S31" s="264">
        <v>58.74</v>
      </c>
      <c r="T31" s="264">
        <v>40.7</v>
      </c>
      <c r="U31" s="264">
        <v>14.44</v>
      </c>
      <c r="V31" s="265">
        <f>SUM(Q31:U31)</f>
        <v>113.88</v>
      </c>
      <c r="W31" s="267">
        <f t="shared" si="22"/>
        <v>113.88</v>
      </c>
      <c r="X31" s="267"/>
      <c r="Y31" s="268">
        <v>0</v>
      </c>
      <c r="Z31" s="268">
        <v>0</v>
      </c>
      <c r="AA31" s="268">
        <v>0</v>
      </c>
      <c r="AB31" s="268">
        <v>0</v>
      </c>
      <c r="AC31" s="268">
        <v>0</v>
      </c>
      <c r="AD31" s="268">
        <v>0</v>
      </c>
      <c r="AE31" s="268">
        <v>0</v>
      </c>
      <c r="AF31" s="268">
        <v>0</v>
      </c>
      <c r="AG31" s="268">
        <v>0</v>
      </c>
      <c r="AH31" s="268">
        <f>AG31*0.18</f>
        <v>0</v>
      </c>
      <c r="AI31" s="269"/>
      <c r="AJ31" s="269"/>
      <c r="AK31" s="270"/>
      <c r="AL31" s="270"/>
      <c r="AM31" s="270"/>
      <c r="AN31" s="271">
        <v>407</v>
      </c>
      <c r="AO31" s="272">
        <v>0</v>
      </c>
      <c r="AP31" s="268">
        <f t="shared" si="23"/>
        <v>0</v>
      </c>
      <c r="AQ31" s="273"/>
      <c r="AR31" s="273">
        <f t="shared" si="24"/>
        <v>0</v>
      </c>
      <c r="AS31" s="273">
        <f>SUM(Y31:AR31)-AN31-AO31</f>
        <v>0</v>
      </c>
      <c r="AT31" s="274"/>
      <c r="AU31" s="145">
        <f>AS31-(X31-AT31)</f>
        <v>0</v>
      </c>
      <c r="AV31" s="195">
        <f t="shared" si="25"/>
        <v>113.88</v>
      </c>
      <c r="AW31" s="196">
        <f>V31-O31</f>
        <v>-66.6</v>
      </c>
    </row>
    <row r="32" spans="1:49" ht="13.5" thickBot="1">
      <c r="A32" s="147" t="s">
        <v>39</v>
      </c>
      <c r="B32" s="256">
        <v>128.2</v>
      </c>
      <c r="C32" s="257">
        <v>0</v>
      </c>
      <c r="D32" s="258">
        <v>0</v>
      </c>
      <c r="E32" s="259">
        <v>28.6</v>
      </c>
      <c r="F32" s="259">
        <v>0</v>
      </c>
      <c r="G32" s="259">
        <v>38.76</v>
      </c>
      <c r="H32" s="259">
        <v>0</v>
      </c>
      <c r="I32" s="259">
        <v>93.1</v>
      </c>
      <c r="J32" s="259">
        <v>0</v>
      </c>
      <c r="K32" s="259">
        <v>64.5</v>
      </c>
      <c r="L32" s="259">
        <v>0</v>
      </c>
      <c r="M32" s="259">
        <v>22.88</v>
      </c>
      <c r="N32" s="260">
        <v>0</v>
      </c>
      <c r="O32" s="261">
        <f t="shared" si="20"/>
        <v>247.83999999999997</v>
      </c>
      <c r="P32" s="275">
        <f t="shared" si="21"/>
        <v>0</v>
      </c>
      <c r="Q32" s="264">
        <v>0</v>
      </c>
      <c r="R32" s="264">
        <v>0</v>
      </c>
      <c r="S32" s="264">
        <v>0</v>
      </c>
      <c r="T32" s="264">
        <v>0</v>
      </c>
      <c r="U32" s="264">
        <v>0</v>
      </c>
      <c r="V32" s="265">
        <f>SUM(Q32:U32)</f>
        <v>0</v>
      </c>
      <c r="W32" s="267">
        <f t="shared" si="22"/>
        <v>0</v>
      </c>
      <c r="X32" s="267"/>
      <c r="Y32" s="268">
        <v>0</v>
      </c>
      <c r="Z32" s="268">
        <v>0</v>
      </c>
      <c r="AA32" s="268">
        <v>0</v>
      </c>
      <c r="AB32" s="268">
        <v>0</v>
      </c>
      <c r="AC32" s="268">
        <v>0</v>
      </c>
      <c r="AD32" s="268">
        <v>0</v>
      </c>
      <c r="AE32" s="268">
        <v>0</v>
      </c>
      <c r="AF32" s="268">
        <v>0</v>
      </c>
      <c r="AG32" s="268"/>
      <c r="AH32" s="268"/>
      <c r="AI32" s="269"/>
      <c r="AJ32" s="269"/>
      <c r="AK32" s="270"/>
      <c r="AL32" s="270"/>
      <c r="AM32" s="270"/>
      <c r="AN32" s="271">
        <v>383</v>
      </c>
      <c r="AO32" s="272">
        <v>0</v>
      </c>
      <c r="AP32" s="268">
        <f t="shared" si="23"/>
        <v>0</v>
      </c>
      <c r="AQ32" s="273"/>
      <c r="AR32" s="273">
        <f t="shared" si="24"/>
        <v>0</v>
      </c>
      <c r="AS32" s="273">
        <f>SUM(Y32:AR32)-AN32-AO32</f>
        <v>0</v>
      </c>
      <c r="AT32" s="274"/>
      <c r="AU32" s="148">
        <f>AS32-(X32-AT32)</f>
        <v>0</v>
      </c>
      <c r="AV32" s="220">
        <f t="shared" si="25"/>
        <v>0</v>
      </c>
      <c r="AW32" s="221">
        <f>V32-O32</f>
        <v>-247.83999999999997</v>
      </c>
    </row>
    <row r="33" spans="1:49" ht="12.75">
      <c r="A33" s="146" t="s">
        <v>40</v>
      </c>
      <c r="B33" s="256">
        <v>128.2</v>
      </c>
      <c r="C33" s="257">
        <v>0</v>
      </c>
      <c r="D33" s="258">
        <v>0</v>
      </c>
      <c r="E33" s="259">
        <v>58.1</v>
      </c>
      <c r="F33" s="259">
        <v>0</v>
      </c>
      <c r="G33" s="259">
        <v>78.74</v>
      </c>
      <c r="H33" s="259">
        <v>0</v>
      </c>
      <c r="I33" s="259">
        <v>189.13</v>
      </c>
      <c r="J33" s="259">
        <v>0</v>
      </c>
      <c r="K33" s="259">
        <v>131.03</v>
      </c>
      <c r="L33" s="259">
        <v>0</v>
      </c>
      <c r="M33" s="259">
        <v>46.48</v>
      </c>
      <c r="N33" s="260">
        <v>0</v>
      </c>
      <c r="O33" s="261">
        <f t="shared" si="20"/>
        <v>503.48</v>
      </c>
      <c r="P33" s="275">
        <f t="shared" si="21"/>
        <v>0</v>
      </c>
      <c r="Q33" s="264">
        <v>0</v>
      </c>
      <c r="R33" s="264">
        <v>0</v>
      </c>
      <c r="S33" s="264">
        <v>0</v>
      </c>
      <c r="T33" s="264">
        <v>0</v>
      </c>
      <c r="U33" s="264">
        <v>0</v>
      </c>
      <c r="V33" s="265">
        <f aca="true" t="shared" si="26" ref="V33:V41">SUM(Q33:U33)</f>
        <v>0</v>
      </c>
      <c r="W33" s="267">
        <f t="shared" si="22"/>
        <v>0</v>
      </c>
      <c r="X33" s="267"/>
      <c r="Y33" s="268">
        <v>0</v>
      </c>
      <c r="Z33" s="268">
        <v>0</v>
      </c>
      <c r="AA33" s="268">
        <v>0</v>
      </c>
      <c r="AB33" s="268">
        <v>0</v>
      </c>
      <c r="AC33" s="268">
        <v>0</v>
      </c>
      <c r="AD33" s="268">
        <v>0</v>
      </c>
      <c r="AE33" s="268">
        <v>0</v>
      </c>
      <c r="AF33" s="268">
        <v>0</v>
      </c>
      <c r="AG33" s="268"/>
      <c r="AH33" s="268"/>
      <c r="AI33" s="269"/>
      <c r="AJ33" s="269"/>
      <c r="AK33" s="270"/>
      <c r="AL33" s="270"/>
      <c r="AM33" s="270"/>
      <c r="AN33" s="271">
        <v>307</v>
      </c>
      <c r="AO33" s="272">
        <v>0</v>
      </c>
      <c r="AP33" s="268">
        <f t="shared" si="23"/>
        <v>0</v>
      </c>
      <c r="AQ33" s="273"/>
      <c r="AR33" s="273">
        <f t="shared" si="24"/>
        <v>0</v>
      </c>
      <c r="AS33" s="273">
        <f>SUM(Y33:AR33)-AN33-AO33</f>
        <v>0</v>
      </c>
      <c r="AT33" s="274"/>
      <c r="AU33" s="145">
        <f>AS33-(X33-AT33)</f>
        <v>0</v>
      </c>
      <c r="AV33" s="195">
        <f t="shared" si="25"/>
        <v>0</v>
      </c>
      <c r="AW33" s="196">
        <f>V33-O33</f>
        <v>-503.48</v>
      </c>
    </row>
    <row r="34" spans="1:49" ht="12.75">
      <c r="A34" s="13" t="s">
        <v>41</v>
      </c>
      <c r="B34" s="265">
        <v>128.2</v>
      </c>
      <c r="C34" s="257">
        <v>0</v>
      </c>
      <c r="D34" s="258">
        <v>0</v>
      </c>
      <c r="E34" s="259">
        <v>58.1</v>
      </c>
      <c r="F34" s="259">
        <v>0</v>
      </c>
      <c r="G34" s="259">
        <v>78.74</v>
      </c>
      <c r="H34" s="259">
        <v>0</v>
      </c>
      <c r="I34" s="259">
        <v>189.13</v>
      </c>
      <c r="J34" s="259">
        <v>0</v>
      </c>
      <c r="K34" s="259">
        <v>131.03</v>
      </c>
      <c r="L34" s="259">
        <v>0</v>
      </c>
      <c r="M34" s="259">
        <v>46.48</v>
      </c>
      <c r="N34" s="260">
        <v>0</v>
      </c>
      <c r="O34" s="261">
        <f t="shared" si="20"/>
        <v>503.48</v>
      </c>
      <c r="P34" s="275">
        <f t="shared" si="21"/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0</v>
      </c>
      <c r="V34" s="265">
        <f t="shared" si="26"/>
        <v>0</v>
      </c>
      <c r="W34" s="267">
        <f t="shared" si="22"/>
        <v>0</v>
      </c>
      <c r="X34" s="267"/>
      <c r="Y34" s="268">
        <v>0</v>
      </c>
      <c r="Z34" s="268">
        <v>0</v>
      </c>
      <c r="AA34" s="268">
        <v>0</v>
      </c>
      <c r="AB34" s="268">
        <v>0</v>
      </c>
      <c r="AC34" s="268">
        <v>0</v>
      </c>
      <c r="AD34" s="268">
        <v>0</v>
      </c>
      <c r="AE34" s="268">
        <v>0</v>
      </c>
      <c r="AF34" s="268">
        <v>0</v>
      </c>
      <c r="AG34" s="268"/>
      <c r="AH34" s="268"/>
      <c r="AI34" s="269"/>
      <c r="AJ34" s="269"/>
      <c r="AK34" s="270"/>
      <c r="AL34" s="270"/>
      <c r="AM34" s="270"/>
      <c r="AN34" s="271">
        <v>263</v>
      </c>
      <c r="AO34" s="272">
        <v>0</v>
      </c>
      <c r="AP34" s="268">
        <f t="shared" si="23"/>
        <v>0</v>
      </c>
      <c r="AQ34" s="273"/>
      <c r="AR34" s="273">
        <f t="shared" si="24"/>
        <v>0</v>
      </c>
      <c r="AS34" s="273">
        <f>SUM(Y34:AR34)-AN34-AO34</f>
        <v>0</v>
      </c>
      <c r="AT34" s="274"/>
      <c r="AU34" s="145">
        <f aca="true" t="shared" si="27" ref="AU34:AU41">AS34-(X34-AT34)</f>
        <v>0</v>
      </c>
      <c r="AV34" s="195">
        <f t="shared" si="25"/>
        <v>0</v>
      </c>
      <c r="AW34" s="196">
        <f aca="true" t="shared" si="28" ref="AW34:AW41">V34-O34</f>
        <v>-503.48</v>
      </c>
    </row>
    <row r="35" spans="1:49" ht="13.5" thickBot="1">
      <c r="A35" s="147" t="s">
        <v>42</v>
      </c>
      <c r="B35" s="265">
        <v>128.2</v>
      </c>
      <c r="C35" s="257">
        <f aca="true" t="shared" si="29" ref="C35:C41">B35*8.65</f>
        <v>1108.9299999999998</v>
      </c>
      <c r="D35" s="276">
        <f>(C35-E35-F35-G35-H35-I35-J35-K35-L35-M35-N35)*0.80125</f>
        <v>485.1168125</v>
      </c>
      <c r="E35" s="259">
        <v>58.1</v>
      </c>
      <c r="F35" s="259">
        <v>0</v>
      </c>
      <c r="G35" s="259">
        <v>78.74</v>
      </c>
      <c r="H35" s="259">
        <v>0</v>
      </c>
      <c r="I35" s="259">
        <v>189.13</v>
      </c>
      <c r="J35" s="259">
        <v>0</v>
      </c>
      <c r="K35" s="259">
        <v>131.03</v>
      </c>
      <c r="L35" s="259">
        <v>0</v>
      </c>
      <c r="M35" s="259">
        <v>46.48</v>
      </c>
      <c r="N35" s="260">
        <v>0</v>
      </c>
      <c r="O35" s="261">
        <f t="shared" si="20"/>
        <v>503.48</v>
      </c>
      <c r="P35" s="275">
        <f t="shared" si="21"/>
        <v>0</v>
      </c>
      <c r="Q35" s="264">
        <v>0</v>
      </c>
      <c r="R35" s="264">
        <v>0</v>
      </c>
      <c r="S35" s="264">
        <v>0</v>
      </c>
      <c r="T35" s="264">
        <v>0</v>
      </c>
      <c r="U35" s="264">
        <v>0</v>
      </c>
      <c r="V35" s="265">
        <f t="shared" si="26"/>
        <v>0</v>
      </c>
      <c r="W35" s="267">
        <f t="shared" si="22"/>
        <v>485.1168125</v>
      </c>
      <c r="X35" s="267"/>
      <c r="Y35" s="268">
        <v>0</v>
      </c>
      <c r="Z35" s="268">
        <v>0</v>
      </c>
      <c r="AA35" s="268">
        <v>0</v>
      </c>
      <c r="AB35" s="268">
        <v>0</v>
      </c>
      <c r="AC35" s="268">
        <v>0</v>
      </c>
      <c r="AD35" s="268">
        <v>0</v>
      </c>
      <c r="AE35" s="268">
        <v>0</v>
      </c>
      <c r="AF35" s="268">
        <v>0</v>
      </c>
      <c r="AG35" s="268"/>
      <c r="AH35" s="268"/>
      <c r="AI35" s="269"/>
      <c r="AJ35" s="269"/>
      <c r="AK35" s="270"/>
      <c r="AL35" s="270"/>
      <c r="AM35" s="270"/>
      <c r="AN35" s="271">
        <v>233</v>
      </c>
      <c r="AO35" s="272">
        <v>0</v>
      </c>
      <c r="AP35" s="268">
        <f t="shared" si="23"/>
        <v>0</v>
      </c>
      <c r="AQ35" s="273"/>
      <c r="AR35" s="273">
        <f t="shared" si="24"/>
        <v>0</v>
      </c>
      <c r="AS35" s="273">
        <f aca="true" t="shared" si="30" ref="AS35:AS41">SUM(Y35:AM35)+AP35</f>
        <v>0</v>
      </c>
      <c r="AT35" s="274"/>
      <c r="AU35" s="148">
        <f t="shared" si="27"/>
        <v>0</v>
      </c>
      <c r="AV35" s="220">
        <f t="shared" si="25"/>
        <v>485.1168125</v>
      </c>
      <c r="AW35" s="221">
        <f t="shared" si="28"/>
        <v>-503.48</v>
      </c>
    </row>
    <row r="36" spans="1:49" ht="12.75">
      <c r="A36" s="146" t="s">
        <v>43</v>
      </c>
      <c r="B36" s="277">
        <v>128.2</v>
      </c>
      <c r="C36" s="257">
        <f t="shared" si="29"/>
        <v>1108.9299999999998</v>
      </c>
      <c r="D36" s="276">
        <f>(C36-E36-F36-G36-H36-I36-J36-K36-L36-M36-N36)*0.805915</f>
        <v>487.94123675</v>
      </c>
      <c r="E36" s="259">
        <v>58.1</v>
      </c>
      <c r="F36" s="259">
        <v>0</v>
      </c>
      <c r="G36" s="259">
        <v>78.74</v>
      </c>
      <c r="H36" s="259">
        <v>0</v>
      </c>
      <c r="I36" s="259">
        <v>189.13</v>
      </c>
      <c r="J36" s="259">
        <v>0</v>
      </c>
      <c r="K36" s="259">
        <v>131.03</v>
      </c>
      <c r="L36" s="259">
        <v>0</v>
      </c>
      <c r="M36" s="259">
        <v>46.48</v>
      </c>
      <c r="N36" s="260">
        <v>0</v>
      </c>
      <c r="O36" s="261">
        <f t="shared" si="20"/>
        <v>503.48</v>
      </c>
      <c r="P36" s="275">
        <f t="shared" si="21"/>
        <v>0</v>
      </c>
      <c r="Q36" s="264">
        <v>17.98</v>
      </c>
      <c r="R36" s="264">
        <v>24.38</v>
      </c>
      <c r="S36" s="264">
        <v>58.54</v>
      </c>
      <c r="T36" s="264">
        <v>40.57</v>
      </c>
      <c r="U36" s="264">
        <v>14.38</v>
      </c>
      <c r="V36" s="265">
        <f t="shared" si="26"/>
        <v>155.85</v>
      </c>
      <c r="W36" s="267">
        <f t="shared" si="22"/>
        <v>643.7912367499999</v>
      </c>
      <c r="X36" s="267"/>
      <c r="Y36" s="268">
        <f aca="true" t="shared" si="31" ref="Y36:Y41">0.6*B36</f>
        <v>76.91999999999999</v>
      </c>
      <c r="Z36" s="268">
        <f>B36*0.2</f>
        <v>25.64</v>
      </c>
      <c r="AA36" s="268">
        <v>0</v>
      </c>
      <c r="AB36" s="268">
        <v>0</v>
      </c>
      <c r="AC36" s="268">
        <v>0</v>
      </c>
      <c r="AD36" s="268">
        <v>0</v>
      </c>
      <c r="AE36" s="268">
        <v>0</v>
      </c>
      <c r="AF36" s="268">
        <v>0</v>
      </c>
      <c r="AG36" s="268"/>
      <c r="AH36" s="268"/>
      <c r="AI36" s="269"/>
      <c r="AJ36" s="269"/>
      <c r="AK36" s="270"/>
      <c r="AL36" s="270"/>
      <c r="AM36" s="270"/>
      <c r="AN36" s="271">
        <v>248</v>
      </c>
      <c r="AO36" s="272">
        <v>0</v>
      </c>
      <c r="AP36" s="268">
        <f t="shared" si="23"/>
        <v>0</v>
      </c>
      <c r="AQ36" s="273"/>
      <c r="AR36" s="273">
        <f t="shared" si="24"/>
        <v>0</v>
      </c>
      <c r="AS36" s="273">
        <f t="shared" si="30"/>
        <v>102.55999999999999</v>
      </c>
      <c r="AT36" s="274"/>
      <c r="AU36" s="238">
        <f t="shared" si="27"/>
        <v>102.55999999999999</v>
      </c>
      <c r="AV36" s="242">
        <f t="shared" si="25"/>
        <v>541.23123675</v>
      </c>
      <c r="AW36" s="243">
        <f t="shared" si="28"/>
        <v>-347.63</v>
      </c>
    </row>
    <row r="37" spans="1:49" ht="12.75">
      <c r="A37" s="13" t="s">
        <v>44</v>
      </c>
      <c r="B37" s="265">
        <v>128.2</v>
      </c>
      <c r="C37" s="257">
        <f t="shared" si="29"/>
        <v>1108.9299999999998</v>
      </c>
      <c r="D37" s="276">
        <f>(C37-E37-F37-G37-H37-I37-J37-K37-L37-M37-N37)*0.857717</f>
        <v>519.3047576499999</v>
      </c>
      <c r="E37" s="259">
        <v>58.1</v>
      </c>
      <c r="F37" s="259">
        <v>0</v>
      </c>
      <c r="G37" s="259">
        <v>78.74</v>
      </c>
      <c r="H37" s="259">
        <v>0</v>
      </c>
      <c r="I37" s="259">
        <v>189.13</v>
      </c>
      <c r="J37" s="259">
        <v>0</v>
      </c>
      <c r="K37" s="259">
        <v>131.03</v>
      </c>
      <c r="L37" s="259">
        <v>0</v>
      </c>
      <c r="M37" s="259">
        <v>46.48</v>
      </c>
      <c r="N37" s="260">
        <v>0</v>
      </c>
      <c r="O37" s="261">
        <f t="shared" si="20"/>
        <v>503.48</v>
      </c>
      <c r="P37" s="275">
        <f t="shared" si="21"/>
        <v>0</v>
      </c>
      <c r="Q37" s="264">
        <v>0</v>
      </c>
      <c r="R37" s="264">
        <v>0</v>
      </c>
      <c r="S37" s="264">
        <v>0</v>
      </c>
      <c r="T37" s="264">
        <v>0</v>
      </c>
      <c r="U37" s="264">
        <v>0</v>
      </c>
      <c r="V37" s="265">
        <f t="shared" si="26"/>
        <v>0</v>
      </c>
      <c r="W37" s="267">
        <f t="shared" si="22"/>
        <v>519.3047576499999</v>
      </c>
      <c r="X37" s="267"/>
      <c r="Y37" s="268">
        <f t="shared" si="31"/>
        <v>76.91999999999999</v>
      </c>
      <c r="Z37" s="268">
        <f>B37*0.2*7</f>
        <v>179.48000000000002</v>
      </c>
      <c r="AA37" s="268">
        <v>0</v>
      </c>
      <c r="AB37" s="268">
        <v>0</v>
      </c>
      <c r="AC37" s="268">
        <v>0</v>
      </c>
      <c r="AD37" s="268">
        <v>0</v>
      </c>
      <c r="AE37" s="268">
        <v>0</v>
      </c>
      <c r="AF37" s="268">
        <v>0</v>
      </c>
      <c r="AG37" s="268"/>
      <c r="AH37" s="268"/>
      <c r="AI37" s="269"/>
      <c r="AJ37" s="269"/>
      <c r="AK37" s="270"/>
      <c r="AL37" s="270">
        <f>47.8</f>
        <v>47.8</v>
      </c>
      <c r="AM37" s="270"/>
      <c r="AN37" s="271">
        <v>293</v>
      </c>
      <c r="AO37" s="272">
        <v>0</v>
      </c>
      <c r="AP37" s="268">
        <f t="shared" si="23"/>
        <v>0</v>
      </c>
      <c r="AQ37" s="273"/>
      <c r="AR37" s="273">
        <f t="shared" si="24"/>
        <v>0</v>
      </c>
      <c r="AS37" s="273">
        <f t="shared" si="30"/>
        <v>304.2</v>
      </c>
      <c r="AT37" s="274"/>
      <c r="AU37" s="145">
        <f t="shared" si="27"/>
        <v>304.2</v>
      </c>
      <c r="AV37" s="195">
        <f t="shared" si="25"/>
        <v>215.10475764999995</v>
      </c>
      <c r="AW37" s="196">
        <f t="shared" si="28"/>
        <v>-503.48</v>
      </c>
    </row>
    <row r="38" spans="1:49" ht="13.5" thickBot="1">
      <c r="A38" s="147" t="s">
        <v>45</v>
      </c>
      <c r="B38" s="265">
        <v>128.2</v>
      </c>
      <c r="C38" s="257">
        <f t="shared" si="29"/>
        <v>1108.9299999999998</v>
      </c>
      <c r="D38" s="276">
        <f>(C38-E38-F38-G38-H38-I38-J38-K38-L38-M38-N38)*0.87553</f>
        <v>530.0896385</v>
      </c>
      <c r="E38" s="259">
        <v>58.1</v>
      </c>
      <c r="F38" s="259">
        <v>0</v>
      </c>
      <c r="G38" s="259">
        <v>78.74</v>
      </c>
      <c r="H38" s="259">
        <v>0</v>
      </c>
      <c r="I38" s="259">
        <v>189.13</v>
      </c>
      <c r="J38" s="259">
        <v>0</v>
      </c>
      <c r="K38" s="259">
        <v>131.03</v>
      </c>
      <c r="L38" s="259">
        <v>0</v>
      </c>
      <c r="M38" s="259">
        <v>46.48</v>
      </c>
      <c r="N38" s="260">
        <v>0</v>
      </c>
      <c r="O38" s="261">
        <f t="shared" si="20"/>
        <v>503.48</v>
      </c>
      <c r="P38" s="275">
        <f t="shared" si="21"/>
        <v>0</v>
      </c>
      <c r="Q38" s="264">
        <v>51.09</v>
      </c>
      <c r="R38" s="264">
        <v>69.27</v>
      </c>
      <c r="S38" s="264">
        <v>186.51</v>
      </c>
      <c r="T38" s="264">
        <v>129.22</v>
      </c>
      <c r="U38" s="264">
        <v>45.84</v>
      </c>
      <c r="V38" s="265">
        <f t="shared" si="26"/>
        <v>481.93000000000006</v>
      </c>
      <c r="W38" s="267">
        <f t="shared" si="22"/>
        <v>1012.0196385</v>
      </c>
      <c r="X38" s="267"/>
      <c r="Y38" s="268">
        <f t="shared" si="31"/>
        <v>76.91999999999999</v>
      </c>
      <c r="Z38" s="268">
        <f>B38*0.2</f>
        <v>25.64</v>
      </c>
      <c r="AA38" s="268">
        <v>0</v>
      </c>
      <c r="AB38" s="268">
        <v>0</v>
      </c>
      <c r="AC38" s="268">
        <v>0</v>
      </c>
      <c r="AD38" s="268">
        <v>0</v>
      </c>
      <c r="AE38" s="268">
        <v>0</v>
      </c>
      <c r="AF38" s="268">
        <v>0</v>
      </c>
      <c r="AG38" s="268"/>
      <c r="AH38" s="268"/>
      <c r="AI38" s="269"/>
      <c r="AJ38" s="269"/>
      <c r="AK38" s="270"/>
      <c r="AL38" s="270"/>
      <c r="AM38" s="270"/>
      <c r="AN38" s="271">
        <v>349</v>
      </c>
      <c r="AO38" s="272">
        <v>0</v>
      </c>
      <c r="AP38" s="268">
        <f t="shared" si="23"/>
        <v>0</v>
      </c>
      <c r="AQ38" s="273"/>
      <c r="AR38" s="273">
        <f t="shared" si="24"/>
        <v>0</v>
      </c>
      <c r="AS38" s="273">
        <f t="shared" si="30"/>
        <v>102.55999999999999</v>
      </c>
      <c r="AT38" s="274"/>
      <c r="AU38" s="148">
        <f t="shared" si="27"/>
        <v>102.55999999999999</v>
      </c>
      <c r="AV38" s="220">
        <f t="shared" si="25"/>
        <v>909.4596385000001</v>
      </c>
      <c r="AW38" s="221">
        <f t="shared" si="28"/>
        <v>-21.549999999999955</v>
      </c>
    </row>
    <row r="39" spans="1:49" ht="12.75">
      <c r="A39" s="146" t="s">
        <v>33</v>
      </c>
      <c r="B39" s="265">
        <v>128.2</v>
      </c>
      <c r="C39" s="257">
        <f t="shared" si="29"/>
        <v>1108.9299999999998</v>
      </c>
      <c r="D39" s="276">
        <f>(C39-E39-F39-G39-H39-I39-J39-K39-L39-M39-N39)*0.811308</f>
        <v>491.2064286</v>
      </c>
      <c r="E39" s="259">
        <v>58.1</v>
      </c>
      <c r="F39" s="259">
        <v>0</v>
      </c>
      <c r="G39" s="259">
        <v>78.74</v>
      </c>
      <c r="H39" s="259">
        <v>0</v>
      </c>
      <c r="I39" s="259">
        <v>189.13</v>
      </c>
      <c r="J39" s="259">
        <v>0</v>
      </c>
      <c r="K39" s="259">
        <v>131.03</v>
      </c>
      <c r="L39" s="259">
        <v>0</v>
      </c>
      <c r="M39" s="259">
        <v>46.48</v>
      </c>
      <c r="N39" s="260">
        <v>0</v>
      </c>
      <c r="O39" s="261">
        <f t="shared" si="20"/>
        <v>503.48</v>
      </c>
      <c r="P39" s="275">
        <f t="shared" si="21"/>
        <v>0</v>
      </c>
      <c r="Q39" s="264">
        <v>124.48</v>
      </c>
      <c r="R39" s="264">
        <v>168.75</v>
      </c>
      <c r="S39" s="264">
        <v>421.93</v>
      </c>
      <c r="T39" s="264">
        <v>292.33</v>
      </c>
      <c r="U39" s="264">
        <v>103.68</v>
      </c>
      <c r="V39" s="265">
        <f t="shared" si="26"/>
        <v>1111.17</v>
      </c>
      <c r="W39" s="267">
        <f t="shared" si="22"/>
        <v>1602.3764286</v>
      </c>
      <c r="X39" s="267"/>
      <c r="Y39" s="268">
        <f t="shared" si="31"/>
        <v>76.91999999999999</v>
      </c>
      <c r="Z39" s="268">
        <f>B39*0.2</f>
        <v>25.64</v>
      </c>
      <c r="AA39" s="268">
        <v>0</v>
      </c>
      <c r="AB39" s="268">
        <v>0</v>
      </c>
      <c r="AC39" s="268">
        <v>0</v>
      </c>
      <c r="AD39" s="268">
        <v>0</v>
      </c>
      <c r="AE39" s="268">
        <v>0</v>
      </c>
      <c r="AF39" s="268">
        <v>0</v>
      </c>
      <c r="AG39" s="268"/>
      <c r="AH39" s="268"/>
      <c r="AI39" s="269"/>
      <c r="AJ39" s="269"/>
      <c r="AK39" s="270"/>
      <c r="AL39" s="270"/>
      <c r="AM39" s="270"/>
      <c r="AN39" s="271">
        <v>425</v>
      </c>
      <c r="AO39" s="272">
        <v>0</v>
      </c>
      <c r="AP39" s="268">
        <f t="shared" si="23"/>
        <v>0</v>
      </c>
      <c r="AQ39" s="273"/>
      <c r="AR39" s="273">
        <f t="shared" si="24"/>
        <v>0</v>
      </c>
      <c r="AS39" s="273">
        <f t="shared" si="30"/>
        <v>102.55999999999999</v>
      </c>
      <c r="AT39" s="274"/>
      <c r="AU39" s="54">
        <f t="shared" si="27"/>
        <v>102.55999999999999</v>
      </c>
      <c r="AV39" s="248">
        <f>(W39-AS39)+(X39-AT39)</f>
        <v>1499.8164286</v>
      </c>
      <c r="AW39" s="182">
        <f t="shared" si="28"/>
        <v>607.69</v>
      </c>
    </row>
    <row r="40" spans="1:49" ht="12.75">
      <c r="A40" s="13" t="s">
        <v>34</v>
      </c>
      <c r="B40" s="265">
        <v>128.2</v>
      </c>
      <c r="C40" s="257">
        <f t="shared" si="29"/>
        <v>1108.9299999999998</v>
      </c>
      <c r="D40" s="276">
        <f>(C40-E40-F40-G40-H40-I40-J40-K40-L40-M40-N40)*0.870679</f>
        <v>527.1526005499999</v>
      </c>
      <c r="E40" s="259">
        <v>58.1</v>
      </c>
      <c r="F40" s="259">
        <v>0</v>
      </c>
      <c r="G40" s="259">
        <v>78.74</v>
      </c>
      <c r="H40" s="259">
        <v>0</v>
      </c>
      <c r="I40" s="259">
        <v>189.13</v>
      </c>
      <c r="J40" s="259">
        <v>0</v>
      </c>
      <c r="K40" s="259">
        <v>131.03</v>
      </c>
      <c r="L40" s="259">
        <v>0</v>
      </c>
      <c r="M40" s="259">
        <v>46.48</v>
      </c>
      <c r="N40" s="260">
        <v>0</v>
      </c>
      <c r="O40" s="261">
        <f t="shared" si="20"/>
        <v>503.48</v>
      </c>
      <c r="P40" s="275">
        <f t="shared" si="21"/>
        <v>0</v>
      </c>
      <c r="Q40" s="264">
        <v>41.95</v>
      </c>
      <c r="R40" s="264">
        <v>56.84</v>
      </c>
      <c r="S40" s="264">
        <v>169.35</v>
      </c>
      <c r="T40" s="264">
        <v>117.32</v>
      </c>
      <c r="U40" s="264">
        <v>41.61</v>
      </c>
      <c r="V40" s="265">
        <f t="shared" si="26"/>
        <v>427.07</v>
      </c>
      <c r="W40" s="267">
        <f t="shared" si="22"/>
        <v>954.2226005499999</v>
      </c>
      <c r="X40" s="267"/>
      <c r="Y40" s="268">
        <f t="shared" si="31"/>
        <v>76.91999999999999</v>
      </c>
      <c r="Z40" s="268">
        <f>B40*0.2</f>
        <v>25.64</v>
      </c>
      <c r="AA40" s="268">
        <v>0</v>
      </c>
      <c r="AB40" s="268">
        <v>0</v>
      </c>
      <c r="AC40" s="268">
        <v>0</v>
      </c>
      <c r="AD40" s="268">
        <v>0</v>
      </c>
      <c r="AE40" s="268">
        <v>0</v>
      </c>
      <c r="AF40" s="268">
        <v>0</v>
      </c>
      <c r="AG40" s="268"/>
      <c r="AH40" s="268"/>
      <c r="AI40" s="269"/>
      <c r="AJ40" s="269"/>
      <c r="AK40" s="270"/>
      <c r="AL40" s="270"/>
      <c r="AM40" s="270"/>
      <c r="AN40" s="271">
        <v>470</v>
      </c>
      <c r="AO40" s="272">
        <v>0</v>
      </c>
      <c r="AP40" s="268">
        <f t="shared" si="23"/>
        <v>0</v>
      </c>
      <c r="AQ40" s="273"/>
      <c r="AR40" s="273">
        <f t="shared" si="24"/>
        <v>0</v>
      </c>
      <c r="AS40" s="273">
        <f t="shared" si="30"/>
        <v>102.55999999999999</v>
      </c>
      <c r="AT40" s="274"/>
      <c r="AU40" s="15">
        <f t="shared" si="27"/>
        <v>102.55999999999999</v>
      </c>
      <c r="AV40" s="249">
        <f>(W40-AS40)+(X40-AT40)</f>
        <v>851.66260055</v>
      </c>
      <c r="AW40" s="250">
        <f t="shared" si="28"/>
        <v>-76.41000000000003</v>
      </c>
    </row>
    <row r="41" spans="1:49" s="131" customFormat="1" ht="12.75">
      <c r="A41" s="132" t="s">
        <v>35</v>
      </c>
      <c r="B41" s="265">
        <v>128.2</v>
      </c>
      <c r="C41" s="257">
        <f t="shared" si="29"/>
        <v>1108.9299999999998</v>
      </c>
      <c r="D41" s="276">
        <f>(C41-E41-F41-G41-H41-I41-J41-K41-L41-M41-N41)*0.91496</f>
        <v>553.9625319999999</v>
      </c>
      <c r="E41" s="259">
        <v>58.1</v>
      </c>
      <c r="F41" s="259">
        <v>0</v>
      </c>
      <c r="G41" s="259">
        <v>78.74</v>
      </c>
      <c r="H41" s="259">
        <v>0</v>
      </c>
      <c r="I41" s="259">
        <v>189.13</v>
      </c>
      <c r="J41" s="259">
        <v>0</v>
      </c>
      <c r="K41" s="259">
        <v>131.03</v>
      </c>
      <c r="L41" s="259">
        <v>0</v>
      </c>
      <c r="M41" s="259">
        <v>46.48</v>
      </c>
      <c r="N41" s="260">
        <v>0</v>
      </c>
      <c r="O41" s="261">
        <f t="shared" si="20"/>
        <v>503.48</v>
      </c>
      <c r="P41" s="275">
        <f t="shared" si="21"/>
        <v>0</v>
      </c>
      <c r="Q41" s="264">
        <v>12.81</v>
      </c>
      <c r="R41" s="264">
        <v>17.38</v>
      </c>
      <c r="S41" s="264">
        <v>41.73</v>
      </c>
      <c r="T41" s="264">
        <v>28.91</v>
      </c>
      <c r="U41" s="264">
        <v>10.26</v>
      </c>
      <c r="V41" s="265">
        <f t="shared" si="26"/>
        <v>111.08999999999999</v>
      </c>
      <c r="W41" s="267">
        <f t="shared" si="22"/>
        <v>665.0525319999999</v>
      </c>
      <c r="X41" s="267"/>
      <c r="Y41" s="268">
        <f t="shared" si="31"/>
        <v>76.91999999999999</v>
      </c>
      <c r="Z41" s="268">
        <f>B41*0.2</f>
        <v>25.64</v>
      </c>
      <c r="AA41" s="268">
        <v>0</v>
      </c>
      <c r="AB41" s="268">
        <v>0</v>
      </c>
      <c r="AC41" s="268">
        <v>0</v>
      </c>
      <c r="AD41" s="268">
        <v>0</v>
      </c>
      <c r="AE41" s="268">
        <v>0</v>
      </c>
      <c r="AF41" s="268">
        <v>0</v>
      </c>
      <c r="AG41" s="268"/>
      <c r="AH41" s="268"/>
      <c r="AI41" s="269"/>
      <c r="AJ41" s="269"/>
      <c r="AK41" s="270"/>
      <c r="AL41" s="270"/>
      <c r="AM41" s="270"/>
      <c r="AN41" s="271">
        <v>514</v>
      </c>
      <c r="AO41" s="272">
        <v>0</v>
      </c>
      <c r="AP41" s="268">
        <f t="shared" si="23"/>
        <v>0</v>
      </c>
      <c r="AQ41" s="273"/>
      <c r="AR41" s="273">
        <f t="shared" si="24"/>
        <v>0</v>
      </c>
      <c r="AS41" s="273">
        <f t="shared" si="30"/>
        <v>102.55999999999999</v>
      </c>
      <c r="AT41" s="274"/>
      <c r="AU41" s="15">
        <f t="shared" si="27"/>
        <v>102.55999999999999</v>
      </c>
      <c r="AV41" s="181">
        <f>(W41-AS41)+(X41-AT41)</f>
        <v>562.492532</v>
      </c>
      <c r="AW41" s="250">
        <f t="shared" si="28"/>
        <v>-392.39000000000004</v>
      </c>
    </row>
    <row r="42" spans="1:49" s="23" customFormat="1" ht="12.75">
      <c r="A42" s="18" t="s">
        <v>3</v>
      </c>
      <c r="B42" s="19"/>
      <c r="C42" s="19">
        <f aca="true" t="shared" si="32" ref="C42:AW42">SUM(C30:C41)</f>
        <v>7762.51</v>
      </c>
      <c r="D42" s="19">
        <f t="shared" si="32"/>
        <v>3594.7740065499997</v>
      </c>
      <c r="E42" s="19">
        <f t="shared" si="32"/>
        <v>551.5000000000001</v>
      </c>
      <c r="F42" s="19">
        <f t="shared" si="32"/>
        <v>0</v>
      </c>
      <c r="G42" s="19">
        <f t="shared" si="32"/>
        <v>747.4200000000001</v>
      </c>
      <c r="H42" s="19">
        <f t="shared" si="32"/>
        <v>0</v>
      </c>
      <c r="I42" s="19">
        <f t="shared" si="32"/>
        <v>1981.4700000000003</v>
      </c>
      <c r="J42" s="19">
        <f t="shared" si="32"/>
        <v>0</v>
      </c>
      <c r="K42" s="19">
        <f t="shared" si="32"/>
        <v>1372.7699999999998</v>
      </c>
      <c r="L42" s="19">
        <f t="shared" si="32"/>
        <v>0</v>
      </c>
      <c r="M42" s="19">
        <f t="shared" si="32"/>
        <v>486.96000000000004</v>
      </c>
      <c r="N42" s="19">
        <f t="shared" si="32"/>
        <v>0</v>
      </c>
      <c r="O42" s="19">
        <f t="shared" si="32"/>
        <v>5140.119999999999</v>
      </c>
      <c r="P42" s="19">
        <f t="shared" si="32"/>
        <v>0</v>
      </c>
      <c r="Q42" s="19">
        <f t="shared" si="32"/>
        <v>248.31</v>
      </c>
      <c r="R42" s="19">
        <f t="shared" si="32"/>
        <v>336.62</v>
      </c>
      <c r="S42" s="19">
        <f t="shared" si="32"/>
        <v>936.8000000000001</v>
      </c>
      <c r="T42" s="19">
        <f t="shared" si="32"/>
        <v>649.05</v>
      </c>
      <c r="U42" s="19">
        <f t="shared" si="32"/>
        <v>230.20999999999998</v>
      </c>
      <c r="V42" s="19">
        <f t="shared" si="32"/>
        <v>2400.9900000000002</v>
      </c>
      <c r="W42" s="19">
        <f t="shared" si="32"/>
        <v>5995.764006549999</v>
      </c>
      <c r="X42" s="19">
        <f t="shared" si="32"/>
        <v>0</v>
      </c>
      <c r="Y42" s="19">
        <f t="shared" si="32"/>
        <v>461.51999999999987</v>
      </c>
      <c r="Z42" s="19">
        <f t="shared" si="32"/>
        <v>307.67999999999995</v>
      </c>
      <c r="AA42" s="19">
        <f t="shared" si="32"/>
        <v>0</v>
      </c>
      <c r="AB42" s="19">
        <f t="shared" si="32"/>
        <v>0</v>
      </c>
      <c r="AC42" s="19">
        <f t="shared" si="32"/>
        <v>0</v>
      </c>
      <c r="AD42" s="19">
        <f t="shared" si="32"/>
        <v>0</v>
      </c>
      <c r="AE42" s="19">
        <f t="shared" si="32"/>
        <v>0</v>
      </c>
      <c r="AF42" s="19">
        <f t="shared" si="32"/>
        <v>0</v>
      </c>
      <c r="AG42" s="19">
        <f t="shared" si="32"/>
        <v>0</v>
      </c>
      <c r="AH42" s="19">
        <f t="shared" si="32"/>
        <v>0</v>
      </c>
      <c r="AI42" s="154">
        <f t="shared" si="32"/>
        <v>0</v>
      </c>
      <c r="AJ42" s="154">
        <f t="shared" si="32"/>
        <v>0</v>
      </c>
      <c r="AK42" s="20">
        <f t="shared" si="32"/>
        <v>0</v>
      </c>
      <c r="AL42" s="20">
        <f t="shared" si="32"/>
        <v>47.8</v>
      </c>
      <c r="AM42" s="20">
        <f t="shared" si="32"/>
        <v>0</v>
      </c>
      <c r="AN42" s="19">
        <f t="shared" si="32"/>
        <v>4400</v>
      </c>
      <c r="AO42" s="19">
        <f t="shared" si="32"/>
        <v>0</v>
      </c>
      <c r="AP42" s="19">
        <f t="shared" si="32"/>
        <v>0</v>
      </c>
      <c r="AQ42" s="19">
        <f t="shared" si="32"/>
        <v>0</v>
      </c>
      <c r="AR42" s="19">
        <f t="shared" si="32"/>
        <v>0</v>
      </c>
      <c r="AS42" s="19">
        <f t="shared" si="32"/>
        <v>816.9999999999999</v>
      </c>
      <c r="AT42" s="19">
        <f t="shared" si="32"/>
        <v>0</v>
      </c>
      <c r="AU42" s="19">
        <f t="shared" si="32"/>
        <v>816.9999999999999</v>
      </c>
      <c r="AV42" s="19">
        <f t="shared" si="32"/>
        <v>5178.76400655</v>
      </c>
      <c r="AW42" s="150">
        <f t="shared" si="32"/>
        <v>-2739.13</v>
      </c>
    </row>
    <row r="43" spans="1:49" s="23" customFormat="1" ht="12.75">
      <c r="A43" s="18"/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21"/>
      <c r="S43" s="21"/>
      <c r="T43" s="21"/>
      <c r="U43" s="21"/>
      <c r="V43" s="21"/>
      <c r="W43" s="21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74"/>
      <c r="AI43" s="155"/>
      <c r="AJ43" s="155"/>
      <c r="AK43" s="74"/>
      <c r="AL43" s="74"/>
      <c r="AM43" s="74"/>
      <c r="AN43" s="22"/>
      <c r="AO43" s="22"/>
      <c r="AP43" s="79"/>
      <c r="AQ43" s="52"/>
      <c r="AR43" s="52"/>
      <c r="AS43" s="52"/>
      <c r="AT43" s="52"/>
      <c r="AU43" s="52"/>
      <c r="AV43" s="52"/>
      <c r="AW43" s="151"/>
    </row>
    <row r="44" spans="1:49" s="23" customFormat="1" ht="13.5" thickBot="1">
      <c r="A44" s="26" t="s">
        <v>46</v>
      </c>
      <c r="B44" s="27"/>
      <c r="C44" s="27">
        <f aca="true" t="shared" si="33" ref="C44:AA44">C28+C42</f>
        <v>21069.67</v>
      </c>
      <c r="D44" s="27">
        <f t="shared" si="33"/>
        <v>7471.824198849999</v>
      </c>
      <c r="E44" s="27">
        <f t="shared" si="33"/>
        <v>551.5100000000001</v>
      </c>
      <c r="F44" s="27">
        <f t="shared" si="33"/>
        <v>0</v>
      </c>
      <c r="G44" s="27">
        <f t="shared" si="33"/>
        <v>747.4000000000001</v>
      </c>
      <c r="H44" s="27">
        <f t="shared" si="33"/>
        <v>0</v>
      </c>
      <c r="I44" s="27">
        <f t="shared" si="33"/>
        <v>2074.55</v>
      </c>
      <c r="J44" s="27">
        <f t="shared" si="33"/>
        <v>0</v>
      </c>
      <c r="K44" s="27">
        <f t="shared" si="33"/>
        <v>1437.2499999999998</v>
      </c>
      <c r="L44" s="27">
        <f t="shared" si="33"/>
        <v>0</v>
      </c>
      <c r="M44" s="27">
        <f t="shared" si="33"/>
        <v>509.84000000000003</v>
      </c>
      <c r="N44" s="27">
        <f t="shared" si="33"/>
        <v>0</v>
      </c>
      <c r="O44" s="27">
        <f t="shared" si="33"/>
        <v>5320.549999999999</v>
      </c>
      <c r="P44" s="27">
        <f t="shared" si="33"/>
        <v>0</v>
      </c>
      <c r="Q44" s="27">
        <f t="shared" si="33"/>
        <v>265.16</v>
      </c>
      <c r="R44" s="27">
        <f t="shared" si="33"/>
        <v>359.37</v>
      </c>
      <c r="S44" s="27">
        <f t="shared" si="33"/>
        <v>991.5600000000001</v>
      </c>
      <c r="T44" s="27">
        <f t="shared" si="33"/>
        <v>686.9599999999999</v>
      </c>
      <c r="U44" s="27">
        <f t="shared" si="33"/>
        <v>243.68999999999997</v>
      </c>
      <c r="V44" s="27">
        <f t="shared" si="33"/>
        <v>2546.7400000000002</v>
      </c>
      <c r="W44" s="27">
        <f t="shared" si="33"/>
        <v>10018.56419885</v>
      </c>
      <c r="X44" s="27">
        <f t="shared" si="33"/>
        <v>0</v>
      </c>
      <c r="Y44" s="27">
        <f t="shared" si="33"/>
        <v>1353.7919999999997</v>
      </c>
      <c r="Z44" s="27">
        <f t="shared" si="33"/>
        <v>608.7189839999999</v>
      </c>
      <c r="AA44" s="27">
        <f t="shared" si="33"/>
        <v>1251.7223657999998</v>
      </c>
      <c r="AB44" s="27">
        <f aca="true" t="shared" si="34" ref="AB44:AW44">AB28+AB42</f>
        <v>225.31002584399994</v>
      </c>
      <c r="AC44" s="27">
        <f t="shared" si="34"/>
        <v>1209.70352018</v>
      </c>
      <c r="AD44" s="27">
        <f t="shared" si="34"/>
        <v>217.74663363239995</v>
      </c>
      <c r="AE44" s="27">
        <f t="shared" si="34"/>
        <v>2643.1824479599995</v>
      </c>
      <c r="AF44" s="27">
        <f t="shared" si="34"/>
        <v>475.7728406328</v>
      </c>
      <c r="AG44" s="27">
        <f t="shared" si="34"/>
        <v>0</v>
      </c>
      <c r="AH44" s="27">
        <f t="shared" si="34"/>
        <v>0</v>
      </c>
      <c r="AI44" s="157">
        <f t="shared" si="34"/>
        <v>4576.639999999999</v>
      </c>
      <c r="AJ44" s="157">
        <f t="shared" si="34"/>
        <v>823.7951999999999</v>
      </c>
      <c r="AK44" s="156">
        <f t="shared" si="34"/>
        <v>480</v>
      </c>
      <c r="AL44" s="156">
        <f t="shared" si="34"/>
        <v>47.8</v>
      </c>
      <c r="AM44" s="156">
        <f t="shared" si="34"/>
        <v>86.39999999999999</v>
      </c>
      <c r="AN44" s="27">
        <f t="shared" si="34"/>
        <v>8800</v>
      </c>
      <c r="AO44" s="27">
        <f t="shared" si="34"/>
        <v>0</v>
      </c>
      <c r="AP44" s="27">
        <f t="shared" si="34"/>
        <v>0</v>
      </c>
      <c r="AQ44" s="27">
        <f t="shared" si="34"/>
        <v>0</v>
      </c>
      <c r="AR44" s="27">
        <f t="shared" si="34"/>
        <v>0</v>
      </c>
      <c r="AS44" s="27">
        <f t="shared" si="34"/>
        <v>14000.5840180492</v>
      </c>
      <c r="AT44" s="27">
        <f t="shared" si="34"/>
        <v>0</v>
      </c>
      <c r="AU44" s="27">
        <f t="shared" si="34"/>
        <v>14000.5840180492</v>
      </c>
      <c r="AV44" s="27">
        <f t="shared" si="34"/>
        <v>-3982.0198191991985</v>
      </c>
      <c r="AW44" s="27">
        <f t="shared" si="34"/>
        <v>-2773.81</v>
      </c>
    </row>
  </sheetData>
  <sheetProtection/>
  <mergeCells count="56">
    <mergeCell ref="AW3:AW6"/>
    <mergeCell ref="AU4:AU6"/>
    <mergeCell ref="AT3:AU3"/>
    <mergeCell ref="AN5:AP5"/>
    <mergeCell ref="AQ5:AQ6"/>
    <mergeCell ref="AR5:AR6"/>
    <mergeCell ref="AS5:AS6"/>
    <mergeCell ref="Y3:AS4"/>
    <mergeCell ref="AI5:AI6"/>
    <mergeCell ref="AV3:AV6"/>
    <mergeCell ref="M3:N4"/>
    <mergeCell ref="W3:W6"/>
    <mergeCell ref="M5:M6"/>
    <mergeCell ref="N5:N6"/>
    <mergeCell ref="O5:O6"/>
    <mergeCell ref="T5:T6"/>
    <mergeCell ref="U5:U6"/>
    <mergeCell ref="P5:P6"/>
    <mergeCell ref="Q5:Q6"/>
    <mergeCell ref="R5:R6"/>
    <mergeCell ref="E3:F4"/>
    <mergeCell ref="G3:H4"/>
    <mergeCell ref="I3:J4"/>
    <mergeCell ref="K3:L4"/>
    <mergeCell ref="AT4:AT6"/>
    <mergeCell ref="X3:X6"/>
    <mergeCell ref="Q3:V4"/>
    <mergeCell ref="Y5:Y6"/>
    <mergeCell ref="Z5:Z6"/>
    <mergeCell ref="V5:V6"/>
    <mergeCell ref="A1:N1"/>
    <mergeCell ref="A3:A6"/>
    <mergeCell ref="B3:B6"/>
    <mergeCell ref="C3:C6"/>
    <mergeCell ref="D3:D6"/>
    <mergeCell ref="O3:P4"/>
    <mergeCell ref="E5:E6"/>
    <mergeCell ref="F5:F6"/>
    <mergeCell ref="G5:G6"/>
    <mergeCell ref="H5:H6"/>
    <mergeCell ref="AA5:AA6"/>
    <mergeCell ref="AB5:AB6"/>
    <mergeCell ref="I5:I6"/>
    <mergeCell ref="J5:J6"/>
    <mergeCell ref="K5:K6"/>
    <mergeCell ref="L5:L6"/>
    <mergeCell ref="S5:S6"/>
    <mergeCell ref="AC5:AC6"/>
    <mergeCell ref="AD5:AD6"/>
    <mergeCell ref="AK5:AK6"/>
    <mergeCell ref="AL5:AL6"/>
    <mergeCell ref="AE5:AE6"/>
    <mergeCell ref="AF5:AF6"/>
    <mergeCell ref="AG5:AG6"/>
    <mergeCell ref="AH5:AH6"/>
    <mergeCell ref="AJ5:A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31">
      <selection activeCell="C55" sqref="C55:D55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3.375" style="2" customWidth="1"/>
    <col min="17" max="16384" width="9.125" style="2" customWidth="1"/>
  </cols>
  <sheetData>
    <row r="1" ht="18.75">
      <c r="E1" s="28" t="s">
        <v>47</v>
      </c>
    </row>
    <row r="2" ht="18.75">
      <c r="E2" s="28" t="s">
        <v>48</v>
      </c>
    </row>
    <row r="6" spans="1:15" ht="12.75">
      <c r="A6" s="362" t="s">
        <v>86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</row>
    <row r="7" spans="1:15" ht="12.75">
      <c r="A7" s="385" t="s">
        <v>89</v>
      </c>
      <c r="B7" s="385"/>
      <c r="C7" s="385"/>
      <c r="D7" s="385"/>
      <c r="E7" s="385"/>
      <c r="F7" s="385"/>
      <c r="G7" s="385"/>
      <c r="H7" s="94"/>
      <c r="I7" s="94"/>
      <c r="J7" s="94"/>
      <c r="K7" s="94"/>
      <c r="L7" s="94"/>
      <c r="M7" s="94"/>
      <c r="N7" s="94"/>
      <c r="O7" s="94"/>
    </row>
    <row r="8" spans="1:15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5" ht="13.5" thickBot="1">
      <c r="A9" s="30" t="s">
        <v>49</v>
      </c>
      <c r="D9" s="4"/>
      <c r="E9" s="30">
        <v>8.65</v>
      </c>
    </row>
    <row r="10" spans="1:16" ht="12.75" customHeight="1">
      <c r="A10" s="363" t="s">
        <v>50</v>
      </c>
      <c r="B10" s="366" t="s">
        <v>0</v>
      </c>
      <c r="C10" s="369" t="s">
        <v>51</v>
      </c>
      <c r="D10" s="372" t="s">
        <v>2</v>
      </c>
      <c r="E10" s="299" t="s">
        <v>52</v>
      </c>
      <c r="F10" s="299"/>
      <c r="G10" s="344" t="s">
        <v>69</v>
      </c>
      <c r="H10" s="345"/>
      <c r="I10" s="376" t="s">
        <v>6</v>
      </c>
      <c r="J10" s="377"/>
      <c r="K10" s="377"/>
      <c r="L10" s="377"/>
      <c r="M10" s="377"/>
      <c r="N10" s="378"/>
      <c r="O10" s="382" t="s">
        <v>53</v>
      </c>
      <c r="P10" s="355" t="s">
        <v>84</v>
      </c>
    </row>
    <row r="11" spans="1:16" ht="12.75">
      <c r="A11" s="364"/>
      <c r="B11" s="367"/>
      <c r="C11" s="370"/>
      <c r="D11" s="373"/>
      <c r="E11" s="375"/>
      <c r="F11" s="375"/>
      <c r="G11" s="346"/>
      <c r="H11" s="347"/>
      <c r="I11" s="379"/>
      <c r="J11" s="380"/>
      <c r="K11" s="380"/>
      <c r="L11" s="380"/>
      <c r="M11" s="380"/>
      <c r="N11" s="381"/>
      <c r="O11" s="383"/>
      <c r="P11" s="356"/>
    </row>
    <row r="12" spans="1:16" ht="26.25" customHeight="1">
      <c r="A12" s="364"/>
      <c r="B12" s="367"/>
      <c r="C12" s="370"/>
      <c r="D12" s="373"/>
      <c r="E12" s="323" t="s">
        <v>54</v>
      </c>
      <c r="F12" s="323"/>
      <c r="G12" s="115" t="s">
        <v>55</v>
      </c>
      <c r="H12" s="358" t="s">
        <v>5</v>
      </c>
      <c r="I12" s="360" t="s">
        <v>56</v>
      </c>
      <c r="J12" s="353" t="s">
        <v>24</v>
      </c>
      <c r="K12" s="353" t="s">
        <v>57</v>
      </c>
      <c r="L12" s="353" t="s">
        <v>29</v>
      </c>
      <c r="M12" s="353" t="s">
        <v>58</v>
      </c>
      <c r="N12" s="351" t="s">
        <v>31</v>
      </c>
      <c r="O12" s="383"/>
      <c r="P12" s="356"/>
    </row>
    <row r="13" spans="1:16" ht="66.75" customHeight="1" thickBot="1">
      <c r="A13" s="365"/>
      <c r="B13" s="368"/>
      <c r="C13" s="371"/>
      <c r="D13" s="374"/>
      <c r="E13" s="159" t="s">
        <v>59</v>
      </c>
      <c r="F13" s="110" t="s">
        <v>15</v>
      </c>
      <c r="G13" s="93" t="s">
        <v>70</v>
      </c>
      <c r="H13" s="359"/>
      <c r="I13" s="361"/>
      <c r="J13" s="354"/>
      <c r="K13" s="354"/>
      <c r="L13" s="354"/>
      <c r="M13" s="354"/>
      <c r="N13" s="352"/>
      <c r="O13" s="384"/>
      <c r="P13" s="357"/>
    </row>
    <row r="14" spans="1:16" ht="13.5" thickBot="1">
      <c r="A14" s="32">
        <v>1</v>
      </c>
      <c r="B14" s="33">
        <v>2</v>
      </c>
      <c r="C14" s="35">
        <v>3</v>
      </c>
      <c r="D14" s="37">
        <v>4</v>
      </c>
      <c r="E14" s="36">
        <v>5</v>
      </c>
      <c r="F14" s="34">
        <v>6</v>
      </c>
      <c r="G14" s="32">
        <v>7</v>
      </c>
      <c r="H14" s="89">
        <v>8</v>
      </c>
      <c r="I14" s="36">
        <v>9</v>
      </c>
      <c r="J14" s="33">
        <v>10</v>
      </c>
      <c r="K14" s="33">
        <v>11</v>
      </c>
      <c r="L14" s="33">
        <v>12</v>
      </c>
      <c r="M14" s="33">
        <v>13</v>
      </c>
      <c r="N14" s="80">
        <v>14</v>
      </c>
      <c r="O14" s="37">
        <v>15</v>
      </c>
      <c r="P14" s="100">
        <v>16</v>
      </c>
    </row>
    <row r="15" spans="1:16" ht="12.75">
      <c r="A15" s="8" t="s">
        <v>32</v>
      </c>
      <c r="B15" s="9"/>
      <c r="C15" s="10"/>
      <c r="D15" s="39"/>
      <c r="E15" s="38"/>
      <c r="F15" s="31"/>
      <c r="G15" s="8"/>
      <c r="H15" s="90"/>
      <c r="I15" s="38"/>
      <c r="J15" s="9"/>
      <c r="K15" s="9"/>
      <c r="L15" s="9"/>
      <c r="M15" s="9"/>
      <c r="N15" s="81"/>
      <c r="O15" s="39"/>
      <c r="P15" s="101"/>
    </row>
    <row r="16" spans="1:16" ht="12.75">
      <c r="A16" s="13" t="s">
        <v>33</v>
      </c>
      <c r="B16" s="14">
        <f>Лист1!B9</f>
        <v>128.2</v>
      </c>
      <c r="C16" s="122">
        <f>Лист1!C9</f>
        <v>1108.9299999999998</v>
      </c>
      <c r="D16" s="160">
        <f>Лист1!D9</f>
        <v>266.1190584</v>
      </c>
      <c r="E16" s="40">
        <f>Лист1!O9</f>
        <v>901.33</v>
      </c>
      <c r="F16" s="78">
        <f>Лист1!P9</f>
        <v>0</v>
      </c>
      <c r="G16" s="41">
        <f>Лист1!V9</f>
        <v>0</v>
      </c>
      <c r="H16" s="116">
        <f>Лист1!W9</f>
        <v>266.1190584</v>
      </c>
      <c r="I16" s="40">
        <f>Лист1!Y9</f>
        <v>76.91999999999999</v>
      </c>
      <c r="J16" s="15">
        <f>Лист1!AA9+Лист1!AB9</f>
        <v>128.22153759999998</v>
      </c>
      <c r="K16" s="15">
        <f>Лист1!Z9+Лист1!AC9+Лист1!AD9+Лист1!AE9+Лист1!AF9+Лист1!AG9+Лист1!AH9+Лист1!AI9+Лист1!AJ9</f>
        <v>364.71034048999996</v>
      </c>
      <c r="L16" s="16">
        <f>Лист1!AK9+Лист1!AL9+Лист1!AM9</f>
        <v>0</v>
      </c>
      <c r="M16" s="16">
        <f>Лист1!AP9</f>
        <v>0</v>
      </c>
      <c r="N16" s="98">
        <f>SUM(I16:M16)</f>
        <v>569.8518780899999</v>
      </c>
      <c r="O16" s="42">
        <f>Лист1!AV9</f>
        <v>-303.73281969000004</v>
      </c>
      <c r="P16" s="102">
        <f>Лист1!AW9</f>
        <v>-901.33</v>
      </c>
    </row>
    <row r="17" spans="1:16" ht="12.75">
      <c r="A17" s="13" t="s">
        <v>34</v>
      </c>
      <c r="B17" s="14">
        <f>Лист1!B10</f>
        <v>128.2</v>
      </c>
      <c r="C17" s="122">
        <f>Лист1!C10</f>
        <v>1108.9299999999998</v>
      </c>
      <c r="D17" s="160">
        <f>Лист1!D10</f>
        <v>266.1190584</v>
      </c>
      <c r="E17" s="40">
        <f>Лист1!O10</f>
        <v>-0.02</v>
      </c>
      <c r="F17" s="78">
        <f>Лист1!P10</f>
        <v>0</v>
      </c>
      <c r="G17" s="41">
        <f>Лист1!V10</f>
        <v>35.68</v>
      </c>
      <c r="H17" s="116">
        <f>Лист1!W10</f>
        <v>301.7990584</v>
      </c>
      <c r="I17" s="40">
        <f>Лист1!Y10</f>
        <v>76.91999999999999</v>
      </c>
      <c r="J17" s="15">
        <f>Лист1!AA10+Лист1!AB10</f>
        <v>128.22153759999998</v>
      </c>
      <c r="K17" s="15">
        <f>Лист1!Z10+Лист1!AC10+Лист1!AD10+Лист1!AE10+Лист1!AF10+Лист1!AG10+Лист1!AH10+Лист1!AI10+Лист1!AJ10</f>
        <v>363.3447540899999</v>
      </c>
      <c r="L17" s="16">
        <f>Лист1!AK10+Лист1!AL10+Лист1!AM10</f>
        <v>0</v>
      </c>
      <c r="M17" s="16">
        <f>Лист1!AP10</f>
        <v>0</v>
      </c>
      <c r="N17" s="98">
        <f>SUM(I17:M17)</f>
        <v>568.4862916899999</v>
      </c>
      <c r="O17" s="42">
        <f>Лист1!AV10</f>
        <v>-266.68723328999994</v>
      </c>
      <c r="P17" s="102">
        <f>Лист1!AW10</f>
        <v>35.7</v>
      </c>
    </row>
    <row r="18" spans="1:18" ht="13.5" thickBot="1">
      <c r="A18" s="43" t="s">
        <v>35</v>
      </c>
      <c r="B18" s="64">
        <f>Лист1!B11</f>
        <v>128.2</v>
      </c>
      <c r="C18" s="123">
        <f>Лист1!C11</f>
        <v>1108.9299999999998</v>
      </c>
      <c r="D18" s="161">
        <f>Лист1!D11</f>
        <v>267.5313255</v>
      </c>
      <c r="E18" s="65">
        <f>Лист1!O11</f>
        <v>450.68</v>
      </c>
      <c r="F18" s="111">
        <f>Лист1!P11</f>
        <v>0</v>
      </c>
      <c r="G18" s="66">
        <f>Лист1!V11</f>
        <v>0</v>
      </c>
      <c r="H18" s="117">
        <f>Лист1!W11</f>
        <v>267.5313255</v>
      </c>
      <c r="I18" s="40">
        <f>Лист1!Y11</f>
        <v>76.91999999999999</v>
      </c>
      <c r="J18" s="15">
        <f>Лист1!AA11+Лист1!AB11</f>
        <v>128.22153759999998</v>
      </c>
      <c r="K18" s="15">
        <f>Лист1!Z11+Лист1!AC11+Лист1!AD11+Лист1!AE11+Лист1!AF11+Лист1!AG11+Лист1!AH11+Лист1!AI11+Лист1!AJ11</f>
        <v>363.86370768999996</v>
      </c>
      <c r="L18" s="16">
        <f>Лист1!AK11+Лист1!AL11+Лист1!AM11</f>
        <v>0</v>
      </c>
      <c r="M18" s="16">
        <f>Лист1!AP11</f>
        <v>0</v>
      </c>
      <c r="N18" s="98">
        <f>SUM(I18:M18)</f>
        <v>569.00524529</v>
      </c>
      <c r="O18" s="254">
        <f>Лист1!AV11</f>
        <v>-301.47391978999997</v>
      </c>
      <c r="P18" s="255">
        <f>Лист1!AW11</f>
        <v>-450.68</v>
      </c>
      <c r="Q18" s="1"/>
      <c r="R18" s="1"/>
    </row>
    <row r="19" spans="1:18" s="23" customFormat="1" ht="13.5" thickBot="1">
      <c r="A19" s="44" t="s">
        <v>3</v>
      </c>
      <c r="B19" s="70"/>
      <c r="C19" s="72">
        <f>SUM(C16:C18)</f>
        <v>3326.7899999999995</v>
      </c>
      <c r="D19" s="108">
        <f aca="true" t="shared" si="0" ref="D19:P19">SUM(D16:D18)</f>
        <v>799.7694422999999</v>
      </c>
      <c r="E19" s="76">
        <f t="shared" si="0"/>
        <v>1351.99</v>
      </c>
      <c r="F19" s="71">
        <f t="shared" si="0"/>
        <v>0</v>
      </c>
      <c r="G19" s="77">
        <f t="shared" si="0"/>
        <v>35.68</v>
      </c>
      <c r="H19" s="118">
        <f t="shared" si="0"/>
        <v>835.4494423</v>
      </c>
      <c r="I19" s="76">
        <f t="shared" si="0"/>
        <v>230.75999999999996</v>
      </c>
      <c r="J19" s="71">
        <f t="shared" si="0"/>
        <v>384.66461279999993</v>
      </c>
      <c r="K19" s="71">
        <f t="shared" si="0"/>
        <v>1091.9188022699998</v>
      </c>
      <c r="L19" s="71">
        <f t="shared" si="0"/>
        <v>0</v>
      </c>
      <c r="M19" s="71">
        <f t="shared" si="0"/>
        <v>0</v>
      </c>
      <c r="N19" s="82">
        <f t="shared" si="0"/>
        <v>1707.3434150699998</v>
      </c>
      <c r="O19" s="108">
        <f t="shared" si="0"/>
        <v>-871.89397277</v>
      </c>
      <c r="P19" s="103">
        <f t="shared" si="0"/>
        <v>-1316.31</v>
      </c>
      <c r="Q19" s="51"/>
      <c r="R19" s="52"/>
    </row>
    <row r="20" spans="1:18" ht="12.75">
      <c r="A20" s="8" t="s">
        <v>36</v>
      </c>
      <c r="B20" s="67"/>
      <c r="C20" s="124"/>
      <c r="D20" s="162"/>
      <c r="E20" s="55"/>
      <c r="F20" s="112"/>
      <c r="G20" s="56"/>
      <c r="H20" s="119"/>
      <c r="I20" s="55"/>
      <c r="J20" s="53"/>
      <c r="K20" s="53"/>
      <c r="L20" s="68"/>
      <c r="M20" s="68"/>
      <c r="N20" s="99"/>
      <c r="O20" s="69"/>
      <c r="P20" s="104"/>
      <c r="Q20" s="1"/>
      <c r="R20" s="1"/>
    </row>
    <row r="21" spans="1:18" ht="12.75">
      <c r="A21" s="13" t="s">
        <v>37</v>
      </c>
      <c r="B21" s="14">
        <f>Лист1!B14</f>
        <v>128.2</v>
      </c>
      <c r="C21" s="122">
        <f>Лист1!C14</f>
        <v>1108.9299999999998</v>
      </c>
      <c r="D21" s="160">
        <f>Лист1!D14</f>
        <v>138.61624999999998</v>
      </c>
      <c r="E21" s="40">
        <f>Лист1!O14</f>
        <v>450.68</v>
      </c>
      <c r="F21" s="78">
        <f>Лист1!P14</f>
        <v>0</v>
      </c>
      <c r="G21" s="41">
        <f>Лист1!V14</f>
        <v>40.75000000000001</v>
      </c>
      <c r="H21" s="116">
        <f>Лист1!W14</f>
        <v>179.36624999999998</v>
      </c>
      <c r="I21" s="40">
        <f>Лист1!Y14</f>
        <v>69.228</v>
      </c>
      <c r="J21" s="15">
        <f>Лист1!AA14+Лист1!AB14</f>
        <v>113.83488792</v>
      </c>
      <c r="K21" s="15">
        <f>Лист1!Z14+Лист1!AC14+Лист1!AD14+Лист1!AE14+Лист1!AF14+Лист1!AG14+Лист1!AH14+Лист1!AI14+Лист1!AJ14</f>
        <v>390.52109687999996</v>
      </c>
      <c r="L21" s="16">
        <f>Лист1!AK14+Лист1!AL14+Лист1!AM14</f>
        <v>566.4</v>
      </c>
      <c r="M21" s="16">
        <f>Лист1!AP14</f>
        <v>0</v>
      </c>
      <c r="N21" s="98">
        <f>SUM(I21:M21)</f>
        <v>1139.9839848</v>
      </c>
      <c r="O21" s="42">
        <f>Лист1!AV14</f>
        <v>-960.6177348000001</v>
      </c>
      <c r="P21" s="102">
        <f>Лист1!AW14</f>
        <v>-409.93</v>
      </c>
      <c r="Q21" s="1"/>
      <c r="R21" s="1"/>
    </row>
    <row r="22" spans="1:18" ht="12.75">
      <c r="A22" s="13" t="s">
        <v>38</v>
      </c>
      <c r="B22" s="14">
        <f>Лист1!B15</f>
        <v>128.2</v>
      </c>
      <c r="C22" s="122">
        <f>Лист1!C15</f>
        <v>1108.9299999999998</v>
      </c>
      <c r="D22" s="160">
        <f>Лист1!D15</f>
        <v>138.61624999999998</v>
      </c>
      <c r="E22" s="40">
        <f>Лист1!O15</f>
        <v>450.68</v>
      </c>
      <c r="F22" s="78">
        <f>Лист1!P15</f>
        <v>0</v>
      </c>
      <c r="G22" s="41">
        <f>Лист1!V15</f>
        <v>0</v>
      </c>
      <c r="H22" s="116">
        <f>Лист1!W15</f>
        <v>138.61624999999998</v>
      </c>
      <c r="I22" s="40">
        <f>Лист1!Y15</f>
        <v>69.228</v>
      </c>
      <c r="J22" s="15">
        <f>Лист1!AA15+Лист1!AB15</f>
        <v>113.83594637999998</v>
      </c>
      <c r="K22" s="15">
        <f>Лист1!Z15+Лист1!AC15+Лист1!AD15+Лист1!AE15+Лист1!AF15+Лист1!AG15+Лист1!AH15+Лист1!AI15+Лист1!AJ15</f>
        <v>396.524144</v>
      </c>
      <c r="L22" s="16">
        <f>Лист1!AK15+Лист1!AL15+Лист1!AM15</f>
        <v>0</v>
      </c>
      <c r="M22" s="16">
        <f>Лист1!AP15</f>
        <v>0</v>
      </c>
      <c r="N22" s="98">
        <f aca="true" t="shared" si="1" ref="N22:N32">SUM(I22:M22)</f>
        <v>579.5880903799999</v>
      </c>
      <c r="O22" s="42">
        <f>Лист1!AV15</f>
        <v>-440.97184037999995</v>
      </c>
      <c r="P22" s="102">
        <f>Лист1!AW15</f>
        <v>-450.68</v>
      </c>
      <c r="Q22" s="1"/>
      <c r="R22" s="1"/>
    </row>
    <row r="23" spans="1:18" ht="12.75">
      <c r="A23" s="13" t="s">
        <v>39</v>
      </c>
      <c r="B23" s="14">
        <f>Лист1!B16</f>
        <v>128.2</v>
      </c>
      <c r="C23" s="122">
        <f>Лист1!C16</f>
        <v>1108.9299999999998</v>
      </c>
      <c r="D23" s="160">
        <f>Лист1!D16</f>
        <v>138.61624999999998</v>
      </c>
      <c r="E23" s="40">
        <f>Лист1!O16</f>
        <v>-2253.4</v>
      </c>
      <c r="F23" s="78">
        <f>Лист1!P16</f>
        <v>0</v>
      </c>
      <c r="G23" s="41">
        <f>Лист1!V16</f>
        <v>69.32</v>
      </c>
      <c r="H23" s="116">
        <f>Лист1!W16</f>
        <v>207.93624999999997</v>
      </c>
      <c r="I23" s="40">
        <f>Лист1!Y16</f>
        <v>69.228</v>
      </c>
      <c r="J23" s="15">
        <f>Лист1!AA16+Лист1!AB16</f>
        <v>114.55602013999999</v>
      </c>
      <c r="K23" s="15">
        <f>Лист1!Z16+Лист1!AC16+Лист1!AD16+Лист1!AE16+Лист1!AF16+Лист1!AG16+Лист1!AH16+Лист1!AI16+Лист1!AJ16</f>
        <v>3038.770077448</v>
      </c>
      <c r="L23" s="16">
        <f>Лист1!AK16+Лист1!AL16+Лист1!AM16</f>
        <v>0</v>
      </c>
      <c r="M23" s="16">
        <f>Лист1!AP16</f>
        <v>0</v>
      </c>
      <c r="N23" s="98">
        <f t="shared" si="1"/>
        <v>3222.554097588</v>
      </c>
      <c r="O23" s="42">
        <f>Лист1!AV16</f>
        <v>-3014.6178475879997</v>
      </c>
      <c r="P23" s="102">
        <f>Лист1!AW16</f>
        <v>2322.7200000000003</v>
      </c>
      <c r="Q23" s="1"/>
      <c r="R23" s="1"/>
    </row>
    <row r="24" spans="1:18" ht="12.75">
      <c r="A24" s="13" t="s">
        <v>40</v>
      </c>
      <c r="B24" s="14">
        <f>Лист1!B17</f>
        <v>128.2</v>
      </c>
      <c r="C24" s="122">
        <f>Лист1!C17</f>
        <v>1108.9299999999998</v>
      </c>
      <c r="D24" s="160">
        <f>Лист1!D17</f>
        <v>110.89299999999999</v>
      </c>
      <c r="E24" s="40">
        <f>Лист1!O17</f>
        <v>0</v>
      </c>
      <c r="F24" s="78">
        <f>Лист1!P17</f>
        <v>0</v>
      </c>
      <c r="G24" s="41">
        <f>Лист1!V17</f>
        <v>0</v>
      </c>
      <c r="H24" s="116">
        <f>Лист1!W17</f>
        <v>110.89299999999999</v>
      </c>
      <c r="I24" s="40">
        <f>Лист1!Y17</f>
        <v>69.228</v>
      </c>
      <c r="J24" s="15">
        <f>Лист1!AA17+Лист1!AB17</f>
        <v>114.55602013999999</v>
      </c>
      <c r="K24" s="15">
        <f>Лист1!Z17+Лист1!AC17+Лист1!AD17+Лист1!AE17+Лист1!AF17+Лист1!AG17+Лист1!AH17+Лист1!AI17+Лист1!AJ17</f>
        <v>393.696769448</v>
      </c>
      <c r="L24" s="16">
        <f>Лист1!AK17+Лист1!AL17+Лист1!AM17</f>
        <v>0</v>
      </c>
      <c r="M24" s="16">
        <f>Лист1!AP17</f>
        <v>0</v>
      </c>
      <c r="N24" s="98">
        <f t="shared" si="1"/>
        <v>577.480789588</v>
      </c>
      <c r="O24" s="42">
        <f>Лист1!AV17</f>
        <v>-466.58778958800013</v>
      </c>
      <c r="P24" s="102">
        <f>Лист1!AW17</f>
        <v>0</v>
      </c>
      <c r="Q24" s="1"/>
      <c r="R24" s="1"/>
    </row>
    <row r="25" spans="1:18" ht="12.75">
      <c r="A25" s="13" t="s">
        <v>41</v>
      </c>
      <c r="B25" s="14">
        <f>Лист1!B18</f>
        <v>128.2</v>
      </c>
      <c r="C25" s="122">
        <f>Лист1!C18</f>
        <v>1108.9299999999998</v>
      </c>
      <c r="D25" s="160">
        <f>Лист1!D18</f>
        <v>1108.9299999999998</v>
      </c>
      <c r="E25" s="40">
        <f>Лист1!O18</f>
        <v>0</v>
      </c>
      <c r="F25" s="78">
        <f>Лист1!P18</f>
        <v>0</v>
      </c>
      <c r="G25" s="41">
        <f>Лист1!V18</f>
        <v>0</v>
      </c>
      <c r="H25" s="116">
        <f>Лист1!W18</f>
        <v>1108.9299999999998</v>
      </c>
      <c r="I25" s="40">
        <f>Лист1!Y18</f>
        <v>76.91999999999999</v>
      </c>
      <c r="J25" s="15">
        <f>Лист1!AA18+Лист1!AB18</f>
        <v>127.28589553999998</v>
      </c>
      <c r="K25" s="15">
        <f>Лист1!Z18+Лист1!AC18+Лист1!AD18+Лист1!AE18+Лист1!AF18+Лист1!AG18+Лист1!AH18+Лист1!AI18+Лист1!AJ18</f>
        <v>437.10231007999994</v>
      </c>
      <c r="L25" s="16">
        <f>Лист1!AK18+Лист1!AL18+Лист1!AM18</f>
        <v>0</v>
      </c>
      <c r="M25" s="16">
        <f>Лист1!AP18</f>
        <v>0</v>
      </c>
      <c r="N25" s="98">
        <f t="shared" si="1"/>
        <v>641.3082056199999</v>
      </c>
      <c r="O25" s="42">
        <f>Лист1!AV18</f>
        <v>467.62179438</v>
      </c>
      <c r="P25" s="102">
        <f>Лист1!AW18</f>
        <v>0</v>
      </c>
      <c r="Q25" s="1"/>
      <c r="R25" s="1"/>
    </row>
    <row r="26" spans="1:18" ht="12.75">
      <c r="A26" s="13" t="s">
        <v>42</v>
      </c>
      <c r="B26" s="14">
        <f>Лист1!B19</f>
        <v>128.2</v>
      </c>
      <c r="C26" s="122">
        <f>Лист1!C19</f>
        <v>1108.9299999999998</v>
      </c>
      <c r="D26" s="160">
        <f>Лист1!D19</f>
        <v>1108.9299999999998</v>
      </c>
      <c r="E26" s="40">
        <f>Лист1!O19</f>
        <v>0</v>
      </c>
      <c r="F26" s="78">
        <f>Лист1!P19</f>
        <v>0</v>
      </c>
      <c r="G26" s="41">
        <f>Лист1!V19</f>
        <v>0</v>
      </c>
      <c r="H26" s="116">
        <f>Лист1!W19</f>
        <v>1108.9299999999998</v>
      </c>
      <c r="I26" s="40">
        <f>Лист1!Y19</f>
        <v>76.91999999999999</v>
      </c>
      <c r="J26" s="15">
        <f>Лист1!AA19+Лист1!AB19</f>
        <v>127.07244510399998</v>
      </c>
      <c r="K26" s="15">
        <f>Лист1!Z19+Лист1!AC19+Лист1!AD19+Лист1!AE19+Лист1!AF19+Лист1!AG19+Лист1!AH19+Лист1!AI19+Лист1!AJ19</f>
        <v>436.3545497351999</v>
      </c>
      <c r="L26" s="16">
        <f>Лист1!AK19+Лист1!AL19+Лист1!AM19</f>
        <v>0</v>
      </c>
      <c r="M26" s="16">
        <f>Лист1!AP19</f>
        <v>0</v>
      </c>
      <c r="N26" s="98">
        <f t="shared" si="1"/>
        <v>640.3469948391999</v>
      </c>
      <c r="O26" s="42">
        <f>Лист1!AV19</f>
        <v>468.58300516079987</v>
      </c>
      <c r="P26" s="102">
        <f>Лист1!AW19</f>
        <v>0</v>
      </c>
      <c r="Q26" s="1"/>
      <c r="R26" s="1"/>
    </row>
    <row r="27" spans="1:18" ht="12.75">
      <c r="A27" s="13" t="s">
        <v>43</v>
      </c>
      <c r="B27" s="14">
        <f>Лист1!B20</f>
        <v>128.2</v>
      </c>
      <c r="C27" s="122">
        <f>Лист1!C20</f>
        <v>1108.9299999999998</v>
      </c>
      <c r="D27" s="160">
        <f>Лист1!D20</f>
        <v>110.89299999999999</v>
      </c>
      <c r="E27" s="40">
        <f>Лист1!O20</f>
        <v>0</v>
      </c>
      <c r="F27" s="78">
        <f>Лист1!P20</f>
        <v>0</v>
      </c>
      <c r="G27" s="41">
        <f>Лист1!V20</f>
        <v>0</v>
      </c>
      <c r="H27" s="116">
        <f>Лист1!W20</f>
        <v>110.89299999999999</v>
      </c>
      <c r="I27" s="40">
        <f>Лист1!Y20</f>
        <v>76.91999999999999</v>
      </c>
      <c r="J27" s="15">
        <f>Лист1!AA20+Лист1!AB20</f>
        <v>127.07910171999998</v>
      </c>
      <c r="K27" s="15">
        <f>Лист1!Z20+Лист1!AC20+Лист1!AD20+Лист1!AE20+Лист1!AF20+Лист1!AG20+Лист1!AH20+Лист1!AI20+Лист1!AJ20</f>
        <v>435.91366484799994</v>
      </c>
      <c r="L27" s="16">
        <f>Лист1!AK20+Лист1!AL20+Лист1!AM20</f>
        <v>0</v>
      </c>
      <c r="M27" s="16">
        <f>Лист1!AP20</f>
        <v>0</v>
      </c>
      <c r="N27" s="98">
        <f t="shared" si="1"/>
        <v>639.9127665679999</v>
      </c>
      <c r="O27" s="42">
        <f>Лист1!AV20</f>
        <v>-529.0197665679999</v>
      </c>
      <c r="P27" s="102">
        <f>Лист1!AW20</f>
        <v>0</v>
      </c>
      <c r="Q27" s="1"/>
      <c r="R27" s="1"/>
    </row>
    <row r="28" spans="1:18" ht="12.75">
      <c r="A28" s="13" t="s">
        <v>44</v>
      </c>
      <c r="B28" s="14">
        <f>Лист1!B21</f>
        <v>128.2</v>
      </c>
      <c r="C28" s="122">
        <f>Лист1!C21</f>
        <v>1108.9299999999998</v>
      </c>
      <c r="D28" s="160">
        <f>Лист1!D21</f>
        <v>110.89299999999999</v>
      </c>
      <c r="E28" s="40">
        <f>Лист1!O21</f>
        <v>0</v>
      </c>
      <c r="F28" s="78">
        <f>Лист1!P21</f>
        <v>0</v>
      </c>
      <c r="G28" s="41">
        <f>Лист1!V21</f>
        <v>0</v>
      </c>
      <c r="H28" s="116">
        <f>Лист1!W21</f>
        <v>110.89299999999999</v>
      </c>
      <c r="I28" s="40">
        <f>Лист1!Y21</f>
        <v>76.91999999999999</v>
      </c>
      <c r="J28" s="15">
        <f>Лист1!AA21+Лист1!AB21</f>
        <v>127.08016017999998</v>
      </c>
      <c r="K28" s="15">
        <f>Лист1!Z21+Лист1!AC21+Лист1!AD21+Лист1!AE21+Лист1!AF21+Лист1!AG21+Лист1!AH21+Лист1!AI21+Лист1!AJ21</f>
        <v>436.04212684799995</v>
      </c>
      <c r="L28" s="16">
        <f>Лист1!AK21+Лист1!AL21+Лист1!AM21</f>
        <v>0</v>
      </c>
      <c r="M28" s="16">
        <f>Лист1!AP21</f>
        <v>0</v>
      </c>
      <c r="N28" s="98">
        <f t="shared" si="1"/>
        <v>640.0422870279999</v>
      </c>
      <c r="O28" s="42">
        <f>Лист1!AV21</f>
        <v>-529.1492870279999</v>
      </c>
      <c r="P28" s="102">
        <f>Лист1!AW21</f>
        <v>0</v>
      </c>
      <c r="Q28" s="1"/>
      <c r="R28" s="1"/>
    </row>
    <row r="29" spans="1:18" ht="12.75">
      <c r="A29" s="13" t="s">
        <v>45</v>
      </c>
      <c r="B29" s="14">
        <f>Лист1!B22</f>
        <v>128.2</v>
      </c>
      <c r="C29" s="122">
        <f>Лист1!C22</f>
        <v>1108.9299999999998</v>
      </c>
      <c r="D29" s="160">
        <f>Лист1!D22</f>
        <v>110.89299999999999</v>
      </c>
      <c r="E29" s="40">
        <f>Лист1!O22</f>
        <v>0</v>
      </c>
      <c r="F29" s="78">
        <f>Лист1!P22</f>
        <v>0</v>
      </c>
      <c r="G29" s="41">
        <f>Лист1!V22</f>
        <v>0</v>
      </c>
      <c r="H29" s="116">
        <f>Лист1!W22</f>
        <v>110.89299999999999</v>
      </c>
      <c r="I29" s="40">
        <f>Лист1!Y22</f>
        <v>76.91999999999999</v>
      </c>
      <c r="J29" s="15">
        <f>Лист1!AA22+Лист1!AB22</f>
        <v>127.06730171999997</v>
      </c>
      <c r="K29" s="15">
        <f>Лист1!Z22+Лист1!AC22+Лист1!AD22+Лист1!AE22+Лист1!AF22+Лист1!AG22+Лист1!AH22+Лист1!AI22+Лист1!AJ22</f>
        <v>436.06648484799996</v>
      </c>
      <c r="L29" s="16">
        <f>Лист1!AK22+Лист1!AL22+Лист1!AM22</f>
        <v>0</v>
      </c>
      <c r="M29" s="16">
        <f>Лист1!AP22</f>
        <v>0</v>
      </c>
      <c r="N29" s="98">
        <f t="shared" si="1"/>
        <v>640.0537865679999</v>
      </c>
      <c r="O29" s="42">
        <f>Лист1!AV22</f>
        <v>-529.1607865679999</v>
      </c>
      <c r="P29" s="102">
        <f>Лист1!AW22</f>
        <v>0</v>
      </c>
      <c r="Q29" s="1"/>
      <c r="R29" s="1"/>
    </row>
    <row r="30" spans="1:18" ht="12.75">
      <c r="A30" s="13" t="s">
        <v>33</v>
      </c>
      <c r="B30" s="14">
        <f>Лист1!B23</f>
        <v>128.2</v>
      </c>
      <c r="C30" s="122">
        <f>Лист1!C23</f>
        <v>0</v>
      </c>
      <c r="D30" s="160">
        <f>Лист1!D23</f>
        <v>0</v>
      </c>
      <c r="E30" s="40">
        <f>Лист1!O23</f>
        <v>0</v>
      </c>
      <c r="F30" s="78">
        <f>Лист1!P23</f>
        <v>0</v>
      </c>
      <c r="G30" s="41">
        <f>Лист1!V23</f>
        <v>0</v>
      </c>
      <c r="H30" s="116">
        <f>Лист1!W23</f>
        <v>0</v>
      </c>
      <c r="I30" s="40">
        <f>Лист1!Y23</f>
        <v>0</v>
      </c>
      <c r="J30" s="15">
        <f>Лист1!AA23+Лист1!AB23</f>
        <v>0</v>
      </c>
      <c r="K30" s="15">
        <f>Лист1!Z23+Лист1!AC23+Лист1!AD23+Лист1!AE23+Лист1!AF23+Лист1!AG23+Лист1!AH23+Лист1!AI23+Лист1!AJ23</f>
        <v>2754.9696</v>
      </c>
      <c r="L30" s="16">
        <f>Лист1!AK23+Лист1!AL23+Лист1!AM23</f>
        <v>0</v>
      </c>
      <c r="M30" s="16">
        <f>Лист1!AP23</f>
        <v>0</v>
      </c>
      <c r="N30" s="98">
        <f t="shared" si="1"/>
        <v>2754.9696</v>
      </c>
      <c r="O30" s="42">
        <f>Лист1!AV23</f>
        <v>-2754.9696</v>
      </c>
      <c r="P30" s="102">
        <f>Лист1!AW23</f>
        <v>0</v>
      </c>
      <c r="Q30" s="1"/>
      <c r="R30" s="1"/>
    </row>
    <row r="31" spans="1:18" ht="12.75">
      <c r="A31" s="13" t="s">
        <v>34</v>
      </c>
      <c r="B31" s="14">
        <f>Лист1!B24</f>
        <v>128.2</v>
      </c>
      <c r="C31" s="122">
        <f>Лист1!C24</f>
        <v>0</v>
      </c>
      <c r="D31" s="160">
        <f>Лист1!D24</f>
        <v>0</v>
      </c>
      <c r="E31" s="40">
        <f>Лист1!O24</f>
        <v>0</v>
      </c>
      <c r="F31" s="78">
        <f>Лист1!P24</f>
        <v>0</v>
      </c>
      <c r="G31" s="41">
        <f>Лист1!V24</f>
        <v>0</v>
      </c>
      <c r="H31" s="116">
        <f>Лист1!W24</f>
        <v>0</v>
      </c>
      <c r="I31" s="40">
        <f>Лист1!Y24</f>
        <v>0</v>
      </c>
      <c r="J31" s="15">
        <f>Лист1!AA24+Лист1!AB24</f>
        <v>0</v>
      </c>
      <c r="K31" s="15">
        <f>Лист1!Z24+Лист1!AC24+Лист1!AD24+Лист1!AE24+Лист1!AF24+Лист1!AG24+Лист1!AH24+Лист1!AI24+Лист1!AJ24</f>
        <v>0</v>
      </c>
      <c r="L31" s="16">
        <f>Лист1!AK24+Лист1!AL24+Лист1!AM24</f>
        <v>0</v>
      </c>
      <c r="M31" s="16">
        <f>Лист1!AP24</f>
        <v>0</v>
      </c>
      <c r="N31" s="98">
        <f t="shared" si="1"/>
        <v>0</v>
      </c>
      <c r="O31" s="42">
        <f>Лист1!AV24</f>
        <v>0</v>
      </c>
      <c r="P31" s="102">
        <f>Лист1!AW24</f>
        <v>0</v>
      </c>
      <c r="Q31" s="1"/>
      <c r="R31" s="1"/>
    </row>
    <row r="32" spans="1:18" ht="13.5" thickBot="1">
      <c r="A32" s="43" t="s">
        <v>35</v>
      </c>
      <c r="B32" s="14">
        <f>Лист1!B25</f>
        <v>128.2</v>
      </c>
      <c r="C32" s="122">
        <f>Лист1!C25</f>
        <v>0</v>
      </c>
      <c r="D32" s="160">
        <f>Лист1!D25</f>
        <v>0</v>
      </c>
      <c r="E32" s="40">
        <f>Лист1!O25</f>
        <v>180.48</v>
      </c>
      <c r="F32" s="78">
        <f>Лист1!P25</f>
        <v>0</v>
      </c>
      <c r="G32" s="41">
        <f>Лист1!V25</f>
        <v>0</v>
      </c>
      <c r="H32" s="116">
        <f>Лист1!W25</f>
        <v>0</v>
      </c>
      <c r="I32" s="40">
        <f>Лист1!Y25</f>
        <v>0</v>
      </c>
      <c r="J32" s="15">
        <f>Лист1!AA25+Лист1!AB25</f>
        <v>0</v>
      </c>
      <c r="K32" s="15">
        <f>Лист1!Z25+Лист1!AC25+Лист1!AD25+Лист1!AE25+Лист1!AF25+Лист1!AG25+Лист1!AH25+Лист1!AI25+Лист1!AJ25</f>
        <v>0</v>
      </c>
      <c r="L32" s="16">
        <f>Лист1!AK25+Лист1!AL25+Лист1!AM25</f>
        <v>0</v>
      </c>
      <c r="M32" s="16">
        <f>Лист1!AP25</f>
        <v>0</v>
      </c>
      <c r="N32" s="98">
        <f t="shared" si="1"/>
        <v>0</v>
      </c>
      <c r="O32" s="42">
        <f>Лист1!AV25</f>
        <v>0</v>
      </c>
      <c r="P32" s="102">
        <f>Лист1!AW25</f>
        <v>-180.48</v>
      </c>
      <c r="Q32" s="1"/>
      <c r="R32" s="1"/>
    </row>
    <row r="33" spans="1:18" s="23" customFormat="1" ht="13.5" thickBot="1">
      <c r="A33" s="44" t="s">
        <v>3</v>
      </c>
      <c r="B33" s="45"/>
      <c r="C33" s="48">
        <f aca="true" t="shared" si="2" ref="C33:P33">SUM(C21:C32)</f>
        <v>9980.37</v>
      </c>
      <c r="D33" s="50">
        <f t="shared" si="2"/>
        <v>3077.28075</v>
      </c>
      <c r="E33" s="49">
        <f t="shared" si="2"/>
        <v>-1171.56</v>
      </c>
      <c r="F33" s="46">
        <f t="shared" si="2"/>
        <v>0</v>
      </c>
      <c r="G33" s="47">
        <f t="shared" si="2"/>
        <v>110.07</v>
      </c>
      <c r="H33" s="91">
        <f t="shared" si="2"/>
        <v>3187.3507499999996</v>
      </c>
      <c r="I33" s="49">
        <f t="shared" si="2"/>
        <v>661.5119999999998</v>
      </c>
      <c r="J33" s="46">
        <f t="shared" si="2"/>
        <v>1092.367778844</v>
      </c>
      <c r="K33" s="46">
        <f t="shared" si="2"/>
        <v>9155.9608241352</v>
      </c>
      <c r="L33" s="46">
        <f t="shared" si="2"/>
        <v>566.4</v>
      </c>
      <c r="M33" s="46">
        <f t="shared" si="2"/>
        <v>0</v>
      </c>
      <c r="N33" s="83">
        <f t="shared" si="2"/>
        <v>11476.2406029792</v>
      </c>
      <c r="O33" s="50">
        <f>SUM(O21:O32)</f>
        <v>-8288.889852979199</v>
      </c>
      <c r="P33" s="105">
        <f t="shared" si="2"/>
        <v>1281.63</v>
      </c>
      <c r="Q33" s="52"/>
      <c r="R33" s="52"/>
    </row>
    <row r="34" spans="1:18" ht="13.5" thickBot="1">
      <c r="A34" s="85" t="s">
        <v>60</v>
      </c>
      <c r="B34" s="86"/>
      <c r="C34" s="87"/>
      <c r="D34" s="109"/>
      <c r="E34" s="86"/>
      <c r="F34" s="86"/>
      <c r="G34" s="85"/>
      <c r="H34" s="120"/>
      <c r="I34" s="86"/>
      <c r="J34" s="86"/>
      <c r="K34" s="86"/>
      <c r="L34" s="86"/>
      <c r="M34" s="86"/>
      <c r="N34" s="88"/>
      <c r="O34" s="109"/>
      <c r="P34" s="106"/>
      <c r="Q34" s="1"/>
      <c r="R34" s="1"/>
    </row>
    <row r="35" spans="1:18" s="23" customFormat="1" ht="13.5" thickBot="1">
      <c r="A35" s="57" t="s">
        <v>46</v>
      </c>
      <c r="B35" s="58"/>
      <c r="C35" s="59">
        <f>C19+C33</f>
        <v>13307.16</v>
      </c>
      <c r="D35" s="61">
        <f aca="true" t="shared" si="3" ref="D35:P35">D19+D33</f>
        <v>3877.0501922999997</v>
      </c>
      <c r="E35" s="114">
        <f t="shared" si="3"/>
        <v>180.43000000000006</v>
      </c>
      <c r="F35" s="113">
        <f t="shared" si="3"/>
        <v>0</v>
      </c>
      <c r="G35" s="60">
        <f t="shared" si="3"/>
        <v>145.75</v>
      </c>
      <c r="H35" s="84">
        <f t="shared" si="3"/>
        <v>4022.8001922999997</v>
      </c>
      <c r="I35" s="114">
        <f t="shared" si="3"/>
        <v>892.2719999999998</v>
      </c>
      <c r="J35" s="58">
        <f t="shared" si="3"/>
        <v>1477.032391644</v>
      </c>
      <c r="K35" s="58">
        <f t="shared" si="3"/>
        <v>10247.8796264052</v>
      </c>
      <c r="L35" s="58">
        <f t="shared" si="3"/>
        <v>566.4</v>
      </c>
      <c r="M35" s="58">
        <f t="shared" si="3"/>
        <v>0</v>
      </c>
      <c r="N35" s="92">
        <f t="shared" si="3"/>
        <v>13183.5840180492</v>
      </c>
      <c r="O35" s="61">
        <f t="shared" si="3"/>
        <v>-9160.783825749199</v>
      </c>
      <c r="P35" s="107">
        <f t="shared" si="3"/>
        <v>-34.679999999999836</v>
      </c>
      <c r="Q35" s="62"/>
      <c r="R35" s="52"/>
    </row>
    <row r="36" spans="1:18" ht="12.75">
      <c r="A36" s="8" t="s">
        <v>87</v>
      </c>
      <c r="B36" s="67"/>
      <c r="C36" s="124"/>
      <c r="D36" s="162"/>
      <c r="E36" s="55"/>
      <c r="F36" s="112"/>
      <c r="G36" s="56"/>
      <c r="H36" s="119"/>
      <c r="I36" s="55"/>
      <c r="J36" s="53"/>
      <c r="K36" s="53"/>
      <c r="L36" s="68"/>
      <c r="M36" s="68"/>
      <c r="N36" s="99"/>
      <c r="O36" s="69"/>
      <c r="P36" s="104"/>
      <c r="Q36" s="1"/>
      <c r="R36" s="1"/>
    </row>
    <row r="37" spans="1:18" ht="12.75">
      <c r="A37" s="13" t="s">
        <v>37</v>
      </c>
      <c r="B37" s="14">
        <f>Лист1!B30</f>
        <v>128.2</v>
      </c>
      <c r="C37" s="122">
        <f>Лист1!C30</f>
        <v>0</v>
      </c>
      <c r="D37" s="160">
        <f>Лист1!D30</f>
        <v>0</v>
      </c>
      <c r="E37" s="40">
        <f>Лист1!O30</f>
        <v>180.48</v>
      </c>
      <c r="F37" s="78">
        <f>Лист1!P30</f>
        <v>0</v>
      </c>
      <c r="G37" s="41">
        <f>Лист1!V30</f>
        <v>0</v>
      </c>
      <c r="H37" s="116">
        <f>Лист1!W30</f>
        <v>0</v>
      </c>
      <c r="I37" s="40">
        <f>Лист1!Y30</f>
        <v>0</v>
      </c>
      <c r="J37" s="15">
        <f>Лист1!AA30+Лист1!AB30</f>
        <v>0</v>
      </c>
      <c r="K37" s="15">
        <f>Лист1!Z30+Лист1!AC30+Лист1!AD30+Лист1!AE30+Лист1!AF30+Лист1!AG30+Лист1!AH30+Лист1!AI30+Лист1!AJ30</f>
        <v>0</v>
      </c>
      <c r="L37" s="16">
        <f>Лист1!AK30+Лист1!AL30+Лист1!AM30</f>
        <v>0</v>
      </c>
      <c r="M37" s="16">
        <f>Лист1!AP30</f>
        <v>0</v>
      </c>
      <c r="N37" s="98">
        <f>SUM(I37:M37)</f>
        <v>0</v>
      </c>
      <c r="O37" s="42">
        <f>Лист1!AV30</f>
        <v>0</v>
      </c>
      <c r="P37" s="102">
        <f>Лист1!AW30</f>
        <v>-180.48</v>
      </c>
      <c r="Q37" s="1"/>
      <c r="R37" s="1"/>
    </row>
    <row r="38" spans="1:18" ht="12.75">
      <c r="A38" s="13" t="s">
        <v>38</v>
      </c>
      <c r="B38" s="14">
        <f>Лист1!B31</f>
        <v>128.2</v>
      </c>
      <c r="C38" s="122">
        <f>Лист1!C31</f>
        <v>0</v>
      </c>
      <c r="D38" s="160">
        <f>Лист1!D31</f>
        <v>0</v>
      </c>
      <c r="E38" s="40">
        <f>Лист1!O31</f>
        <v>180.48</v>
      </c>
      <c r="F38" s="78">
        <f>Лист1!P31</f>
        <v>0</v>
      </c>
      <c r="G38" s="41">
        <f>Лист1!V31</f>
        <v>113.88</v>
      </c>
      <c r="H38" s="116">
        <f>Лист1!W31</f>
        <v>113.88</v>
      </c>
      <c r="I38" s="40">
        <f>Лист1!Y31</f>
        <v>0</v>
      </c>
      <c r="J38" s="15">
        <f>Лист1!AA31+Лист1!AB31</f>
        <v>0</v>
      </c>
      <c r="K38" s="15">
        <f>Лист1!Z31+Лист1!AC31+Лист1!AD31+Лист1!AE31+Лист1!AF31+Лист1!AG31+Лист1!AH31+Лист1!AI31+Лист1!AJ31</f>
        <v>0</v>
      </c>
      <c r="L38" s="16">
        <f>Лист1!AK31+Лист1!AL31+Лист1!AM31</f>
        <v>0</v>
      </c>
      <c r="M38" s="16">
        <f>Лист1!AP31</f>
        <v>0</v>
      </c>
      <c r="N38" s="98">
        <f aca="true" t="shared" si="4" ref="N38:N43">SUM(I38:M38)</f>
        <v>0</v>
      </c>
      <c r="O38" s="42">
        <f>Лист1!AV31</f>
        <v>113.88</v>
      </c>
      <c r="P38" s="102">
        <f>Лист1!AW31</f>
        <v>-66.6</v>
      </c>
      <c r="Q38" s="1"/>
      <c r="R38" s="1"/>
    </row>
    <row r="39" spans="1:18" ht="12.75">
      <c r="A39" s="13" t="s">
        <v>39</v>
      </c>
      <c r="B39" s="14">
        <f>Лист1!B32</f>
        <v>128.2</v>
      </c>
      <c r="C39" s="122">
        <f>Лист1!C32</f>
        <v>0</v>
      </c>
      <c r="D39" s="160">
        <f>Лист1!D32</f>
        <v>0</v>
      </c>
      <c r="E39" s="40">
        <f>Лист1!O32</f>
        <v>247.83999999999997</v>
      </c>
      <c r="F39" s="78">
        <f>Лист1!P32</f>
        <v>0</v>
      </c>
      <c r="G39" s="41">
        <f>Лист1!V32</f>
        <v>0</v>
      </c>
      <c r="H39" s="116">
        <f>Лист1!W32</f>
        <v>0</v>
      </c>
      <c r="I39" s="40">
        <f>Лист1!Y32</f>
        <v>0</v>
      </c>
      <c r="J39" s="15">
        <f>Лист1!AA32+Лист1!AB32</f>
        <v>0</v>
      </c>
      <c r="K39" s="15">
        <f>Лист1!Z32+Лист1!AC32+Лист1!AD32+Лист1!AE32+Лист1!AF32+Лист1!AG32+Лист1!AH32+Лист1!AI32+Лист1!AJ32</f>
        <v>0</v>
      </c>
      <c r="L39" s="16">
        <f>Лист1!AK32+Лист1!AL32+Лист1!AM32</f>
        <v>0</v>
      </c>
      <c r="M39" s="16">
        <f>Лист1!AP32</f>
        <v>0</v>
      </c>
      <c r="N39" s="98">
        <f t="shared" si="4"/>
        <v>0</v>
      </c>
      <c r="O39" s="42">
        <f>Лист1!AV32</f>
        <v>0</v>
      </c>
      <c r="P39" s="102">
        <f>Лист1!AW32</f>
        <v>-247.83999999999997</v>
      </c>
      <c r="Q39" s="1"/>
      <c r="R39" s="1"/>
    </row>
    <row r="40" spans="1:18" ht="12.75">
      <c r="A40" s="13" t="s">
        <v>40</v>
      </c>
      <c r="B40" s="14">
        <f>Лист1!B33</f>
        <v>128.2</v>
      </c>
      <c r="C40" s="122">
        <f>Лист1!C33</f>
        <v>0</v>
      </c>
      <c r="D40" s="160">
        <f>Лист1!D33</f>
        <v>0</v>
      </c>
      <c r="E40" s="40">
        <f>Лист1!O33</f>
        <v>503.48</v>
      </c>
      <c r="F40" s="78">
        <f>Лист1!P33</f>
        <v>0</v>
      </c>
      <c r="G40" s="41">
        <f>Лист1!V33</f>
        <v>0</v>
      </c>
      <c r="H40" s="116">
        <f>Лист1!W33</f>
        <v>0</v>
      </c>
      <c r="I40" s="40">
        <f>Лист1!Y33</f>
        <v>0</v>
      </c>
      <c r="J40" s="15">
        <f>Лист1!AA33+Лист1!AB33</f>
        <v>0</v>
      </c>
      <c r="K40" s="15">
        <f>Лист1!Z33+Лист1!AC33+Лист1!AD33+Лист1!AE33+Лист1!AF33+Лист1!AG33+Лист1!AH33+Лист1!AI33+Лист1!AJ33</f>
        <v>0</v>
      </c>
      <c r="L40" s="16">
        <f>Лист1!AK33+Лист1!AL33+Лист1!AM33</f>
        <v>0</v>
      </c>
      <c r="M40" s="16">
        <f>Лист1!AP33</f>
        <v>0</v>
      </c>
      <c r="N40" s="98">
        <f t="shared" si="4"/>
        <v>0</v>
      </c>
      <c r="O40" s="42">
        <f>Лист1!AV33</f>
        <v>0</v>
      </c>
      <c r="P40" s="102">
        <f>Лист1!AW33</f>
        <v>-503.48</v>
      </c>
      <c r="Q40" s="1"/>
      <c r="R40" s="1"/>
    </row>
    <row r="41" spans="1:18" ht="12.75">
      <c r="A41" s="13" t="s">
        <v>41</v>
      </c>
      <c r="B41" s="14">
        <f>Лист1!B34</f>
        <v>128.2</v>
      </c>
      <c r="C41" s="122">
        <f>Лист1!C34</f>
        <v>0</v>
      </c>
      <c r="D41" s="160">
        <f>Лист1!D34</f>
        <v>0</v>
      </c>
      <c r="E41" s="40">
        <f>Лист1!O34</f>
        <v>503.48</v>
      </c>
      <c r="F41" s="78">
        <f>Лист1!P34</f>
        <v>0</v>
      </c>
      <c r="G41" s="41">
        <f>Лист1!V34</f>
        <v>0</v>
      </c>
      <c r="H41" s="116">
        <f>Лист1!W34</f>
        <v>0</v>
      </c>
      <c r="I41" s="40">
        <f>Лист1!Y34</f>
        <v>0</v>
      </c>
      <c r="J41" s="15">
        <f>Лист1!AA34+Лист1!AB34</f>
        <v>0</v>
      </c>
      <c r="K41" s="15">
        <f>Лист1!Z34+Лист1!AC34+Лист1!AD34+Лист1!AE34+Лист1!AF34+Лист1!AG34+Лист1!AH34+Лист1!AI34+Лист1!AJ34</f>
        <v>0</v>
      </c>
      <c r="L41" s="16">
        <f>Лист1!AK34+Лист1!AL34+Лист1!AM34</f>
        <v>0</v>
      </c>
      <c r="M41" s="16">
        <f>Лист1!AP34</f>
        <v>0</v>
      </c>
      <c r="N41" s="98">
        <f t="shared" si="4"/>
        <v>0</v>
      </c>
      <c r="O41" s="42">
        <f>Лист1!AV34</f>
        <v>0</v>
      </c>
      <c r="P41" s="102">
        <f>Лист1!AW34</f>
        <v>-503.48</v>
      </c>
      <c r="Q41" s="1"/>
      <c r="R41" s="1"/>
    </row>
    <row r="42" spans="1:18" ht="12.75">
      <c r="A42" s="13" t="s">
        <v>42</v>
      </c>
      <c r="B42" s="14">
        <f>Лист1!B35</f>
        <v>128.2</v>
      </c>
      <c r="C42" s="122">
        <f>Лист1!C35</f>
        <v>1108.9299999999998</v>
      </c>
      <c r="D42" s="160">
        <f>Лист1!D35</f>
        <v>485.1168125</v>
      </c>
      <c r="E42" s="40">
        <f>Лист1!O35</f>
        <v>503.48</v>
      </c>
      <c r="F42" s="78">
        <f>Лист1!P35</f>
        <v>0</v>
      </c>
      <c r="G42" s="41">
        <f>Лист1!V35</f>
        <v>0</v>
      </c>
      <c r="H42" s="116">
        <f>Лист1!W35</f>
        <v>485.1168125</v>
      </c>
      <c r="I42" s="40">
        <f>Лист1!Y35</f>
        <v>0</v>
      </c>
      <c r="J42" s="15">
        <f>Лист1!AA35+Лист1!AB35</f>
        <v>0</v>
      </c>
      <c r="K42" s="15">
        <f>Лист1!Z35+Лист1!AC35+Лист1!AD35+Лист1!AE35+Лист1!AF35+Лист1!AG35+Лист1!AH35+Лист1!AI35+Лист1!AJ35</f>
        <v>0</v>
      </c>
      <c r="L42" s="16">
        <f>Лист1!AK35+Лист1!AL35+Лист1!AM35</f>
        <v>0</v>
      </c>
      <c r="M42" s="16">
        <f>Лист1!AP35</f>
        <v>0</v>
      </c>
      <c r="N42" s="98">
        <f t="shared" si="4"/>
        <v>0</v>
      </c>
      <c r="O42" s="42">
        <f>Лист1!AV35</f>
        <v>485.1168125</v>
      </c>
      <c r="P42" s="102">
        <f>Лист1!AW35</f>
        <v>-503.48</v>
      </c>
      <c r="Q42" s="1"/>
      <c r="R42" s="1"/>
    </row>
    <row r="43" spans="1:18" ht="12.75">
      <c r="A43" s="13" t="s">
        <v>43</v>
      </c>
      <c r="B43" s="14">
        <f>Лист1!B36</f>
        <v>128.2</v>
      </c>
      <c r="C43" s="122">
        <f>Лист1!C36</f>
        <v>1108.9299999999998</v>
      </c>
      <c r="D43" s="160">
        <f>Лист1!D36</f>
        <v>487.94123675</v>
      </c>
      <c r="E43" s="40">
        <f>Лист1!O36</f>
        <v>503.48</v>
      </c>
      <c r="F43" s="78">
        <f>Лист1!P36</f>
        <v>0</v>
      </c>
      <c r="G43" s="41">
        <f>Лист1!V36</f>
        <v>155.85</v>
      </c>
      <c r="H43" s="116">
        <f>Лист1!W36</f>
        <v>643.7912367499999</v>
      </c>
      <c r="I43" s="40">
        <f>Лист1!Y36</f>
        <v>76.91999999999999</v>
      </c>
      <c r="J43" s="15">
        <f>Лист1!AA36+Лист1!AB36</f>
        <v>0</v>
      </c>
      <c r="K43" s="15">
        <f>Лист1!Z36+Лист1!AC36+Лист1!AD36+Лист1!AE36+Лист1!AF36+Лист1!AG36+Лист1!AH36+Лист1!AI36+Лист1!AJ36</f>
        <v>25.64</v>
      </c>
      <c r="L43" s="16">
        <f>Лист1!AK36+Лист1!AL36+Лист1!AM36</f>
        <v>0</v>
      </c>
      <c r="M43" s="16">
        <f>Лист1!AP36</f>
        <v>0</v>
      </c>
      <c r="N43" s="98">
        <f t="shared" si="4"/>
        <v>102.55999999999999</v>
      </c>
      <c r="O43" s="42">
        <f>Лист1!AV36</f>
        <v>541.23123675</v>
      </c>
      <c r="P43" s="102">
        <f>Лист1!AW36</f>
        <v>-347.63</v>
      </c>
      <c r="Q43" s="1"/>
      <c r="R43" s="1"/>
    </row>
    <row r="44" spans="1:18" ht="12.75">
      <c r="A44" s="13" t="s">
        <v>44</v>
      </c>
      <c r="B44" s="14">
        <f>Лист1!B37</f>
        <v>128.2</v>
      </c>
      <c r="C44" s="122">
        <f>Лист1!C37</f>
        <v>1108.9299999999998</v>
      </c>
      <c r="D44" s="160">
        <f>Лист1!D37</f>
        <v>519.3047576499999</v>
      </c>
      <c r="E44" s="40">
        <f>Лист1!O37</f>
        <v>503.48</v>
      </c>
      <c r="F44" s="78">
        <f>Лист1!P37</f>
        <v>0</v>
      </c>
      <c r="G44" s="41">
        <f>Лист1!V37</f>
        <v>0</v>
      </c>
      <c r="H44" s="116">
        <f>Лист1!W37</f>
        <v>519.3047576499999</v>
      </c>
      <c r="I44" s="40">
        <f>Лист1!Y37</f>
        <v>76.91999999999999</v>
      </c>
      <c r="J44" s="15">
        <f>Лист1!AA37+Лист1!AB37</f>
        <v>0</v>
      </c>
      <c r="K44" s="15">
        <f>Лист1!Z37+Лист1!AC37+Лист1!AD37+Лист1!AE37+Лист1!AF37+Лист1!AG37+Лист1!AH37+Лист1!AI37+Лист1!AJ37</f>
        <v>179.48000000000002</v>
      </c>
      <c r="L44" s="16">
        <f>Лист1!AK37+Лист1!AL37+Лист1!AM37</f>
        <v>47.8</v>
      </c>
      <c r="M44" s="16">
        <f>Лист1!AP37</f>
        <v>0</v>
      </c>
      <c r="N44" s="98">
        <f>SUM(I44:M44)</f>
        <v>304.2</v>
      </c>
      <c r="O44" s="42">
        <f>Лист1!AV37</f>
        <v>215.10475764999995</v>
      </c>
      <c r="P44" s="102">
        <f>Лист1!AW37</f>
        <v>-503.48</v>
      </c>
      <c r="Q44" s="1"/>
      <c r="R44" s="1"/>
    </row>
    <row r="45" spans="1:18" ht="12.75">
      <c r="A45" s="13" t="s">
        <v>45</v>
      </c>
      <c r="B45" s="14">
        <f>Лист1!B38</f>
        <v>128.2</v>
      </c>
      <c r="C45" s="122">
        <f>Лист1!C38</f>
        <v>1108.9299999999998</v>
      </c>
      <c r="D45" s="160">
        <f>Лист1!D38</f>
        <v>530.0896385</v>
      </c>
      <c r="E45" s="40">
        <f>Лист1!O38</f>
        <v>503.48</v>
      </c>
      <c r="F45" s="78">
        <f>Лист1!P38</f>
        <v>0</v>
      </c>
      <c r="G45" s="41">
        <f>Лист1!V38</f>
        <v>481.93000000000006</v>
      </c>
      <c r="H45" s="116">
        <f>Лист1!W38</f>
        <v>1012.0196385</v>
      </c>
      <c r="I45" s="40">
        <f>Лист1!Y38</f>
        <v>76.91999999999999</v>
      </c>
      <c r="J45" s="15">
        <f>Лист1!AA38+Лист1!AB38</f>
        <v>0</v>
      </c>
      <c r="K45" s="15">
        <f>Лист1!Z38+Лист1!AC38+Лист1!AD38+Лист1!AE38+Лист1!AF38+Лист1!AG38+Лист1!AH38+Лист1!AI38+Лист1!AJ38</f>
        <v>25.64</v>
      </c>
      <c r="L45" s="16">
        <f>Лист1!AK38+Лист1!AL38+Лист1!AM38</f>
        <v>0</v>
      </c>
      <c r="M45" s="16">
        <f>Лист1!AP38</f>
        <v>0</v>
      </c>
      <c r="N45" s="98">
        <f>SUM(I45:M45)</f>
        <v>102.55999999999999</v>
      </c>
      <c r="O45" s="42">
        <f>Лист1!AV38</f>
        <v>909.4596385000001</v>
      </c>
      <c r="P45" s="102">
        <f>Лист1!AW38</f>
        <v>-21.549999999999955</v>
      </c>
      <c r="Q45" s="1"/>
      <c r="R45" s="1"/>
    </row>
    <row r="46" spans="1:18" ht="12.75">
      <c r="A46" s="13" t="s">
        <v>33</v>
      </c>
      <c r="B46" s="14">
        <f>Лист1!B39</f>
        <v>128.2</v>
      </c>
      <c r="C46" s="122">
        <f>Лист1!C39</f>
        <v>1108.9299999999998</v>
      </c>
      <c r="D46" s="160">
        <f>Лист1!D39</f>
        <v>491.2064286</v>
      </c>
      <c r="E46" s="40">
        <f>Лист1!O39</f>
        <v>503.48</v>
      </c>
      <c r="F46" s="78">
        <f>Лист1!P39</f>
        <v>0</v>
      </c>
      <c r="G46" s="41">
        <f>Лист1!V39</f>
        <v>1111.17</v>
      </c>
      <c r="H46" s="116">
        <f>Лист1!W39</f>
        <v>1602.3764286</v>
      </c>
      <c r="I46" s="40">
        <f>Лист1!Y39</f>
        <v>76.91999999999999</v>
      </c>
      <c r="J46" s="15">
        <f>Лист1!AA39+Лист1!AB39</f>
        <v>0</v>
      </c>
      <c r="K46" s="15">
        <f>Лист1!Z39+Лист1!AC39+Лист1!AD39+Лист1!AE39+Лист1!AF39+Лист1!AG39+Лист1!AH39+Лист1!AI39+Лист1!AJ39</f>
        <v>25.64</v>
      </c>
      <c r="L46" s="16">
        <f>Лист1!AK39+Лист1!AL39+Лист1!AM39</f>
        <v>0</v>
      </c>
      <c r="M46" s="16">
        <f>Лист1!AP39</f>
        <v>0</v>
      </c>
      <c r="N46" s="98">
        <f>SUM(I46:M46)</f>
        <v>102.55999999999999</v>
      </c>
      <c r="O46" s="42">
        <f>Лист1!AV39</f>
        <v>1499.8164286</v>
      </c>
      <c r="P46" s="102">
        <f>Лист1!AW39</f>
        <v>607.69</v>
      </c>
      <c r="Q46" s="1"/>
      <c r="R46" s="1"/>
    </row>
    <row r="47" spans="1:18" ht="12.75">
      <c r="A47" s="13" t="s">
        <v>34</v>
      </c>
      <c r="B47" s="14">
        <f>Лист1!B40</f>
        <v>128.2</v>
      </c>
      <c r="C47" s="122">
        <f>Лист1!C40</f>
        <v>1108.9299999999998</v>
      </c>
      <c r="D47" s="160">
        <f>Лист1!D40</f>
        <v>527.1526005499999</v>
      </c>
      <c r="E47" s="40">
        <f>Лист1!O40</f>
        <v>503.48</v>
      </c>
      <c r="F47" s="78">
        <f>Лист1!P40</f>
        <v>0</v>
      </c>
      <c r="G47" s="41">
        <f>Лист1!V40</f>
        <v>427.07</v>
      </c>
      <c r="H47" s="116">
        <f>Лист1!W40</f>
        <v>954.2226005499999</v>
      </c>
      <c r="I47" s="40">
        <f>Лист1!Y40</f>
        <v>76.91999999999999</v>
      </c>
      <c r="J47" s="15">
        <f>Лист1!AA40+Лист1!AB40</f>
        <v>0</v>
      </c>
      <c r="K47" s="15">
        <f>Лист1!Z40+Лист1!AC40+Лист1!AD40+Лист1!AE40+Лист1!AF40+Лист1!AG40+Лист1!AH40+Лист1!AI40+Лист1!AJ40</f>
        <v>25.64</v>
      </c>
      <c r="L47" s="16">
        <f>Лист1!AK40+Лист1!AL40+Лист1!AM40</f>
        <v>0</v>
      </c>
      <c r="M47" s="16">
        <f>Лист1!AP40</f>
        <v>0</v>
      </c>
      <c r="N47" s="98">
        <f>SUM(I47:M47)</f>
        <v>102.55999999999999</v>
      </c>
      <c r="O47" s="42">
        <f>Лист1!AV40</f>
        <v>851.66260055</v>
      </c>
      <c r="P47" s="102">
        <f>Лист1!AW40</f>
        <v>-76.41000000000003</v>
      </c>
      <c r="Q47" s="1"/>
      <c r="R47" s="1"/>
    </row>
    <row r="48" spans="1:18" ht="13.5" thickBot="1">
      <c r="A48" s="43" t="s">
        <v>35</v>
      </c>
      <c r="B48" s="14">
        <f>Лист1!B41</f>
        <v>128.2</v>
      </c>
      <c r="C48" s="122">
        <f>Лист1!C41</f>
        <v>1108.9299999999998</v>
      </c>
      <c r="D48" s="160">
        <f>Лист1!D41</f>
        <v>553.9625319999999</v>
      </c>
      <c r="E48" s="40">
        <f>Лист1!O41</f>
        <v>503.48</v>
      </c>
      <c r="F48" s="78">
        <f>Лист1!P41</f>
        <v>0</v>
      </c>
      <c r="G48" s="41">
        <f>Лист1!V41</f>
        <v>111.08999999999999</v>
      </c>
      <c r="H48" s="116">
        <f>Лист1!W41</f>
        <v>665.0525319999999</v>
      </c>
      <c r="I48" s="40">
        <f>Лист1!Y41</f>
        <v>76.91999999999999</v>
      </c>
      <c r="J48" s="15">
        <f>Лист1!AA41+Лист1!AB41</f>
        <v>0</v>
      </c>
      <c r="K48" s="15">
        <f>Лист1!Z41+Лист1!AC41+Лист1!AD41+Лист1!AE41+Лист1!AF41+Лист1!AG41+Лист1!AH41+Лист1!AI41+Лист1!AJ41</f>
        <v>25.64</v>
      </c>
      <c r="L48" s="16">
        <f>Лист1!AK41+Лист1!AL41+Лист1!AM41</f>
        <v>0</v>
      </c>
      <c r="M48" s="16">
        <f>Лист1!AP41</f>
        <v>0</v>
      </c>
      <c r="N48" s="98">
        <f>SUM(I48:M48)</f>
        <v>102.55999999999999</v>
      </c>
      <c r="O48" s="42">
        <f>Лист1!AV41</f>
        <v>562.492532</v>
      </c>
      <c r="P48" s="102">
        <f>Лист1!AW41</f>
        <v>-392.39000000000004</v>
      </c>
      <c r="Q48" s="1"/>
      <c r="R48" s="1"/>
    </row>
    <row r="49" spans="1:18" s="23" customFormat="1" ht="13.5" thickBot="1">
      <c r="A49" s="44" t="s">
        <v>3</v>
      </c>
      <c r="B49" s="45"/>
      <c r="C49" s="48">
        <f aca="true" t="shared" si="5" ref="C49:P49">SUM(C37:C48)</f>
        <v>7762.51</v>
      </c>
      <c r="D49" s="50">
        <f t="shared" si="5"/>
        <v>3594.7740065499997</v>
      </c>
      <c r="E49" s="49">
        <f t="shared" si="5"/>
        <v>5140.119999999999</v>
      </c>
      <c r="F49" s="46">
        <f t="shared" si="5"/>
        <v>0</v>
      </c>
      <c r="G49" s="47">
        <f t="shared" si="5"/>
        <v>2400.9900000000002</v>
      </c>
      <c r="H49" s="91">
        <f t="shared" si="5"/>
        <v>5995.764006549999</v>
      </c>
      <c r="I49" s="49">
        <f t="shared" si="5"/>
        <v>461.51999999999987</v>
      </c>
      <c r="J49" s="46">
        <f t="shared" si="5"/>
        <v>0</v>
      </c>
      <c r="K49" s="46">
        <f t="shared" si="5"/>
        <v>307.67999999999995</v>
      </c>
      <c r="L49" s="46">
        <f t="shared" si="5"/>
        <v>47.8</v>
      </c>
      <c r="M49" s="46">
        <f t="shared" si="5"/>
        <v>0</v>
      </c>
      <c r="N49" s="83">
        <f t="shared" si="5"/>
        <v>816.9999999999999</v>
      </c>
      <c r="O49" s="50">
        <f t="shared" si="5"/>
        <v>5178.76400655</v>
      </c>
      <c r="P49" s="105">
        <f t="shared" si="5"/>
        <v>-2739.13</v>
      </c>
      <c r="Q49" s="52"/>
      <c r="R49" s="52"/>
    </row>
    <row r="50" spans="1:18" ht="13.5" thickBot="1">
      <c r="A50" s="85" t="s">
        <v>60</v>
      </c>
      <c r="B50" s="86"/>
      <c r="C50" s="87"/>
      <c r="D50" s="109"/>
      <c r="E50" s="86"/>
      <c r="F50" s="86"/>
      <c r="G50" s="85"/>
      <c r="H50" s="120"/>
      <c r="I50" s="86"/>
      <c r="J50" s="86"/>
      <c r="K50" s="86"/>
      <c r="L50" s="86"/>
      <c r="M50" s="86"/>
      <c r="N50" s="88"/>
      <c r="O50" s="109"/>
      <c r="P50" s="106"/>
      <c r="Q50" s="1"/>
      <c r="R50" s="1"/>
    </row>
    <row r="51" spans="1:16" ht="13.5" thickBot="1">
      <c r="A51" s="57" t="s">
        <v>46</v>
      </c>
      <c r="B51" s="58"/>
      <c r="C51" s="59">
        <f>C35+C49</f>
        <v>21069.67</v>
      </c>
      <c r="D51" s="61">
        <f aca="true" t="shared" si="6" ref="D51:P51">D35+D49</f>
        <v>7471.824198849999</v>
      </c>
      <c r="E51" s="114">
        <f t="shared" si="6"/>
        <v>5320.549999999999</v>
      </c>
      <c r="F51" s="113">
        <f t="shared" si="6"/>
        <v>0</v>
      </c>
      <c r="G51" s="60">
        <f t="shared" si="6"/>
        <v>2546.7400000000002</v>
      </c>
      <c r="H51" s="84">
        <f t="shared" si="6"/>
        <v>10018.56419885</v>
      </c>
      <c r="I51" s="114">
        <f t="shared" si="6"/>
        <v>1353.7919999999997</v>
      </c>
      <c r="J51" s="58">
        <f t="shared" si="6"/>
        <v>1477.032391644</v>
      </c>
      <c r="K51" s="58">
        <f t="shared" si="6"/>
        <v>10555.5596264052</v>
      </c>
      <c r="L51" s="58">
        <f t="shared" si="6"/>
        <v>614.1999999999999</v>
      </c>
      <c r="M51" s="58">
        <f t="shared" si="6"/>
        <v>0</v>
      </c>
      <c r="N51" s="92">
        <f t="shared" si="6"/>
        <v>14000.5840180492</v>
      </c>
      <c r="O51" s="61">
        <f t="shared" si="6"/>
        <v>-3982.0198191991985</v>
      </c>
      <c r="P51" s="107">
        <f t="shared" si="6"/>
        <v>-2773.81</v>
      </c>
    </row>
    <row r="53" spans="1:18" ht="12.75">
      <c r="A53" s="23" t="s">
        <v>61</v>
      </c>
      <c r="D53" s="2" t="s">
        <v>88</v>
      </c>
      <c r="Q53" s="1"/>
      <c r="R53" s="1"/>
    </row>
    <row r="54" spans="1:18" ht="12.75">
      <c r="A54" s="25" t="s">
        <v>62</v>
      </c>
      <c r="B54" s="25" t="s">
        <v>63</v>
      </c>
      <c r="C54" s="348" t="s">
        <v>64</v>
      </c>
      <c r="D54" s="348"/>
      <c r="Q54" s="1"/>
      <c r="R54" s="1"/>
    </row>
    <row r="55" spans="1:18" ht="12.75">
      <c r="A55" s="73">
        <v>2060.88</v>
      </c>
      <c r="B55" s="75">
        <v>9045</v>
      </c>
      <c r="C55" s="349">
        <f>A55-B55</f>
        <v>-6984.12</v>
      </c>
      <c r="D55" s="350"/>
      <c r="Q55" s="1"/>
      <c r="R55" s="1"/>
    </row>
    <row r="56" spans="1:18" ht="12.75">
      <c r="A56" s="63"/>
      <c r="Q56" s="1"/>
      <c r="R56" s="1"/>
    </row>
    <row r="57" spans="1:18" ht="12.75">
      <c r="A57" s="63"/>
      <c r="Q57" s="1"/>
      <c r="R57" s="1"/>
    </row>
    <row r="58" spans="1:18" ht="12.75">
      <c r="A58" s="2" t="s">
        <v>65</v>
      </c>
      <c r="G58" s="2" t="s">
        <v>66</v>
      </c>
      <c r="Q58" s="1"/>
      <c r="R58" s="1"/>
    </row>
    <row r="59" ht="12.75">
      <c r="A59" s="1"/>
    </row>
    <row r="60" ht="12.75">
      <c r="A60" s="1"/>
    </row>
    <row r="61" ht="12.75">
      <c r="A61" s="1" t="s">
        <v>67</v>
      </c>
    </row>
    <row r="62" ht="12.75">
      <c r="A62" s="2" t="s">
        <v>68</v>
      </c>
    </row>
  </sheetData>
  <sheetProtection/>
  <mergeCells count="21">
    <mergeCell ref="L12:L13"/>
    <mergeCell ref="K12:K13"/>
    <mergeCell ref="A6:O6"/>
    <mergeCell ref="A10:A13"/>
    <mergeCell ref="B10:B13"/>
    <mergeCell ref="C10:C13"/>
    <mergeCell ref="D10:D13"/>
    <mergeCell ref="E10:F11"/>
    <mergeCell ref="I10:N11"/>
    <mergeCell ref="O10:O13"/>
    <mergeCell ref="A7:G7"/>
    <mergeCell ref="G10:H11"/>
    <mergeCell ref="C54:D54"/>
    <mergeCell ref="C55:D55"/>
    <mergeCell ref="N12:N13"/>
    <mergeCell ref="M12:M13"/>
    <mergeCell ref="P10:P13"/>
    <mergeCell ref="E12:F12"/>
    <mergeCell ref="H12:H13"/>
    <mergeCell ref="I12:I13"/>
    <mergeCell ref="J12:J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5"/>
  <sheetViews>
    <sheetView zoomScalePageLayoutView="0" workbookViewId="0" topLeftCell="A1">
      <pane xSplit="2" ySplit="2" topLeftCell="R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9" sqref="P9"/>
    </sheetView>
  </sheetViews>
  <sheetFormatPr defaultColWidth="9.00390625" defaultRowHeight="12.75"/>
  <cols>
    <col min="1" max="1" width="8.75390625" style="387" bestFit="1" customWidth="1"/>
    <col min="2" max="2" width="9.125" style="387" customWidth="1"/>
    <col min="3" max="3" width="10.125" style="387" customWidth="1"/>
    <col min="4" max="4" width="10.375" style="387" customWidth="1"/>
    <col min="5" max="5" width="11.125" style="387" customWidth="1"/>
    <col min="6" max="6" width="10.875" style="387" customWidth="1"/>
    <col min="7" max="8" width="12.125" style="387" customWidth="1"/>
    <col min="9" max="9" width="12.00390625" style="387" customWidth="1"/>
    <col min="10" max="10" width="11.125" style="387" customWidth="1"/>
    <col min="11" max="11" width="11.00390625" style="387" customWidth="1"/>
    <col min="12" max="12" width="12.375" style="387" customWidth="1"/>
    <col min="13" max="13" width="10.125" style="387" bestFit="1" customWidth="1"/>
    <col min="14" max="14" width="15.625" style="387" customWidth="1"/>
    <col min="15" max="15" width="16.375" style="387" customWidth="1"/>
    <col min="16" max="16" width="14.625" style="387" customWidth="1"/>
    <col min="17" max="17" width="11.625" style="387" customWidth="1"/>
    <col min="18" max="18" width="11.25390625" style="387" customWidth="1"/>
    <col min="19" max="19" width="10.625" style="387" customWidth="1"/>
    <col min="20" max="20" width="9.25390625" style="387" customWidth="1"/>
    <col min="21" max="22" width="11.375" style="387" customWidth="1"/>
    <col min="23" max="23" width="12.625" style="387" customWidth="1"/>
    <col min="24" max="24" width="9.25390625" style="387" bestFit="1" customWidth="1"/>
    <col min="25" max="25" width="11.625" style="387" customWidth="1"/>
    <col min="26" max="26" width="9.25390625" style="387" customWidth="1"/>
    <col min="27" max="27" width="10.625" style="387" customWidth="1"/>
    <col min="28" max="28" width="10.75390625" style="387" customWidth="1"/>
    <col min="29" max="29" width="12.125" style="387" customWidth="1"/>
    <col min="30" max="30" width="11.75390625" style="387" customWidth="1"/>
    <col min="31" max="32" width="10.375" style="387" customWidth="1"/>
    <col min="33" max="33" width="10.75390625" style="387" customWidth="1"/>
    <col min="34" max="34" width="9.125" style="387" customWidth="1"/>
    <col min="35" max="35" width="10.125" style="387" bestFit="1" customWidth="1"/>
    <col min="36" max="36" width="9.125" style="387" customWidth="1"/>
    <col min="37" max="37" width="9.75390625" style="387" bestFit="1" customWidth="1"/>
    <col min="38" max="16384" width="9.125" style="387" customWidth="1"/>
  </cols>
  <sheetData>
    <row r="1" spans="1:16" ht="21" customHeight="1">
      <c r="A1" s="290" t="s">
        <v>107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386"/>
    </row>
    <row r="2" spans="1:16" ht="15" customHeight="1">
      <c r="A2" s="386"/>
      <c r="B2" s="388"/>
      <c r="C2" s="389"/>
      <c r="D2" s="389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</row>
    <row r="3" ht="13.5" thickBot="1"/>
    <row r="4" spans="1:29" ht="31.5" customHeight="1" thickBot="1">
      <c r="A4" s="363" t="s">
        <v>90</v>
      </c>
      <c r="B4" s="293" t="s">
        <v>0</v>
      </c>
      <c r="C4" s="295" t="s">
        <v>1</v>
      </c>
      <c r="D4" s="390" t="s">
        <v>2</v>
      </c>
      <c r="E4" s="291" t="s">
        <v>91</v>
      </c>
      <c r="F4" s="299"/>
      <c r="G4" s="307"/>
      <c r="H4" s="307" t="s">
        <v>92</v>
      </c>
      <c r="I4" s="391" t="s">
        <v>3</v>
      </c>
      <c r="J4" s="392" t="s">
        <v>4</v>
      </c>
      <c r="K4" s="393"/>
      <c r="L4" s="394"/>
      <c r="M4" s="395" t="s">
        <v>21</v>
      </c>
      <c r="N4" s="325" t="s">
        <v>93</v>
      </c>
      <c r="O4" s="333" t="s">
        <v>73</v>
      </c>
      <c r="P4" s="337" t="s">
        <v>6</v>
      </c>
      <c r="Q4" s="338"/>
      <c r="R4" s="338"/>
      <c r="S4" s="338"/>
      <c r="T4" s="338"/>
      <c r="U4" s="338"/>
      <c r="V4" s="338"/>
      <c r="W4" s="338"/>
      <c r="X4" s="338"/>
      <c r="Y4" s="339"/>
      <c r="Z4" s="334" t="s">
        <v>74</v>
      </c>
      <c r="AA4" s="335"/>
      <c r="AB4" s="330" t="s">
        <v>7</v>
      </c>
      <c r="AC4" s="330" t="s">
        <v>8</v>
      </c>
    </row>
    <row r="5" spans="1:29" ht="20.25" customHeight="1" thickBot="1">
      <c r="A5" s="364"/>
      <c r="B5" s="294"/>
      <c r="C5" s="296"/>
      <c r="D5" s="396"/>
      <c r="E5" s="300"/>
      <c r="F5" s="301"/>
      <c r="G5" s="308"/>
      <c r="H5" s="324"/>
      <c r="I5" s="397"/>
      <c r="J5" s="398"/>
      <c r="K5" s="399"/>
      <c r="L5" s="400"/>
      <c r="M5" s="401"/>
      <c r="N5" s="326"/>
      <c r="O5" s="280"/>
      <c r="P5" s="322"/>
      <c r="Q5" s="340"/>
      <c r="R5" s="340"/>
      <c r="S5" s="340"/>
      <c r="T5" s="340"/>
      <c r="U5" s="340"/>
      <c r="V5" s="340"/>
      <c r="W5" s="340"/>
      <c r="X5" s="340"/>
      <c r="Y5" s="341"/>
      <c r="Z5" s="309" t="s">
        <v>75</v>
      </c>
      <c r="AA5" s="333" t="s">
        <v>76</v>
      </c>
      <c r="AB5" s="331"/>
      <c r="AC5" s="331"/>
    </row>
    <row r="6" spans="1:29" ht="27" customHeight="1">
      <c r="A6" s="364"/>
      <c r="B6" s="294"/>
      <c r="C6" s="296"/>
      <c r="D6" s="396"/>
      <c r="E6" s="291" t="s">
        <v>94</v>
      </c>
      <c r="F6" s="391" t="s">
        <v>11</v>
      </c>
      <c r="G6" s="391" t="s">
        <v>13</v>
      </c>
      <c r="H6" s="324"/>
      <c r="I6" s="397"/>
      <c r="J6" s="292" t="s">
        <v>94</v>
      </c>
      <c r="K6" s="397" t="s">
        <v>11</v>
      </c>
      <c r="L6" s="323" t="s">
        <v>13</v>
      </c>
      <c r="M6" s="401"/>
      <c r="N6" s="326"/>
      <c r="O6" s="280"/>
      <c r="P6" s="402" t="s">
        <v>22</v>
      </c>
      <c r="Q6" s="403" t="s">
        <v>23</v>
      </c>
      <c r="R6" s="403" t="s">
        <v>94</v>
      </c>
      <c r="S6" s="404"/>
      <c r="T6" s="404"/>
      <c r="U6" s="405" t="s">
        <v>95</v>
      </c>
      <c r="V6" s="406" t="s">
        <v>96</v>
      </c>
      <c r="W6" s="407" t="s">
        <v>97</v>
      </c>
      <c r="X6" s="408" t="s">
        <v>30</v>
      </c>
      <c r="Y6" s="408" t="s">
        <v>25</v>
      </c>
      <c r="Z6" s="310"/>
      <c r="AA6" s="280"/>
      <c r="AB6" s="331"/>
      <c r="AC6" s="331"/>
    </row>
    <row r="7" spans="1:29" ht="26.25" customHeight="1" thickBot="1">
      <c r="A7" s="365"/>
      <c r="B7" s="294"/>
      <c r="C7" s="296"/>
      <c r="D7" s="396"/>
      <c r="E7" s="409"/>
      <c r="F7" s="397"/>
      <c r="G7" s="410"/>
      <c r="H7" s="411"/>
      <c r="I7" s="397"/>
      <c r="J7" s="409"/>
      <c r="K7" s="397"/>
      <c r="L7" s="323"/>
      <c r="M7" s="401"/>
      <c r="N7" s="326"/>
      <c r="O7" s="280"/>
      <c r="P7" s="412"/>
      <c r="Q7" s="413"/>
      <c r="R7" s="413"/>
      <c r="S7" s="414"/>
      <c r="T7" s="414"/>
      <c r="U7" s="415"/>
      <c r="V7" s="416"/>
      <c r="W7" s="417"/>
      <c r="X7" s="418"/>
      <c r="Y7" s="418"/>
      <c r="Z7" s="310"/>
      <c r="AA7" s="280"/>
      <c r="AB7" s="331"/>
      <c r="AC7" s="331"/>
    </row>
    <row r="8" spans="1:51" s="23" customFormat="1" ht="13.5" thickBot="1">
      <c r="A8" s="419" t="s">
        <v>46</v>
      </c>
      <c r="B8" s="27"/>
      <c r="C8" s="27">
        <f>Лист1!C44</f>
        <v>21069.67</v>
      </c>
      <c r="D8" s="27">
        <f>Лист1!D44</f>
        <v>7471.824198849999</v>
      </c>
      <c r="E8" s="156">
        <f>Лист1!E44+Лист1!G44+Лист1!K44</f>
        <v>2736.16</v>
      </c>
      <c r="F8" s="156">
        <f>Лист1!I44</f>
        <v>2074.55</v>
      </c>
      <c r="G8" s="420">
        <f>Лист1!M44</f>
        <v>509.84000000000003</v>
      </c>
      <c r="H8" s="156">
        <f>Лист1!P44</f>
        <v>0</v>
      </c>
      <c r="I8" s="156">
        <f>Лист1!O44</f>
        <v>5320.549999999999</v>
      </c>
      <c r="J8" s="156">
        <f>Лист1!Q44+Лист1!R44+Лист1!T44</f>
        <v>1311.4899999999998</v>
      </c>
      <c r="K8" s="156">
        <f>Лист1!S44</f>
        <v>991.5600000000001</v>
      </c>
      <c r="L8" s="156">
        <f>Лист1!U44</f>
        <v>243.68999999999997</v>
      </c>
      <c r="M8" s="156">
        <f>Лист1!V44</f>
        <v>2546.7400000000002</v>
      </c>
      <c r="N8" s="156">
        <f>Лист1!W44</f>
        <v>10018.56419885</v>
      </c>
      <c r="O8" s="156">
        <f>'[2]Лист1'!X44</f>
        <v>0</v>
      </c>
      <c r="P8" s="156">
        <f>Лист1!Y44</f>
        <v>1353.7919999999997</v>
      </c>
      <c r="Q8" s="156">
        <f>Лист1!Z44</f>
        <v>608.7189839999999</v>
      </c>
      <c r="R8" s="421">
        <f>Лист1!AA44+Лист1!AB44+Лист1!AC44+Лист1!AD44+Лист1!AE44+Лист1!AF44</f>
        <v>6023.437834049199</v>
      </c>
      <c r="U8" s="421">
        <f>Лист1!AK44+Лист1!AM44</f>
        <v>566.4</v>
      </c>
      <c r="V8" s="421">
        <f>Лист1!AL44</f>
        <v>47.8</v>
      </c>
      <c r="W8" s="421">
        <f>Лист1!AI44+Лист1!AJ44</f>
        <v>5400.435199999999</v>
      </c>
      <c r="X8" s="421">
        <v>0</v>
      </c>
      <c r="Y8" s="421">
        <v>0</v>
      </c>
      <c r="Z8" s="421">
        <f>'[3]Лист1'!$BC$39</f>
        <v>0</v>
      </c>
      <c r="AA8" s="27">
        <f>Лист1!AS44</f>
        <v>14000.5840180492</v>
      </c>
      <c r="AB8" s="27">
        <f>Лист1!AV44</f>
        <v>-3982.0198191991985</v>
      </c>
      <c r="AC8" s="27">
        <f>Лист1!AW44</f>
        <v>-2773.81</v>
      </c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52"/>
    </row>
    <row r="9" spans="1:37" ht="12.75">
      <c r="A9" s="422" t="s">
        <v>98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4"/>
      <c r="AE9" s="424"/>
      <c r="AF9" s="424"/>
      <c r="AG9" s="424"/>
      <c r="AH9" s="386"/>
      <c r="AI9" s="386"/>
      <c r="AJ9" s="386"/>
      <c r="AK9" s="386"/>
    </row>
    <row r="10" spans="1:51" ht="12.75">
      <c r="A10" s="423" t="s">
        <v>37</v>
      </c>
      <c r="B10" s="265">
        <v>128.2</v>
      </c>
      <c r="C10" s="257">
        <f>B10*8.55*0.5</f>
        <v>548.055</v>
      </c>
      <c r="D10" s="276">
        <v>0</v>
      </c>
      <c r="E10" s="425">
        <v>667.47</v>
      </c>
      <c r="F10" s="425">
        <v>162.04</v>
      </c>
      <c r="G10" s="425">
        <v>56.18</v>
      </c>
      <c r="H10" s="425"/>
      <c r="I10" s="426">
        <f>E10+F10+G10</f>
        <v>885.6899999999999</v>
      </c>
      <c r="J10" s="264">
        <v>0</v>
      </c>
      <c r="K10" s="264">
        <v>0</v>
      </c>
      <c r="L10" s="427">
        <v>0</v>
      </c>
      <c r="M10" s="265">
        <f>SUM(J10:L10)</f>
        <v>0</v>
      </c>
      <c r="N10" s="428">
        <f>M10+D10</f>
        <v>0</v>
      </c>
      <c r="O10" s="428"/>
      <c r="P10" s="429">
        <f>0.67*B10</f>
        <v>85.89399999999999</v>
      </c>
      <c r="Q10" s="429">
        <f>B10*0.2</f>
        <v>25.64</v>
      </c>
      <c r="R10" s="429">
        <v>0</v>
      </c>
      <c r="S10" s="429"/>
      <c r="T10" s="429"/>
      <c r="U10" s="430"/>
      <c r="V10" s="430"/>
      <c r="W10" s="430"/>
      <c r="X10" s="431"/>
      <c r="Y10" s="432"/>
      <c r="Z10" s="432">
        <f aca="true" t="shared" si="0" ref="Z10:Z21">Y10*0.18</f>
        <v>0</v>
      </c>
      <c r="AA10" s="432">
        <f>SUM(P10:Z10)</f>
        <v>111.53399999999999</v>
      </c>
      <c r="AB10" s="433">
        <f>N10-AA10</f>
        <v>-111.53399999999999</v>
      </c>
      <c r="AC10" s="429">
        <f>M10-I10</f>
        <v>-885.6899999999999</v>
      </c>
      <c r="AD10" s="526"/>
      <c r="AE10" s="526"/>
      <c r="AF10" s="526"/>
      <c r="AG10" s="526"/>
      <c r="AH10" s="526"/>
      <c r="AI10" s="526"/>
      <c r="AJ10" s="526"/>
      <c r="AK10" s="526"/>
      <c r="AL10" s="526"/>
      <c r="AM10" s="526"/>
      <c r="AN10" s="526"/>
      <c r="AO10" s="526"/>
      <c r="AP10" s="424"/>
      <c r="AQ10" s="424"/>
      <c r="AR10" s="424"/>
      <c r="AS10" s="386"/>
      <c r="AT10" s="386"/>
      <c r="AU10" s="386"/>
      <c r="AV10" s="386"/>
      <c r="AW10" s="386"/>
      <c r="AX10" s="386"/>
      <c r="AY10" s="386"/>
    </row>
    <row r="11" spans="1:52" ht="12.75">
      <c r="A11" s="423" t="s">
        <v>38</v>
      </c>
      <c r="B11" s="434">
        <v>128.2</v>
      </c>
      <c r="C11" s="257">
        <f>B11*8.55*0.5</f>
        <v>548.055</v>
      </c>
      <c r="D11" s="276">
        <v>0</v>
      </c>
      <c r="E11" s="435">
        <v>-0.01</v>
      </c>
      <c r="F11" s="436">
        <v>162.04</v>
      </c>
      <c r="G11" s="437">
        <v>56.18</v>
      </c>
      <c r="H11" s="444"/>
      <c r="I11" s="438">
        <f>E11+F11+G11</f>
        <v>218.21</v>
      </c>
      <c r="J11" s="263">
        <v>0</v>
      </c>
      <c r="K11" s="436">
        <v>0</v>
      </c>
      <c r="L11" s="439">
        <v>0</v>
      </c>
      <c r="M11" s="440">
        <f>SUM(J11:L11)</f>
        <v>0</v>
      </c>
      <c r="N11" s="428">
        <f>M11+D11</f>
        <v>0</v>
      </c>
      <c r="O11" s="428"/>
      <c r="P11" s="429">
        <f>0.67*B11</f>
        <v>85.89399999999999</v>
      </c>
      <c r="Q11" s="429">
        <f>B11*0.2</f>
        <v>25.64</v>
      </c>
      <c r="R11" s="429">
        <v>0</v>
      </c>
      <c r="S11" s="441"/>
      <c r="T11" s="441"/>
      <c r="U11" s="430"/>
      <c r="V11" s="430"/>
      <c r="W11" s="430"/>
      <c r="X11" s="431"/>
      <c r="Y11" s="432"/>
      <c r="Z11" s="432">
        <f t="shared" si="0"/>
        <v>0</v>
      </c>
      <c r="AA11" s="432">
        <f>SUM(P11:Z11)</f>
        <v>111.53399999999999</v>
      </c>
      <c r="AB11" s="433">
        <f aca="true" t="shared" si="1" ref="AB11:AB21">N11-AA11</f>
        <v>-111.53399999999999</v>
      </c>
      <c r="AC11" s="429">
        <f aca="true" t="shared" si="2" ref="AC11:AC21">M11-I11</f>
        <v>-218.21</v>
      </c>
      <c r="AD11" s="526"/>
      <c r="AE11" s="526"/>
      <c r="AF11" s="526"/>
      <c r="AG11" s="526"/>
      <c r="AH11" s="526"/>
      <c r="AI11" s="526"/>
      <c r="AJ11" s="526"/>
      <c r="AK11" s="526"/>
      <c r="AL11" s="526"/>
      <c r="AM11" s="526"/>
      <c r="AN11" s="526"/>
      <c r="AO11" s="526"/>
      <c r="AP11" s="526"/>
      <c r="AQ11" s="424"/>
      <c r="AR11" s="424"/>
      <c r="AS11" s="386"/>
      <c r="AT11" s="386"/>
      <c r="AU11" s="386"/>
      <c r="AV11" s="386"/>
      <c r="AW11" s="386"/>
      <c r="AX11" s="386"/>
      <c r="AY11" s="386"/>
      <c r="AZ11" s="386"/>
    </row>
    <row r="12" spans="1:44" ht="12.75">
      <c r="A12" s="423" t="s">
        <v>39</v>
      </c>
      <c r="B12" s="442">
        <v>128.2</v>
      </c>
      <c r="C12" s="257">
        <f>B12*8.55*0.5</f>
        <v>548.055</v>
      </c>
      <c r="D12" s="276">
        <v>0</v>
      </c>
      <c r="E12" s="435">
        <v>333.73</v>
      </c>
      <c r="F12" s="425">
        <v>162.04</v>
      </c>
      <c r="G12" s="425">
        <v>56.18</v>
      </c>
      <c r="H12" s="444"/>
      <c r="I12" s="443">
        <f>E12+F12+G12</f>
        <v>551.9499999999999</v>
      </c>
      <c r="J12" s="445">
        <v>0</v>
      </c>
      <c r="K12" s="445">
        <v>0</v>
      </c>
      <c r="L12" s="445">
        <v>0</v>
      </c>
      <c r="M12" s="265">
        <f>SUM(J12:L12)</f>
        <v>0</v>
      </c>
      <c r="N12" s="428">
        <f>M12+D12</f>
        <v>0</v>
      </c>
      <c r="O12" s="428"/>
      <c r="P12" s="429">
        <f>0.67*B12</f>
        <v>85.89399999999999</v>
      </c>
      <c r="Q12" s="429">
        <f>B12*0.2</f>
        <v>25.64</v>
      </c>
      <c r="R12" s="429">
        <v>0</v>
      </c>
      <c r="S12" s="441"/>
      <c r="T12" s="441"/>
      <c r="U12" s="430"/>
      <c r="V12" s="430"/>
      <c r="W12" s="430"/>
      <c r="X12" s="431"/>
      <c r="Y12" s="432"/>
      <c r="Z12" s="432">
        <f t="shared" si="0"/>
        <v>0</v>
      </c>
      <c r="AA12" s="432">
        <f>SUM(P12:Z12)</f>
        <v>111.53399999999999</v>
      </c>
      <c r="AB12" s="433">
        <f t="shared" si="1"/>
        <v>-111.53399999999999</v>
      </c>
      <c r="AC12" s="429">
        <f t="shared" si="2"/>
        <v>-551.9499999999999</v>
      </c>
      <c r="AD12" s="526"/>
      <c r="AE12" s="526"/>
      <c r="AF12" s="526"/>
      <c r="AG12" s="526"/>
      <c r="AH12" s="526"/>
      <c r="AI12" s="526"/>
      <c r="AJ12" s="526"/>
      <c r="AK12" s="526"/>
      <c r="AL12" s="526"/>
      <c r="AM12" s="424"/>
      <c r="AN12" s="424"/>
      <c r="AO12" s="424"/>
      <c r="AP12" s="424"/>
      <c r="AQ12" s="424"/>
      <c r="AR12" s="424"/>
    </row>
    <row r="13" spans="1:50" ht="12.75">
      <c r="A13" s="446" t="s">
        <v>40</v>
      </c>
      <c r="B13" s="265">
        <v>128.2</v>
      </c>
      <c r="C13" s="257">
        <f>B13*8.55*0.5</f>
        <v>548.055</v>
      </c>
      <c r="D13" s="523">
        <v>0</v>
      </c>
      <c r="E13" s="435">
        <v>333.73</v>
      </c>
      <c r="F13" s="425">
        <v>162.04</v>
      </c>
      <c r="G13" s="425">
        <v>56.18</v>
      </c>
      <c r="H13" s="454"/>
      <c r="I13" s="447">
        <f>E13+F13+G13</f>
        <v>551.9499999999999</v>
      </c>
      <c r="J13" s="264">
        <v>131.31</v>
      </c>
      <c r="K13" s="264">
        <v>292.81</v>
      </c>
      <c r="L13" s="427">
        <v>78.39</v>
      </c>
      <c r="M13" s="448">
        <f>SUM(J13:L13)</f>
        <v>502.51</v>
      </c>
      <c r="N13" s="449">
        <f>M13+D13</f>
        <v>502.51</v>
      </c>
      <c r="O13" s="449"/>
      <c r="P13" s="450">
        <f>0.67*B13</f>
        <v>85.89399999999999</v>
      </c>
      <c r="Q13" s="450">
        <f>B13*0.2</f>
        <v>25.64</v>
      </c>
      <c r="R13" s="450">
        <v>0</v>
      </c>
      <c r="S13" s="450"/>
      <c r="T13" s="450"/>
      <c r="U13" s="451"/>
      <c r="V13" s="451"/>
      <c r="W13" s="451"/>
      <c r="X13" s="452"/>
      <c r="Y13" s="453"/>
      <c r="Z13" s="453">
        <f t="shared" si="0"/>
        <v>0</v>
      </c>
      <c r="AA13" s="453">
        <f>SUM(P13:Z13)</f>
        <v>111.53399999999999</v>
      </c>
      <c r="AB13" s="433">
        <f t="shared" si="1"/>
        <v>390.976</v>
      </c>
      <c r="AC13" s="429">
        <f t="shared" si="2"/>
        <v>-49.43999999999994</v>
      </c>
      <c r="AD13" s="526"/>
      <c r="AE13" s="526"/>
      <c r="AF13" s="526"/>
      <c r="AG13" s="526"/>
      <c r="AH13" s="526"/>
      <c r="AI13" s="526"/>
      <c r="AJ13" s="526"/>
      <c r="AK13" s="526"/>
      <c r="AL13" s="526"/>
      <c r="AM13" s="526"/>
      <c r="AN13" s="526"/>
      <c r="AO13" s="526"/>
      <c r="AP13" s="526"/>
      <c r="AQ13" s="424"/>
      <c r="AR13" s="424"/>
      <c r="AS13" s="386"/>
      <c r="AT13" s="386"/>
      <c r="AU13" s="386"/>
      <c r="AV13" s="386"/>
      <c r="AW13" s="386"/>
      <c r="AX13" s="386"/>
    </row>
    <row r="14" spans="1:50" ht="12.75">
      <c r="A14" s="446" t="s">
        <v>41</v>
      </c>
      <c r="B14" s="265">
        <v>128.2</v>
      </c>
      <c r="C14" s="257">
        <f>B14*8.55*0.5</f>
        <v>548.055</v>
      </c>
      <c r="D14" s="523">
        <v>0</v>
      </c>
      <c r="E14" s="425">
        <v>667.47</v>
      </c>
      <c r="F14" s="425">
        <v>324.08</v>
      </c>
      <c r="G14" s="454">
        <v>112.35</v>
      </c>
      <c r="H14" s="444"/>
      <c r="I14" s="455">
        <f>SUM(E14:G14)</f>
        <v>1103.8999999999999</v>
      </c>
      <c r="J14" s="264">
        <v>266.38</v>
      </c>
      <c r="K14" s="264">
        <v>217.1</v>
      </c>
      <c r="L14" s="427">
        <v>66.41</v>
      </c>
      <c r="M14" s="456">
        <f>SUM(J14:L14)</f>
        <v>549.89</v>
      </c>
      <c r="N14" s="457">
        <f>M14+D14</f>
        <v>549.89</v>
      </c>
      <c r="O14" s="449"/>
      <c r="P14" s="450">
        <f>0.67*B14</f>
        <v>85.89399999999999</v>
      </c>
      <c r="Q14" s="450">
        <f>B14*0.2</f>
        <v>25.64</v>
      </c>
      <c r="R14" s="450">
        <v>0</v>
      </c>
      <c r="S14" s="450"/>
      <c r="T14" s="450"/>
      <c r="U14" s="451"/>
      <c r="V14" s="451"/>
      <c r="W14" s="451"/>
      <c r="X14" s="452"/>
      <c r="Y14" s="453"/>
      <c r="Z14" s="453">
        <f t="shared" si="0"/>
        <v>0</v>
      </c>
      <c r="AA14" s="453">
        <f>SUM(P14:Z14)</f>
        <v>111.53399999999999</v>
      </c>
      <c r="AB14" s="433">
        <f t="shared" si="1"/>
        <v>438.356</v>
      </c>
      <c r="AC14" s="429">
        <f t="shared" si="2"/>
        <v>-554.0099999999999</v>
      </c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424"/>
      <c r="AR14" s="424"/>
      <c r="AS14" s="386"/>
      <c r="AT14" s="386"/>
      <c r="AU14" s="386"/>
      <c r="AV14" s="386"/>
      <c r="AW14" s="386"/>
      <c r="AX14" s="386"/>
    </row>
    <row r="15" spans="1:52" ht="12.75">
      <c r="A15" s="446" t="s">
        <v>42</v>
      </c>
      <c r="B15" s="458">
        <v>128.2</v>
      </c>
      <c r="C15" s="257">
        <f>B15*8.55</f>
        <v>1096.11</v>
      </c>
      <c r="D15" s="459">
        <v>0</v>
      </c>
      <c r="E15" s="425">
        <v>667.47</v>
      </c>
      <c r="F15" s="425">
        <v>324.08</v>
      </c>
      <c r="G15" s="454">
        <v>112.35</v>
      </c>
      <c r="H15" s="444"/>
      <c r="I15" s="460">
        <f>SUM(E15:G15)</f>
        <v>1103.8999999999999</v>
      </c>
      <c r="J15" s="461">
        <v>367.74</v>
      </c>
      <c r="K15" s="461">
        <v>244.98</v>
      </c>
      <c r="L15" s="462">
        <v>78.24</v>
      </c>
      <c r="M15" s="463">
        <v>690.96</v>
      </c>
      <c r="N15" s="449">
        <f>M15+D15</f>
        <v>690.96</v>
      </c>
      <c r="O15" s="449"/>
      <c r="P15" s="450">
        <f>0.67*B15</f>
        <v>85.89399999999999</v>
      </c>
      <c r="Q15" s="450">
        <f>B15*0.2</f>
        <v>25.64</v>
      </c>
      <c r="R15" s="450">
        <f>3.25*B15</f>
        <v>416.65</v>
      </c>
      <c r="S15" s="450"/>
      <c r="T15" s="450"/>
      <c r="U15" s="451"/>
      <c r="V15" s="451"/>
      <c r="W15" s="451"/>
      <c r="X15" s="451"/>
      <c r="Y15" s="450"/>
      <c r="Z15" s="453">
        <f>Y15*0.18</f>
        <v>0</v>
      </c>
      <c r="AA15" s="464">
        <f>SUM(P15:Z15)</f>
        <v>528.184</v>
      </c>
      <c r="AB15" s="433">
        <f t="shared" si="1"/>
        <v>162.77600000000007</v>
      </c>
      <c r="AC15" s="429">
        <f t="shared" si="2"/>
        <v>-412.9399999999998</v>
      </c>
      <c r="AD15" s="526"/>
      <c r="AE15" s="526"/>
      <c r="AF15" s="526"/>
      <c r="AG15" s="526"/>
      <c r="AH15" s="526"/>
      <c r="AI15" s="526"/>
      <c r="AJ15" s="526"/>
      <c r="AK15" s="526"/>
      <c r="AL15" s="526"/>
      <c r="AM15" s="526"/>
      <c r="AN15" s="526"/>
      <c r="AO15" s="526"/>
      <c r="AP15" s="526"/>
      <c r="AQ15" s="526"/>
      <c r="AR15" s="526"/>
      <c r="AS15" s="424"/>
      <c r="AT15" s="424"/>
      <c r="AU15" s="386"/>
      <c r="AV15" s="386"/>
      <c r="AW15" s="386"/>
      <c r="AX15" s="386"/>
      <c r="AY15" s="386"/>
      <c r="AZ15" s="386"/>
    </row>
    <row r="16" spans="1:46" ht="12.75">
      <c r="A16" s="446" t="s">
        <v>43</v>
      </c>
      <c r="B16" s="524">
        <v>128.2</v>
      </c>
      <c r="C16" s="257">
        <f aca="true" t="shared" si="3" ref="C16:C21">B16*8.55</f>
        <v>1096.11</v>
      </c>
      <c r="D16" s="459">
        <v>0</v>
      </c>
      <c r="E16" s="465">
        <v>667.47</v>
      </c>
      <c r="F16" s="465">
        <v>324.08</v>
      </c>
      <c r="G16" s="466">
        <v>112.35</v>
      </c>
      <c r="H16" s="525"/>
      <c r="I16" s="460">
        <f aca="true" t="shared" si="4" ref="I16:I21">SUM(E16:G16)</f>
        <v>1103.8999999999999</v>
      </c>
      <c r="J16" s="264">
        <v>0</v>
      </c>
      <c r="K16" s="264">
        <v>0</v>
      </c>
      <c r="L16" s="264">
        <v>0</v>
      </c>
      <c r="M16" s="467">
        <f>SUM(J16:L16)</f>
        <v>0</v>
      </c>
      <c r="N16" s="468">
        <f>M16+D16</f>
        <v>0</v>
      </c>
      <c r="O16" s="449"/>
      <c r="P16" s="450">
        <f>0.67*B16</f>
        <v>85.89399999999999</v>
      </c>
      <c r="Q16" s="450">
        <f>B16*0.2</f>
        <v>25.64</v>
      </c>
      <c r="R16" s="450">
        <f>3.25*B16</f>
        <v>416.65</v>
      </c>
      <c r="S16" s="450"/>
      <c r="T16" s="450"/>
      <c r="U16" s="451"/>
      <c r="V16" s="451"/>
      <c r="W16" s="451"/>
      <c r="X16" s="451"/>
      <c r="Y16" s="450"/>
      <c r="Z16" s="453">
        <f t="shared" si="0"/>
        <v>0</v>
      </c>
      <c r="AA16" s="453">
        <f>SUM(P16:Z16)</f>
        <v>528.184</v>
      </c>
      <c r="AB16" s="433">
        <f t="shared" si="1"/>
        <v>-528.184</v>
      </c>
      <c r="AC16" s="429">
        <f t="shared" si="2"/>
        <v>-1103.8999999999999</v>
      </c>
      <c r="AD16" s="526"/>
      <c r="AE16" s="526"/>
      <c r="AF16" s="526"/>
      <c r="AG16" s="526"/>
      <c r="AH16" s="526"/>
      <c r="AI16" s="526"/>
      <c r="AJ16" s="526"/>
      <c r="AK16" s="526"/>
      <c r="AL16" s="527"/>
      <c r="AM16" s="424"/>
      <c r="AN16" s="424"/>
      <c r="AO16" s="424"/>
      <c r="AP16" s="424"/>
      <c r="AQ16" s="424"/>
      <c r="AR16" s="424"/>
      <c r="AS16" s="386"/>
      <c r="AT16" s="386"/>
    </row>
    <row r="17" spans="1:45" ht="12.75">
      <c r="A17" s="446" t="s">
        <v>44</v>
      </c>
      <c r="B17" s="524">
        <v>128.2</v>
      </c>
      <c r="C17" s="257">
        <f t="shared" si="3"/>
        <v>1096.11</v>
      </c>
      <c r="D17" s="459">
        <v>0</v>
      </c>
      <c r="E17" s="425">
        <v>667.47</v>
      </c>
      <c r="F17" s="425">
        <v>324.08</v>
      </c>
      <c r="G17" s="425">
        <v>112.35</v>
      </c>
      <c r="H17" s="444"/>
      <c r="I17" s="460">
        <f t="shared" si="4"/>
        <v>1103.8999999999999</v>
      </c>
      <c r="J17" s="264">
        <v>0</v>
      </c>
      <c r="K17" s="264">
        <v>0</v>
      </c>
      <c r="L17" s="264">
        <v>0</v>
      </c>
      <c r="M17" s="467">
        <f>SUM(J17:L17)</f>
        <v>0</v>
      </c>
      <c r="N17" s="468">
        <f>M17+D17</f>
        <v>0</v>
      </c>
      <c r="O17" s="449"/>
      <c r="P17" s="450">
        <f>0.67*B17</f>
        <v>85.89399999999999</v>
      </c>
      <c r="Q17" s="450">
        <f>B17*0.2</f>
        <v>25.64</v>
      </c>
      <c r="R17" s="450">
        <f>3.25*B17</f>
        <v>416.65</v>
      </c>
      <c r="S17" s="450"/>
      <c r="T17" s="450"/>
      <c r="U17" s="451"/>
      <c r="V17" s="451"/>
      <c r="W17" s="451"/>
      <c r="X17" s="451"/>
      <c r="Y17" s="450"/>
      <c r="Z17" s="453">
        <f t="shared" si="0"/>
        <v>0</v>
      </c>
      <c r="AA17" s="453">
        <f>SUM(P17:Z17)</f>
        <v>528.184</v>
      </c>
      <c r="AB17" s="433">
        <f t="shared" si="1"/>
        <v>-528.184</v>
      </c>
      <c r="AC17" s="429">
        <f t="shared" si="2"/>
        <v>-1103.8999999999999</v>
      </c>
      <c r="AD17" s="526"/>
      <c r="AE17" s="526"/>
      <c r="AF17" s="526"/>
      <c r="AG17" s="526"/>
      <c r="AH17" s="526"/>
      <c r="AI17" s="526"/>
      <c r="AJ17" s="526"/>
      <c r="AK17" s="526"/>
      <c r="AL17" s="424"/>
      <c r="AM17" s="424"/>
      <c r="AN17" s="424"/>
      <c r="AO17" s="424"/>
      <c r="AP17" s="424"/>
      <c r="AQ17" s="424"/>
      <c r="AR17" s="424"/>
      <c r="AS17" s="386"/>
    </row>
    <row r="18" spans="1:45" ht="12.75">
      <c r="A18" s="446" t="s">
        <v>45</v>
      </c>
      <c r="B18" s="265">
        <v>128.2</v>
      </c>
      <c r="C18" s="257">
        <f t="shared" si="3"/>
        <v>1096.11</v>
      </c>
      <c r="D18" s="459">
        <v>0</v>
      </c>
      <c r="E18" s="425">
        <v>667.47</v>
      </c>
      <c r="F18" s="425">
        <v>324.08</v>
      </c>
      <c r="G18" s="425">
        <v>112.35</v>
      </c>
      <c r="H18" s="444"/>
      <c r="I18" s="460">
        <f t="shared" si="4"/>
        <v>1103.8999999999999</v>
      </c>
      <c r="J18" s="264">
        <v>0</v>
      </c>
      <c r="K18" s="264">
        <v>0</v>
      </c>
      <c r="L18" s="264">
        <v>0</v>
      </c>
      <c r="M18" s="469">
        <f>SUM(J18:L18)</f>
        <v>0</v>
      </c>
      <c r="N18" s="468">
        <f>M18+D18</f>
        <v>0</v>
      </c>
      <c r="O18" s="449"/>
      <c r="P18" s="450">
        <f>0.67*B18</f>
        <v>85.89399999999999</v>
      </c>
      <c r="Q18" s="450">
        <f>B18*0.2</f>
        <v>25.64</v>
      </c>
      <c r="R18" s="450">
        <f>3.25*B18</f>
        <v>416.65</v>
      </c>
      <c r="S18" s="450"/>
      <c r="T18" s="450"/>
      <c r="U18" s="451"/>
      <c r="V18" s="451"/>
      <c r="W18" s="451"/>
      <c r="X18" s="451"/>
      <c r="Y18" s="450"/>
      <c r="Z18" s="453">
        <f t="shared" si="0"/>
        <v>0</v>
      </c>
      <c r="AA18" s="453">
        <f>SUM(P18:Z18)</f>
        <v>528.184</v>
      </c>
      <c r="AB18" s="433">
        <f t="shared" si="1"/>
        <v>-528.184</v>
      </c>
      <c r="AC18" s="429">
        <f t="shared" si="2"/>
        <v>-1103.8999999999999</v>
      </c>
      <c r="AD18" s="526"/>
      <c r="AE18" s="526"/>
      <c r="AF18" s="526"/>
      <c r="AG18" s="526"/>
      <c r="AH18" s="526"/>
      <c r="AI18" s="526"/>
      <c r="AJ18" s="526"/>
      <c r="AK18" s="526"/>
      <c r="AL18" s="424"/>
      <c r="AM18" s="424"/>
      <c r="AN18" s="424"/>
      <c r="AO18" s="424"/>
      <c r="AP18" s="424"/>
      <c r="AQ18" s="424"/>
      <c r="AR18" s="424"/>
      <c r="AS18" s="386"/>
    </row>
    <row r="19" spans="1:45" ht="12.75">
      <c r="A19" s="446" t="s">
        <v>33</v>
      </c>
      <c r="B19" s="265">
        <v>128.2</v>
      </c>
      <c r="C19" s="257">
        <f t="shared" si="3"/>
        <v>1096.11</v>
      </c>
      <c r="D19" s="459">
        <v>0</v>
      </c>
      <c r="E19" s="425">
        <v>667.47</v>
      </c>
      <c r="F19" s="425">
        <v>324.08</v>
      </c>
      <c r="G19" s="437">
        <v>112.35</v>
      </c>
      <c r="H19" s="443"/>
      <c r="I19" s="460">
        <f t="shared" si="4"/>
        <v>1103.8999999999999</v>
      </c>
      <c r="J19" s="445">
        <v>0</v>
      </c>
      <c r="K19" s="445">
        <v>0</v>
      </c>
      <c r="L19" s="442">
        <v>0</v>
      </c>
      <c r="M19" s="469">
        <f>SUM(J19:L19)</f>
        <v>0</v>
      </c>
      <c r="N19" s="468">
        <f>M19+D19</f>
        <v>0</v>
      </c>
      <c r="O19" s="449"/>
      <c r="P19" s="450">
        <f>0.67*B19</f>
        <v>85.89399999999999</v>
      </c>
      <c r="Q19" s="450">
        <f>B19*0.2</f>
        <v>25.64</v>
      </c>
      <c r="R19" s="450">
        <f>3.25*B19</f>
        <v>416.65</v>
      </c>
      <c r="S19" s="450"/>
      <c r="T19" s="450"/>
      <c r="U19" s="451"/>
      <c r="V19" s="451"/>
      <c r="W19" s="451"/>
      <c r="X19" s="451"/>
      <c r="Y19" s="450"/>
      <c r="Z19" s="453">
        <f t="shared" si="0"/>
        <v>0</v>
      </c>
      <c r="AA19" s="453">
        <f>SUM(P19:Z19)</f>
        <v>528.184</v>
      </c>
      <c r="AB19" s="433">
        <f t="shared" si="1"/>
        <v>-528.184</v>
      </c>
      <c r="AC19" s="429">
        <f t="shared" si="2"/>
        <v>-1103.8999999999999</v>
      </c>
      <c r="AD19" s="526"/>
      <c r="AE19" s="526"/>
      <c r="AF19" s="526"/>
      <c r="AG19" s="526"/>
      <c r="AH19" s="526"/>
      <c r="AI19" s="526"/>
      <c r="AJ19" s="526"/>
      <c r="AK19" s="526"/>
      <c r="AL19" s="424"/>
      <c r="AM19" s="424"/>
      <c r="AN19" s="424"/>
      <c r="AO19" s="424"/>
      <c r="AP19" s="424"/>
      <c r="AQ19" s="424"/>
      <c r="AR19" s="424"/>
      <c r="AS19" s="386"/>
    </row>
    <row r="20" spans="1:45" ht="12.75">
      <c r="A20" s="423" t="s">
        <v>34</v>
      </c>
      <c r="B20" s="265">
        <v>128.2</v>
      </c>
      <c r="C20" s="257">
        <f t="shared" si="3"/>
        <v>1096.11</v>
      </c>
      <c r="D20" s="459">
        <v>0</v>
      </c>
      <c r="E20" s="425">
        <v>667.47</v>
      </c>
      <c r="F20" s="425">
        <v>324.08</v>
      </c>
      <c r="G20" s="425">
        <v>112.35</v>
      </c>
      <c r="H20" s="444"/>
      <c r="I20" s="460">
        <f t="shared" si="4"/>
        <v>1103.8999999999999</v>
      </c>
      <c r="J20" s="445">
        <v>660.77</v>
      </c>
      <c r="K20" s="445">
        <v>487.69</v>
      </c>
      <c r="L20" s="445">
        <v>152.22</v>
      </c>
      <c r="M20" s="469">
        <f>SUM(J20:L20)</f>
        <v>1300.68</v>
      </c>
      <c r="N20" s="468">
        <f>M20+D20</f>
        <v>1300.68</v>
      </c>
      <c r="O20" s="449"/>
      <c r="P20" s="450">
        <f>0.67*B20</f>
        <v>85.89399999999999</v>
      </c>
      <c r="Q20" s="450">
        <f>B20*0.2</f>
        <v>25.64</v>
      </c>
      <c r="R20" s="450">
        <f>3.25*B20</f>
        <v>416.65</v>
      </c>
      <c r="S20" s="450"/>
      <c r="T20" s="450"/>
      <c r="U20" s="451"/>
      <c r="V20" s="451"/>
      <c r="W20" s="451"/>
      <c r="X20" s="451"/>
      <c r="Y20" s="450"/>
      <c r="Z20" s="453">
        <f t="shared" si="0"/>
        <v>0</v>
      </c>
      <c r="AA20" s="453">
        <f>SUM(P20:Z20)</f>
        <v>528.184</v>
      </c>
      <c r="AB20" s="433">
        <f t="shared" si="1"/>
        <v>772.4960000000001</v>
      </c>
      <c r="AC20" s="429">
        <f t="shared" si="2"/>
        <v>196.7800000000002</v>
      </c>
      <c r="AD20" s="526"/>
      <c r="AE20" s="526"/>
      <c r="AF20" s="526"/>
      <c r="AG20" s="526"/>
      <c r="AH20" s="526"/>
      <c r="AI20" s="526"/>
      <c r="AJ20" s="526"/>
      <c r="AK20" s="526"/>
      <c r="AL20" s="424"/>
      <c r="AM20" s="424"/>
      <c r="AN20" s="424"/>
      <c r="AO20" s="424"/>
      <c r="AP20" s="424"/>
      <c r="AQ20" s="424"/>
      <c r="AR20" s="424"/>
      <c r="AS20" s="386"/>
    </row>
    <row r="21" spans="1:45" ht="13.5" thickBot="1">
      <c r="A21" s="470" t="s">
        <v>35</v>
      </c>
      <c r="B21" s="265">
        <v>128.2</v>
      </c>
      <c r="C21" s="257">
        <f t="shared" si="3"/>
        <v>1096.11</v>
      </c>
      <c r="D21" s="459">
        <v>0</v>
      </c>
      <c r="E21" s="465">
        <v>667.47</v>
      </c>
      <c r="F21" s="465">
        <v>324.08</v>
      </c>
      <c r="G21" s="465">
        <v>112.35</v>
      </c>
      <c r="H21" s="525"/>
      <c r="I21" s="460">
        <f t="shared" si="4"/>
        <v>1103.8999999999999</v>
      </c>
      <c r="J21" s="461">
        <v>0</v>
      </c>
      <c r="K21" s="461">
        <v>0</v>
      </c>
      <c r="L21" s="458">
        <v>0</v>
      </c>
      <c r="M21" s="469">
        <f>SUM(J21:L21)</f>
        <v>0</v>
      </c>
      <c r="N21" s="468">
        <f>M21+D21</f>
        <v>0</v>
      </c>
      <c r="O21" s="449"/>
      <c r="P21" s="450">
        <f>0.67*B21</f>
        <v>85.89399999999999</v>
      </c>
      <c r="Q21" s="450">
        <f>B21*0.2</f>
        <v>25.64</v>
      </c>
      <c r="R21" s="450">
        <f>3.25*B21</f>
        <v>416.65</v>
      </c>
      <c r="S21" s="471"/>
      <c r="T21" s="471"/>
      <c r="U21" s="451"/>
      <c r="V21" s="451"/>
      <c r="W21" s="472"/>
      <c r="X21" s="472"/>
      <c r="Y21" s="450"/>
      <c r="Z21" s="453">
        <f t="shared" si="0"/>
        <v>0</v>
      </c>
      <c r="AA21" s="453">
        <f>SUM(P21:Z21)</f>
        <v>528.184</v>
      </c>
      <c r="AB21" s="433">
        <f t="shared" si="1"/>
        <v>-528.184</v>
      </c>
      <c r="AC21" s="429">
        <f t="shared" si="2"/>
        <v>-1103.8999999999999</v>
      </c>
      <c r="AD21" s="526"/>
      <c r="AE21" s="526"/>
      <c r="AF21" s="526"/>
      <c r="AG21" s="526"/>
      <c r="AH21" s="526"/>
      <c r="AI21" s="526"/>
      <c r="AJ21" s="526"/>
      <c r="AK21" s="526"/>
      <c r="AL21" s="424"/>
      <c r="AM21" s="424"/>
      <c r="AN21" s="424"/>
      <c r="AO21" s="424"/>
      <c r="AP21" s="424"/>
      <c r="AQ21" s="424"/>
      <c r="AR21" s="424"/>
      <c r="AS21" s="386"/>
    </row>
    <row r="22" spans="1:44" s="23" customFormat="1" ht="13.5" thickBot="1">
      <c r="A22" s="473" t="s">
        <v>3</v>
      </c>
      <c r="B22" s="528">
        <f>SUM(B10:B21)</f>
        <v>1538.4000000000003</v>
      </c>
      <c r="C22" s="528">
        <f>SUM(C10:C21)</f>
        <v>10413.045</v>
      </c>
      <c r="D22" s="528">
        <f>SUM(D10:D21)</f>
        <v>0</v>
      </c>
      <c r="E22" s="528">
        <f>SUM(E10:E21)</f>
        <v>6674.680000000001</v>
      </c>
      <c r="F22" s="528">
        <f>SUM(F10:F21)</f>
        <v>3240.7999999999997</v>
      </c>
      <c r="G22" s="528">
        <f>SUM(G10:G21)</f>
        <v>1123.52</v>
      </c>
      <c r="H22" s="528">
        <f>SUM(H10:H21)</f>
        <v>0</v>
      </c>
      <c r="I22" s="528">
        <f>SUM(I10:I21)</f>
        <v>11038.999999999998</v>
      </c>
      <c r="J22" s="528">
        <f>SUM(J10:J21)</f>
        <v>1426.2</v>
      </c>
      <c r="K22" s="528">
        <f>SUM(K10:K21)</f>
        <v>1242.58</v>
      </c>
      <c r="L22" s="528">
        <f>SUM(L10:L21)</f>
        <v>375.26</v>
      </c>
      <c r="M22" s="528">
        <f>SUM(M10:M21)</f>
        <v>3044.04</v>
      </c>
      <c r="N22" s="528">
        <f>SUM(N10:N21)</f>
        <v>3044.04</v>
      </c>
      <c r="O22" s="528">
        <f>SUM(O10:O21)</f>
        <v>0</v>
      </c>
      <c r="P22" s="528">
        <f>SUM(P10:P21)</f>
        <v>1030.7279999999998</v>
      </c>
      <c r="Q22" s="528">
        <f>SUM(Q10:Q21)</f>
        <v>307.6799999999999</v>
      </c>
      <c r="R22" s="528">
        <f>SUM(R10:R21)</f>
        <v>2916.55</v>
      </c>
      <c r="S22" s="528">
        <f>SUM(S10:S21)</f>
        <v>0</v>
      </c>
      <c r="T22" s="528">
        <f>SUM(T10:T21)</f>
        <v>0</v>
      </c>
      <c r="U22" s="528">
        <f>SUM(U10:U21)</f>
        <v>0</v>
      </c>
      <c r="V22" s="528">
        <f aca="true" t="shared" si="5" ref="V22:AB22">SUM(V10:V21)</f>
        <v>0</v>
      </c>
      <c r="W22" s="528">
        <f t="shared" si="5"/>
        <v>0</v>
      </c>
      <c r="X22" s="528">
        <f t="shared" si="5"/>
        <v>0</v>
      </c>
      <c r="Y22" s="528">
        <f t="shared" si="5"/>
        <v>0</v>
      </c>
      <c r="Z22" s="528">
        <f t="shared" si="5"/>
        <v>0</v>
      </c>
      <c r="AA22" s="528">
        <f t="shared" si="5"/>
        <v>4254.9580000000005</v>
      </c>
      <c r="AB22" s="528">
        <f t="shared" si="5"/>
        <v>-1210.9179999999997</v>
      </c>
      <c r="AC22" s="528">
        <f>SUM(AC10:AC21)</f>
        <v>-7994.959999999997</v>
      </c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76"/>
      <c r="AP22" s="476"/>
      <c r="AQ22" s="476"/>
      <c r="AR22" s="476"/>
    </row>
    <row r="23" spans="1:37" ht="13.5" thickBot="1">
      <c r="A23" s="477"/>
      <c r="B23" s="477"/>
      <c r="C23" s="477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386"/>
      <c r="AE23" s="386"/>
      <c r="AF23" s="386"/>
      <c r="AG23" s="386"/>
      <c r="AH23" s="386"/>
      <c r="AI23" s="386"/>
      <c r="AJ23" s="386"/>
      <c r="AK23" s="386"/>
    </row>
    <row r="24" spans="1:29" s="23" customFormat="1" ht="13.5" thickBot="1">
      <c r="A24" s="473" t="s">
        <v>99</v>
      </c>
      <c r="B24" s="474"/>
      <c r="C24" s="474"/>
      <c r="D24" s="475">
        <v>9330.22</v>
      </c>
      <c r="E24" s="475">
        <v>263129.61</v>
      </c>
      <c r="F24" s="475">
        <v>181875.86</v>
      </c>
      <c r="G24" s="475">
        <v>45624.38</v>
      </c>
      <c r="H24" s="475">
        <v>71944.81</v>
      </c>
      <c r="I24" s="475">
        <v>490629.85</v>
      </c>
      <c r="J24" s="475">
        <v>216840.97</v>
      </c>
      <c r="K24" s="475">
        <v>151570.93</v>
      </c>
      <c r="L24" s="475">
        <v>38052.74</v>
      </c>
      <c r="M24" s="475">
        <v>406464.64</v>
      </c>
      <c r="N24" s="475">
        <v>534624.38</v>
      </c>
      <c r="O24" s="478">
        <f aca="true" t="shared" si="6" ref="O24:AB24">O8+O22</f>
        <v>0</v>
      </c>
      <c r="P24" s="478">
        <f t="shared" si="6"/>
        <v>2384.5199999999995</v>
      </c>
      <c r="Q24" s="478">
        <f t="shared" si="6"/>
        <v>916.3989839999997</v>
      </c>
      <c r="R24" s="478">
        <f t="shared" si="6"/>
        <v>8939.9878340492</v>
      </c>
      <c r="S24" s="478">
        <f t="shared" si="6"/>
        <v>0</v>
      </c>
      <c r="T24" s="478">
        <f t="shared" si="6"/>
        <v>0</v>
      </c>
      <c r="U24" s="478">
        <f t="shared" si="6"/>
        <v>566.4</v>
      </c>
      <c r="V24" s="478">
        <f t="shared" si="6"/>
        <v>47.8</v>
      </c>
      <c r="W24" s="478">
        <f t="shared" si="6"/>
        <v>5400.435199999999</v>
      </c>
      <c r="X24" s="478">
        <f t="shared" si="6"/>
        <v>0</v>
      </c>
      <c r="Y24" s="478">
        <f t="shared" si="6"/>
        <v>0</v>
      </c>
      <c r="Z24" s="478">
        <f t="shared" si="6"/>
        <v>0</v>
      </c>
      <c r="AA24" s="478">
        <f t="shared" si="6"/>
        <v>18255.5420180492</v>
      </c>
      <c r="AB24" s="478">
        <f t="shared" si="6"/>
        <v>-5192.937819199198</v>
      </c>
      <c r="AC24" s="478">
        <f>AC8+AC22</f>
        <v>-10768.769999999997</v>
      </c>
    </row>
    <row r="25" spans="1:29" ht="12.75">
      <c r="A25" s="386"/>
      <c r="B25" s="386"/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</row>
  </sheetData>
  <sheetProtection/>
  <mergeCells count="34">
    <mergeCell ref="X6:X7"/>
    <mergeCell ref="Y6:Y7"/>
    <mergeCell ref="R6:R7"/>
    <mergeCell ref="S6:S7"/>
    <mergeCell ref="T6:T7"/>
    <mergeCell ref="U6:U7"/>
    <mergeCell ref="V6:V7"/>
    <mergeCell ref="W6:W7"/>
    <mergeCell ref="E6:E7"/>
    <mergeCell ref="F6:F7"/>
    <mergeCell ref="G6:G7"/>
    <mergeCell ref="J6:J7"/>
    <mergeCell ref="K6:K7"/>
    <mergeCell ref="L6:L7"/>
    <mergeCell ref="N4:N7"/>
    <mergeCell ref="O4:O7"/>
    <mergeCell ref="P4:Y5"/>
    <mergeCell ref="Z4:AA4"/>
    <mergeCell ref="AB4:AB7"/>
    <mergeCell ref="AC4:AC7"/>
    <mergeCell ref="Z5:Z7"/>
    <mergeCell ref="AA5:AA7"/>
    <mergeCell ref="P6:P7"/>
    <mergeCell ref="Q6:Q7"/>
    <mergeCell ref="A1:O1"/>
    <mergeCell ref="A4:A7"/>
    <mergeCell ref="B4:B7"/>
    <mergeCell ref="C4:C7"/>
    <mergeCell ref="D4:D7"/>
    <mergeCell ref="E4:G5"/>
    <mergeCell ref="H4:H7"/>
    <mergeCell ref="I4:I7"/>
    <mergeCell ref="J4:L5"/>
    <mergeCell ref="M4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I28" sqref="I28:L28"/>
    </sheetView>
  </sheetViews>
  <sheetFormatPr defaultColWidth="9.00390625" defaultRowHeight="12.75"/>
  <cols>
    <col min="1" max="1" width="10.00390625" style="387" customWidth="1"/>
    <col min="2" max="2" width="9.125" style="387" customWidth="1"/>
    <col min="3" max="3" width="9.875" style="387" customWidth="1"/>
    <col min="4" max="4" width="9.625" style="387" customWidth="1"/>
    <col min="5" max="5" width="10.125" style="387" bestFit="1" customWidth="1"/>
    <col min="6" max="6" width="9.875" style="387" customWidth="1"/>
    <col min="7" max="7" width="11.00390625" style="387" customWidth="1"/>
    <col min="8" max="8" width="10.125" style="387" customWidth="1"/>
    <col min="9" max="9" width="9.25390625" style="387" customWidth="1"/>
    <col min="10" max="10" width="9.875" style="387" customWidth="1"/>
    <col min="11" max="11" width="10.875" style="387" customWidth="1"/>
    <col min="12" max="12" width="10.125" style="387" customWidth="1"/>
    <col min="13" max="13" width="10.375" style="387" customWidth="1"/>
    <col min="14" max="14" width="10.75390625" style="387" customWidth="1"/>
    <col min="15" max="15" width="13.00390625" style="387" customWidth="1"/>
    <col min="16" max="16384" width="9.125" style="387" customWidth="1"/>
  </cols>
  <sheetData>
    <row r="1" spans="2:8" ht="20.25" customHeight="1">
      <c r="B1" s="479" t="s">
        <v>47</v>
      </c>
      <c r="C1" s="479"/>
      <c r="D1" s="479"/>
      <c r="E1" s="479"/>
      <c r="F1" s="479"/>
      <c r="G1" s="479"/>
      <c r="H1" s="479"/>
    </row>
    <row r="2" spans="2:8" ht="21" customHeight="1">
      <c r="B2" s="479" t="s">
        <v>48</v>
      </c>
      <c r="C2" s="479"/>
      <c r="D2" s="479"/>
      <c r="E2" s="479"/>
      <c r="F2" s="479"/>
      <c r="G2" s="479"/>
      <c r="H2" s="479"/>
    </row>
    <row r="5" spans="1:14" ht="12.75">
      <c r="A5" s="362" t="s">
        <v>108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</row>
    <row r="6" spans="1:14" ht="12.75">
      <c r="A6" s="480" t="s">
        <v>100</v>
      </c>
      <c r="B6" s="480"/>
      <c r="C6" s="480"/>
      <c r="D6" s="480"/>
      <c r="E6" s="480"/>
      <c r="F6" s="480"/>
      <c r="G6" s="480"/>
      <c r="H6" s="94"/>
      <c r="I6" s="94"/>
      <c r="J6" s="94"/>
      <c r="K6" s="94"/>
      <c r="L6" s="94"/>
      <c r="M6" s="94"/>
      <c r="N6" s="94"/>
    </row>
    <row r="7" spans="1:14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6" ht="13.5" thickBot="1">
      <c r="A8" s="481" t="s">
        <v>49</v>
      </c>
      <c r="B8" s="481"/>
      <c r="C8" s="481"/>
      <c r="D8" s="481"/>
      <c r="E8" s="481">
        <v>8.55</v>
      </c>
      <c r="F8" s="481"/>
    </row>
    <row r="9" spans="1:15" ht="12.75" customHeight="1">
      <c r="A9" s="363" t="s">
        <v>50</v>
      </c>
      <c r="B9" s="366" t="s">
        <v>0</v>
      </c>
      <c r="C9" s="482" t="s">
        <v>101</v>
      </c>
      <c r="D9" s="483" t="s">
        <v>2</v>
      </c>
      <c r="E9" s="484" t="s">
        <v>52</v>
      </c>
      <c r="F9" s="307"/>
      <c r="G9" s="344" t="s">
        <v>102</v>
      </c>
      <c r="H9" s="345"/>
      <c r="I9" s="485" t="s">
        <v>6</v>
      </c>
      <c r="J9" s="377"/>
      <c r="K9" s="377"/>
      <c r="L9" s="377"/>
      <c r="M9" s="486"/>
      <c r="N9" s="382" t="s">
        <v>53</v>
      </c>
      <c r="O9" s="382" t="s">
        <v>8</v>
      </c>
    </row>
    <row r="10" spans="1:15" ht="12.75">
      <c r="A10" s="364"/>
      <c r="B10" s="367"/>
      <c r="C10" s="487"/>
      <c r="D10" s="488"/>
      <c r="E10" s="489"/>
      <c r="F10" s="411"/>
      <c r="G10" s="346"/>
      <c r="H10" s="347"/>
      <c r="I10" s="490"/>
      <c r="J10" s="380"/>
      <c r="K10" s="380"/>
      <c r="L10" s="380"/>
      <c r="M10" s="491"/>
      <c r="N10" s="383"/>
      <c r="O10" s="383"/>
    </row>
    <row r="11" spans="1:15" ht="26.25" customHeight="1">
      <c r="A11" s="364"/>
      <c r="B11" s="367"/>
      <c r="C11" s="487"/>
      <c r="D11" s="488"/>
      <c r="E11" s="492" t="s">
        <v>54</v>
      </c>
      <c r="F11" s="324"/>
      <c r="G11" s="115" t="s">
        <v>55</v>
      </c>
      <c r="H11" s="493" t="s">
        <v>5</v>
      </c>
      <c r="I11" s="494" t="s">
        <v>56</v>
      </c>
      <c r="J11" s="353" t="s">
        <v>103</v>
      </c>
      <c r="K11" s="353" t="s">
        <v>57</v>
      </c>
      <c r="L11" s="353" t="s">
        <v>29</v>
      </c>
      <c r="M11" s="493" t="s">
        <v>31</v>
      </c>
      <c r="N11" s="383"/>
      <c r="O11" s="383"/>
    </row>
    <row r="12" spans="1:15" ht="66.75" customHeight="1" thickBot="1">
      <c r="A12" s="365"/>
      <c r="B12" s="368"/>
      <c r="C12" s="495"/>
      <c r="D12" s="496"/>
      <c r="E12" s="497" t="s">
        <v>59</v>
      </c>
      <c r="F12" s="498" t="s">
        <v>15</v>
      </c>
      <c r="G12" s="93" t="s">
        <v>104</v>
      </c>
      <c r="H12" s="499"/>
      <c r="I12" s="500"/>
      <c r="J12" s="354"/>
      <c r="K12" s="354"/>
      <c r="L12" s="354"/>
      <c r="M12" s="499"/>
      <c r="N12" s="384"/>
      <c r="O12" s="384"/>
    </row>
    <row r="13" spans="1:15" ht="13.5" thickBot="1">
      <c r="A13" s="32">
        <v>1</v>
      </c>
      <c r="B13" s="33">
        <v>2</v>
      </c>
      <c r="C13" s="32">
        <v>3</v>
      </c>
      <c r="D13" s="33">
        <v>4</v>
      </c>
      <c r="E13" s="32">
        <v>5</v>
      </c>
      <c r="F13" s="33">
        <v>6</v>
      </c>
      <c r="G13" s="32">
        <v>7</v>
      </c>
      <c r="H13" s="33">
        <v>8</v>
      </c>
      <c r="I13" s="32">
        <v>9</v>
      </c>
      <c r="J13" s="33">
        <v>10</v>
      </c>
      <c r="K13" s="32">
        <v>11</v>
      </c>
      <c r="L13" s="33">
        <v>12</v>
      </c>
      <c r="M13" s="33">
        <v>13</v>
      </c>
      <c r="N13" s="32">
        <v>14</v>
      </c>
      <c r="O13" s="33">
        <v>15</v>
      </c>
    </row>
    <row r="14" spans="1:17" s="23" customFormat="1" ht="13.5" thickBot="1">
      <c r="A14" s="57" t="s">
        <v>46</v>
      </c>
      <c r="B14" s="58"/>
      <c r="C14" s="59">
        <f>'2011'!C8</f>
        <v>21069.67</v>
      </c>
      <c r="D14" s="59">
        <f>'2011'!D8</f>
        <v>7471.824198849999</v>
      </c>
      <c r="E14" s="58">
        <f>'2011'!I8</f>
        <v>5320.549999999999</v>
      </c>
      <c r="F14" s="58">
        <f>'2011'!H8</f>
        <v>0</v>
      </c>
      <c r="G14" s="60">
        <f>'2011'!M8</f>
        <v>2546.7400000000002</v>
      </c>
      <c r="H14" s="60">
        <f>'2011'!N8</f>
        <v>10018.56419885</v>
      </c>
      <c r="I14" s="60">
        <f>'2011'!P8</f>
        <v>1353.7919999999997</v>
      </c>
      <c r="J14" s="60">
        <f>'2011'!Q8</f>
        <v>608.7189839999999</v>
      </c>
      <c r="K14" s="60">
        <f>'2011'!R8</f>
        <v>6023.437834049199</v>
      </c>
      <c r="L14" s="58">
        <f>'2011'!U8+'2011'!V8+'2011'!W8</f>
        <v>6014.635199999999</v>
      </c>
      <c r="M14" s="113">
        <f>'2011'!AA8</f>
        <v>14000.5840180492</v>
      </c>
      <c r="N14" s="113">
        <f>'2011'!AB8</f>
        <v>-3982.0198191991985</v>
      </c>
      <c r="O14" s="113">
        <f>'2011'!AC8</f>
        <v>-2773.81</v>
      </c>
      <c r="P14" s="62"/>
      <c r="Q14" s="52"/>
    </row>
    <row r="15" spans="1:17" ht="12.75">
      <c r="A15" s="8" t="s">
        <v>98</v>
      </c>
      <c r="B15" s="501"/>
      <c r="C15" s="502"/>
      <c r="D15" s="503"/>
      <c r="E15" s="504"/>
      <c r="F15" s="505"/>
      <c r="G15" s="506"/>
      <c r="H15" s="505"/>
      <c r="I15" s="506"/>
      <c r="J15" s="507"/>
      <c r="K15" s="508"/>
      <c r="L15" s="509"/>
      <c r="M15" s="510"/>
      <c r="N15" s="511"/>
      <c r="O15" s="511"/>
      <c r="P15" s="386"/>
      <c r="Q15" s="386"/>
    </row>
    <row r="16" spans="1:17" ht="12.75">
      <c r="A16" s="512" t="s">
        <v>37</v>
      </c>
      <c r="B16" s="513">
        <f>'2011'!B10</f>
        <v>128.2</v>
      </c>
      <c r="C16" s="513">
        <f>'2011'!C10</f>
        <v>548.055</v>
      </c>
      <c r="D16" s="513">
        <f>'2011'!D10</f>
        <v>0</v>
      </c>
      <c r="E16" s="508">
        <f>'2011'!I10</f>
        <v>885.6899999999999</v>
      </c>
      <c r="F16" s="510">
        <f>'2011'!H10</f>
        <v>0</v>
      </c>
      <c r="G16" s="510">
        <f>'2011'!N10</f>
        <v>0</v>
      </c>
      <c r="H16" s="510">
        <f>'2011'!M10</f>
        <v>0</v>
      </c>
      <c r="I16" s="514">
        <f>'2011'!P10</f>
        <v>85.89399999999999</v>
      </c>
      <c r="J16" s="514">
        <f>'2011'!Q10</f>
        <v>25.64</v>
      </c>
      <c r="K16" s="514">
        <f>'2011'!R10</f>
        <v>0</v>
      </c>
      <c r="L16" s="509">
        <f>'2011'!U10+'2011'!V10+'2011'!W10</f>
        <v>0</v>
      </c>
      <c r="M16" s="510">
        <f>'2011'!AA10</f>
        <v>111.53399999999999</v>
      </c>
      <c r="N16" s="510">
        <f>'2011'!AB10</f>
        <v>-111.53399999999999</v>
      </c>
      <c r="O16" s="510">
        <f>'2011'!AC10</f>
        <v>-885.6899999999999</v>
      </c>
      <c r="P16" s="386"/>
      <c r="Q16" s="386"/>
    </row>
    <row r="17" spans="1:17" ht="12.75">
      <c r="A17" s="512" t="s">
        <v>38</v>
      </c>
      <c r="B17" s="513">
        <f>'2011'!B11</f>
        <v>128.2</v>
      </c>
      <c r="C17" s="513">
        <f>'2011'!C11</f>
        <v>548.055</v>
      </c>
      <c r="D17" s="513">
        <f>'2011'!D11</f>
        <v>0</v>
      </c>
      <c r="E17" s="508">
        <f>'2011'!I11</f>
        <v>218.21</v>
      </c>
      <c r="F17" s="510">
        <f>'2011'!H11</f>
        <v>0</v>
      </c>
      <c r="G17" s="510">
        <f>'2011'!N11</f>
        <v>0</v>
      </c>
      <c r="H17" s="510">
        <f>'2011'!M11</f>
        <v>0</v>
      </c>
      <c r="I17" s="514">
        <f>'2011'!P11</f>
        <v>85.89399999999999</v>
      </c>
      <c r="J17" s="514">
        <f>'2011'!Q11</f>
        <v>25.64</v>
      </c>
      <c r="K17" s="514">
        <f>'2011'!R11</f>
        <v>0</v>
      </c>
      <c r="L17" s="509">
        <f>'2011'!U11+'2011'!V11+'2011'!W11</f>
        <v>0</v>
      </c>
      <c r="M17" s="510">
        <f>'2011'!AA11</f>
        <v>111.53399999999999</v>
      </c>
      <c r="N17" s="510">
        <f>'2011'!AB11</f>
        <v>-111.53399999999999</v>
      </c>
      <c r="O17" s="510">
        <f>'2011'!AC11</f>
        <v>-218.21</v>
      </c>
      <c r="P17" s="386"/>
      <c r="Q17" s="386"/>
    </row>
    <row r="18" spans="1:17" ht="12.75">
      <c r="A18" s="512" t="s">
        <v>39</v>
      </c>
      <c r="B18" s="513">
        <f>'2011'!B12</f>
        <v>128.2</v>
      </c>
      <c r="C18" s="513">
        <f>'2011'!C12</f>
        <v>548.055</v>
      </c>
      <c r="D18" s="513">
        <f>'2011'!D12</f>
        <v>0</v>
      </c>
      <c r="E18" s="508">
        <f>'2011'!I12</f>
        <v>551.9499999999999</v>
      </c>
      <c r="F18" s="510">
        <f>'2011'!H12</f>
        <v>0</v>
      </c>
      <c r="G18" s="510">
        <f>'2011'!N12</f>
        <v>0</v>
      </c>
      <c r="H18" s="510">
        <f>'2011'!M12</f>
        <v>0</v>
      </c>
      <c r="I18" s="514">
        <f>'2011'!P12</f>
        <v>85.89399999999999</v>
      </c>
      <c r="J18" s="514">
        <f>'2011'!Q12</f>
        <v>25.64</v>
      </c>
      <c r="K18" s="514">
        <f>'2011'!R12</f>
        <v>0</v>
      </c>
      <c r="L18" s="509">
        <f>'2011'!U12+'2011'!V12+'2011'!W12</f>
        <v>0</v>
      </c>
      <c r="M18" s="510">
        <f>'2011'!AA12</f>
        <v>111.53399999999999</v>
      </c>
      <c r="N18" s="510">
        <f>'2011'!AB12</f>
        <v>-111.53399999999999</v>
      </c>
      <c r="O18" s="510">
        <f>'2011'!AC12</f>
        <v>-551.9499999999999</v>
      </c>
      <c r="P18" s="386"/>
      <c r="Q18" s="386"/>
    </row>
    <row r="19" spans="1:17" ht="12.75">
      <c r="A19" s="512" t="s">
        <v>40</v>
      </c>
      <c r="B19" s="513">
        <f>'2011'!B13</f>
        <v>128.2</v>
      </c>
      <c r="C19" s="513">
        <f>'2011'!C13</f>
        <v>548.055</v>
      </c>
      <c r="D19" s="513">
        <f>'2011'!D13</f>
        <v>0</v>
      </c>
      <c r="E19" s="508">
        <f>'2011'!I13</f>
        <v>551.9499999999999</v>
      </c>
      <c r="F19" s="510">
        <f>'2011'!H13</f>
        <v>0</v>
      </c>
      <c r="G19" s="510">
        <f>'2011'!N13</f>
        <v>502.51</v>
      </c>
      <c r="H19" s="510">
        <f>'2011'!M13</f>
        <v>502.51</v>
      </c>
      <c r="I19" s="514">
        <f>'2011'!P13</f>
        <v>85.89399999999999</v>
      </c>
      <c r="J19" s="514">
        <f>'2011'!Q13</f>
        <v>25.64</v>
      </c>
      <c r="K19" s="514">
        <f>'2011'!R13</f>
        <v>0</v>
      </c>
      <c r="L19" s="509">
        <f>'2011'!U13+'2011'!V13+'2011'!W13</f>
        <v>0</v>
      </c>
      <c r="M19" s="510">
        <f>'2011'!AA13</f>
        <v>111.53399999999999</v>
      </c>
      <c r="N19" s="510">
        <f>'2011'!AB13</f>
        <v>390.976</v>
      </c>
      <c r="O19" s="510">
        <f>'2011'!AC13</f>
        <v>-49.43999999999994</v>
      </c>
      <c r="P19" s="386"/>
      <c r="Q19" s="386"/>
    </row>
    <row r="20" spans="1:17" ht="12.75">
      <c r="A20" s="512" t="s">
        <v>41</v>
      </c>
      <c r="B20" s="513">
        <f>'2011'!B14</f>
        <v>128.2</v>
      </c>
      <c r="C20" s="513">
        <f>'2011'!C14</f>
        <v>548.055</v>
      </c>
      <c r="D20" s="513">
        <f>'2011'!D14</f>
        <v>0</v>
      </c>
      <c r="E20" s="508">
        <f>'2011'!I14</f>
        <v>1103.8999999999999</v>
      </c>
      <c r="F20" s="510">
        <f>'2011'!H14</f>
        <v>0</v>
      </c>
      <c r="G20" s="510">
        <f>'2011'!N14</f>
        <v>549.89</v>
      </c>
      <c r="H20" s="510">
        <f>'2011'!M14</f>
        <v>549.89</v>
      </c>
      <c r="I20" s="514">
        <f>'2011'!P14</f>
        <v>85.89399999999999</v>
      </c>
      <c r="J20" s="514">
        <f>'2011'!Q14</f>
        <v>25.64</v>
      </c>
      <c r="K20" s="514">
        <f>'2011'!R14</f>
        <v>0</v>
      </c>
      <c r="L20" s="509">
        <f>'2011'!U14+'2011'!V14+'2011'!W14</f>
        <v>0</v>
      </c>
      <c r="M20" s="510">
        <f>'2011'!AA14</f>
        <v>111.53399999999999</v>
      </c>
      <c r="N20" s="510">
        <f>'2011'!AB14</f>
        <v>438.356</v>
      </c>
      <c r="O20" s="510">
        <f>'2011'!AC14</f>
        <v>-554.0099999999999</v>
      </c>
      <c r="P20" s="386"/>
      <c r="Q20" s="386"/>
    </row>
    <row r="21" spans="1:17" ht="12.75">
      <c r="A21" s="512" t="s">
        <v>42</v>
      </c>
      <c r="B21" s="513">
        <f>'2011'!B15</f>
        <v>128.2</v>
      </c>
      <c r="C21" s="513">
        <f>'2011'!C15</f>
        <v>1096.11</v>
      </c>
      <c r="D21" s="513">
        <f>'2011'!D15</f>
        <v>0</v>
      </c>
      <c r="E21" s="508">
        <f>'2011'!I15</f>
        <v>1103.8999999999999</v>
      </c>
      <c r="F21" s="510">
        <f>'2011'!H15</f>
        <v>0</v>
      </c>
      <c r="G21" s="510">
        <f>'2011'!N15</f>
        <v>690.96</v>
      </c>
      <c r="H21" s="510">
        <f>'2011'!M15</f>
        <v>690.96</v>
      </c>
      <c r="I21" s="514">
        <f>'2011'!P15</f>
        <v>85.89399999999999</v>
      </c>
      <c r="J21" s="514">
        <f>'2011'!Q15</f>
        <v>25.64</v>
      </c>
      <c r="K21" s="514">
        <f>'2011'!R15</f>
        <v>416.65</v>
      </c>
      <c r="L21" s="509">
        <f>'2011'!U15+'2011'!V15+'2011'!W15</f>
        <v>0</v>
      </c>
      <c r="M21" s="510">
        <f>'2011'!AA15</f>
        <v>528.184</v>
      </c>
      <c r="N21" s="510">
        <f>'2011'!AB15</f>
        <v>162.77600000000007</v>
      </c>
      <c r="O21" s="510">
        <f>'2011'!AC15</f>
        <v>-412.9399999999998</v>
      </c>
      <c r="P21" s="386"/>
      <c r="Q21" s="386"/>
    </row>
    <row r="22" spans="1:17" ht="12.75">
      <c r="A22" s="512" t="s">
        <v>43</v>
      </c>
      <c r="B22" s="513">
        <f>'2011'!B16</f>
        <v>128.2</v>
      </c>
      <c r="C22" s="513">
        <f>'2011'!C16</f>
        <v>1096.11</v>
      </c>
      <c r="D22" s="513">
        <f>'2011'!D16</f>
        <v>0</v>
      </c>
      <c r="E22" s="508">
        <f>'2011'!I16</f>
        <v>1103.8999999999999</v>
      </c>
      <c r="F22" s="510">
        <f>'2011'!H16</f>
        <v>0</v>
      </c>
      <c r="G22" s="510">
        <f>'2011'!N16</f>
        <v>0</v>
      </c>
      <c r="H22" s="510">
        <f>'2011'!M16</f>
        <v>0</v>
      </c>
      <c r="I22" s="514">
        <f>'2011'!P16</f>
        <v>85.89399999999999</v>
      </c>
      <c r="J22" s="514">
        <f>'2011'!Q16</f>
        <v>25.64</v>
      </c>
      <c r="K22" s="514">
        <f>'2011'!R16</f>
        <v>416.65</v>
      </c>
      <c r="L22" s="509">
        <f>'2011'!U16+'2011'!V16+'2011'!W16</f>
        <v>0</v>
      </c>
      <c r="M22" s="510">
        <f>'2011'!AA16</f>
        <v>528.184</v>
      </c>
      <c r="N22" s="510">
        <f>'2011'!AB16</f>
        <v>-528.184</v>
      </c>
      <c r="O22" s="510">
        <f>'2011'!AC16</f>
        <v>-1103.8999999999999</v>
      </c>
      <c r="P22" s="386"/>
      <c r="Q22" s="386"/>
    </row>
    <row r="23" spans="1:17" ht="12.75">
      <c r="A23" s="512" t="s">
        <v>44</v>
      </c>
      <c r="B23" s="513">
        <f>'2011'!B17</f>
        <v>128.2</v>
      </c>
      <c r="C23" s="513">
        <f>'2011'!C17</f>
        <v>1096.11</v>
      </c>
      <c r="D23" s="513">
        <f>'2011'!D17</f>
        <v>0</v>
      </c>
      <c r="E23" s="508">
        <f>'2011'!I17</f>
        <v>1103.8999999999999</v>
      </c>
      <c r="F23" s="510">
        <f>'2011'!H17</f>
        <v>0</v>
      </c>
      <c r="G23" s="510">
        <f>'2011'!N17</f>
        <v>0</v>
      </c>
      <c r="H23" s="510">
        <f>'2011'!M17</f>
        <v>0</v>
      </c>
      <c r="I23" s="514">
        <f>'2011'!P17</f>
        <v>85.89399999999999</v>
      </c>
      <c r="J23" s="514">
        <f>'2011'!Q17</f>
        <v>25.64</v>
      </c>
      <c r="K23" s="514">
        <f>'2011'!R17</f>
        <v>416.65</v>
      </c>
      <c r="L23" s="509">
        <f>'2011'!U17+'2011'!V17+'2011'!W17</f>
        <v>0</v>
      </c>
      <c r="M23" s="510">
        <f>'2011'!AA17</f>
        <v>528.184</v>
      </c>
      <c r="N23" s="510">
        <f>'2011'!AB17</f>
        <v>-528.184</v>
      </c>
      <c r="O23" s="510">
        <f>'2011'!AC17</f>
        <v>-1103.8999999999999</v>
      </c>
      <c r="P23" s="386"/>
      <c r="Q23" s="386"/>
    </row>
    <row r="24" spans="1:17" ht="12.75">
      <c r="A24" s="512" t="s">
        <v>45</v>
      </c>
      <c r="B24" s="513">
        <f>'2011'!B18</f>
        <v>128.2</v>
      </c>
      <c r="C24" s="513">
        <f>'2011'!C18</f>
        <v>1096.11</v>
      </c>
      <c r="D24" s="513">
        <f>'2011'!D18</f>
        <v>0</v>
      </c>
      <c r="E24" s="508">
        <f>'2011'!I18</f>
        <v>1103.8999999999999</v>
      </c>
      <c r="F24" s="510">
        <f>'2011'!H18</f>
        <v>0</v>
      </c>
      <c r="G24" s="510">
        <f>'2011'!N18</f>
        <v>0</v>
      </c>
      <c r="H24" s="510">
        <f>'2011'!M18</f>
        <v>0</v>
      </c>
      <c r="I24" s="514">
        <f>'2011'!P18</f>
        <v>85.89399999999999</v>
      </c>
      <c r="J24" s="514">
        <f>'2011'!Q18</f>
        <v>25.64</v>
      </c>
      <c r="K24" s="514">
        <f>'2011'!R18</f>
        <v>416.65</v>
      </c>
      <c r="L24" s="509">
        <f>'2011'!U18+'2011'!V18+'2011'!W18</f>
        <v>0</v>
      </c>
      <c r="M24" s="510">
        <f>'2011'!AA18</f>
        <v>528.184</v>
      </c>
      <c r="N24" s="510">
        <f>'2011'!AB18</f>
        <v>-528.184</v>
      </c>
      <c r="O24" s="510">
        <f>'2011'!AC18</f>
        <v>-1103.8999999999999</v>
      </c>
      <c r="P24" s="386"/>
      <c r="Q24" s="386"/>
    </row>
    <row r="25" spans="1:17" ht="12.75">
      <c r="A25" s="512" t="s">
        <v>33</v>
      </c>
      <c r="B25" s="513">
        <f>'2011'!B19</f>
        <v>128.2</v>
      </c>
      <c r="C25" s="513">
        <f>'2011'!C19</f>
        <v>1096.11</v>
      </c>
      <c r="D25" s="513">
        <f>'2011'!D19</f>
        <v>0</v>
      </c>
      <c r="E25" s="508">
        <f>'2011'!I19</f>
        <v>1103.8999999999999</v>
      </c>
      <c r="F25" s="510">
        <f>'2011'!H19</f>
        <v>0</v>
      </c>
      <c r="G25" s="510">
        <f>'2011'!N19</f>
        <v>0</v>
      </c>
      <c r="H25" s="510">
        <f>'2011'!M19</f>
        <v>0</v>
      </c>
      <c r="I25" s="514">
        <f>'2011'!P19</f>
        <v>85.89399999999999</v>
      </c>
      <c r="J25" s="514">
        <f>'2011'!Q19</f>
        <v>25.64</v>
      </c>
      <c r="K25" s="514">
        <f>'2011'!R19</f>
        <v>416.65</v>
      </c>
      <c r="L25" s="509">
        <f>'2011'!U19+'2011'!V19+'2011'!W19</f>
        <v>0</v>
      </c>
      <c r="M25" s="510">
        <f>'2011'!AA19</f>
        <v>528.184</v>
      </c>
      <c r="N25" s="510">
        <f>'2011'!AB19</f>
        <v>-528.184</v>
      </c>
      <c r="O25" s="510">
        <f>'2011'!AC19</f>
        <v>-1103.8999999999999</v>
      </c>
      <c r="P25" s="386"/>
      <c r="Q25" s="386"/>
    </row>
    <row r="26" spans="1:17" ht="12.75">
      <c r="A26" s="512" t="s">
        <v>34</v>
      </c>
      <c r="B26" s="513">
        <f>'2011'!B20</f>
        <v>128.2</v>
      </c>
      <c r="C26" s="513">
        <f>'2011'!C20</f>
        <v>1096.11</v>
      </c>
      <c r="D26" s="513">
        <f>'2011'!D20</f>
        <v>0</v>
      </c>
      <c r="E26" s="508">
        <f>'2011'!I20</f>
        <v>1103.8999999999999</v>
      </c>
      <c r="F26" s="510">
        <f>'2011'!H20</f>
        <v>0</v>
      </c>
      <c r="G26" s="510">
        <f>'2011'!N20</f>
        <v>1300.68</v>
      </c>
      <c r="H26" s="510">
        <f>'2011'!M20</f>
        <v>1300.68</v>
      </c>
      <c r="I26" s="514">
        <f>'2011'!P20</f>
        <v>85.89399999999999</v>
      </c>
      <c r="J26" s="514">
        <f>'2011'!Q20</f>
        <v>25.64</v>
      </c>
      <c r="K26" s="514">
        <f>'2011'!R20</f>
        <v>416.65</v>
      </c>
      <c r="L26" s="509">
        <f>'2011'!U20+'2011'!V20+'2011'!W20</f>
        <v>0</v>
      </c>
      <c r="M26" s="510">
        <f>'2011'!AA20</f>
        <v>528.184</v>
      </c>
      <c r="N26" s="510">
        <f>'2011'!AB20</f>
        <v>772.4960000000001</v>
      </c>
      <c r="O26" s="510">
        <f>'2011'!AC20</f>
        <v>196.7800000000002</v>
      </c>
      <c r="P26" s="386"/>
      <c r="Q26" s="386"/>
    </row>
    <row r="27" spans="1:17" ht="13.5" thickBot="1">
      <c r="A27" s="512" t="s">
        <v>35</v>
      </c>
      <c r="B27" s="513">
        <f>'2011'!B21</f>
        <v>128.2</v>
      </c>
      <c r="C27" s="513">
        <f>'2011'!C21</f>
        <v>1096.11</v>
      </c>
      <c r="D27" s="513">
        <f>'2011'!D21</f>
        <v>0</v>
      </c>
      <c r="E27" s="508">
        <f>'2011'!I21</f>
        <v>1103.8999999999999</v>
      </c>
      <c r="F27" s="510">
        <f>'2011'!H21</f>
        <v>0</v>
      </c>
      <c r="G27" s="510">
        <f>'2011'!N21</f>
        <v>0</v>
      </c>
      <c r="H27" s="510">
        <f>'2011'!M21</f>
        <v>0</v>
      </c>
      <c r="I27" s="514">
        <f>'2011'!P21</f>
        <v>85.89399999999999</v>
      </c>
      <c r="J27" s="514">
        <f>'2011'!Q21</f>
        <v>25.64</v>
      </c>
      <c r="K27" s="514">
        <f>'2011'!R21</f>
        <v>416.65</v>
      </c>
      <c r="L27" s="509">
        <f>'2011'!U21+'2011'!V21+'2011'!W21</f>
        <v>0</v>
      </c>
      <c r="M27" s="510">
        <f>'2011'!AA21</f>
        <v>528.184</v>
      </c>
      <c r="N27" s="510">
        <f>'2011'!AB21</f>
        <v>-528.184</v>
      </c>
      <c r="O27" s="510">
        <f>'2011'!AC21</f>
        <v>-1103.8999999999999</v>
      </c>
      <c r="P27" s="386"/>
      <c r="Q27" s="386"/>
    </row>
    <row r="28" spans="1:17" s="23" customFormat="1" ht="13.5" thickBot="1">
      <c r="A28" s="44" t="s">
        <v>3</v>
      </c>
      <c r="B28" s="45"/>
      <c r="C28" s="50">
        <f aca="true" t="shared" si="0" ref="C28:N28">SUM(C16:C27)</f>
        <v>10413.045</v>
      </c>
      <c r="D28" s="50">
        <f t="shared" si="0"/>
        <v>0</v>
      </c>
      <c r="E28" s="50">
        <f t="shared" si="0"/>
        <v>11038.999999999998</v>
      </c>
      <c r="F28" s="50">
        <f t="shared" si="0"/>
        <v>0</v>
      </c>
      <c r="G28" s="50">
        <f t="shared" si="0"/>
        <v>3044.04</v>
      </c>
      <c r="H28" s="50">
        <f t="shared" si="0"/>
        <v>3044.04</v>
      </c>
      <c r="I28" s="50">
        <f>SUM(I16:I27)</f>
        <v>1030.7279999999998</v>
      </c>
      <c r="J28" s="50">
        <f t="shared" si="0"/>
        <v>307.6799999999999</v>
      </c>
      <c r="K28" s="50">
        <f t="shared" si="0"/>
        <v>2916.55</v>
      </c>
      <c r="L28" s="50">
        <f t="shared" si="0"/>
        <v>0</v>
      </c>
      <c r="M28" s="50">
        <f t="shared" si="0"/>
        <v>4254.9580000000005</v>
      </c>
      <c r="N28" s="50">
        <f t="shared" si="0"/>
        <v>-1210.9179999999997</v>
      </c>
      <c r="O28" s="50">
        <f>SUM(O16:O27)</f>
        <v>-7994.959999999997</v>
      </c>
      <c r="P28" s="52"/>
      <c r="Q28" s="52"/>
    </row>
    <row r="29" spans="1:17" ht="13.5" thickBot="1">
      <c r="A29" s="515" t="s">
        <v>60</v>
      </c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7"/>
      <c r="P29" s="386"/>
      <c r="Q29" s="386"/>
    </row>
    <row r="30" spans="1:17" s="23" customFormat="1" ht="13.5" thickBot="1">
      <c r="A30" s="57" t="s">
        <v>46</v>
      </c>
      <c r="B30" s="58"/>
      <c r="C30" s="59">
        <f aca="true" t="shared" si="1" ref="C30:K30">C14+C28</f>
        <v>31482.714999999997</v>
      </c>
      <c r="D30" s="60">
        <f t="shared" si="1"/>
        <v>7471.824198849999</v>
      </c>
      <c r="E30" s="58">
        <f t="shared" si="1"/>
        <v>16359.549999999997</v>
      </c>
      <c r="F30" s="59">
        <f t="shared" si="1"/>
        <v>0</v>
      </c>
      <c r="G30" s="60">
        <f t="shared" si="1"/>
        <v>5590.780000000001</v>
      </c>
      <c r="H30" s="59">
        <f t="shared" si="1"/>
        <v>13062.60419885</v>
      </c>
      <c r="I30" s="60">
        <f t="shared" si="1"/>
        <v>2384.5199999999995</v>
      </c>
      <c r="J30" s="60">
        <f t="shared" si="1"/>
        <v>916.3989839999997</v>
      </c>
      <c r="K30" s="60">
        <f t="shared" si="1"/>
        <v>8939.9878340492</v>
      </c>
      <c r="L30" s="58">
        <f>L14+L28</f>
        <v>6014.635199999999</v>
      </c>
      <c r="M30" s="113">
        <f>M14+M28</f>
        <v>18255.5420180492</v>
      </c>
      <c r="N30" s="61">
        <f>N14+N28</f>
        <v>-5192.937819199198</v>
      </c>
      <c r="O30" s="61">
        <f>O14+O28</f>
        <v>-10768.769999999997</v>
      </c>
      <c r="P30" s="62"/>
      <c r="Q30" s="52"/>
    </row>
    <row r="32" spans="1:17" ht="12.75">
      <c r="A32" s="23" t="s">
        <v>61</v>
      </c>
      <c r="D32" s="518" t="s">
        <v>105</v>
      </c>
      <c r="P32" s="386"/>
      <c r="Q32" s="386"/>
    </row>
    <row r="33" spans="1:17" ht="12.75">
      <c r="A33" s="423" t="s">
        <v>62</v>
      </c>
      <c r="B33" s="423" t="s">
        <v>63</v>
      </c>
      <c r="C33" s="519" t="s">
        <v>64</v>
      </c>
      <c r="D33" s="519"/>
      <c r="P33" s="386"/>
      <c r="Q33" s="386"/>
    </row>
    <row r="34" spans="1:17" ht="12.75">
      <c r="A34" s="520">
        <v>3665.95</v>
      </c>
      <c r="B34" s="520">
        <v>9045</v>
      </c>
      <c r="C34" s="521">
        <f>A34-B34</f>
        <v>-5379.05</v>
      </c>
      <c r="D34" s="522"/>
      <c r="P34" s="386"/>
      <c r="Q34" s="386"/>
    </row>
    <row r="35" spans="1:17" ht="12.75">
      <c r="A35" s="63"/>
      <c r="P35" s="386"/>
      <c r="Q35" s="386"/>
    </row>
    <row r="36" spans="1:17" ht="12.75">
      <c r="A36" s="387" t="s">
        <v>65</v>
      </c>
      <c r="G36" s="387" t="s">
        <v>66</v>
      </c>
      <c r="P36" s="386"/>
      <c r="Q36" s="386"/>
    </row>
    <row r="37" ht="12.75">
      <c r="A37" s="386"/>
    </row>
    <row r="38" ht="12.75">
      <c r="A38" s="518" t="s">
        <v>106</v>
      </c>
    </row>
    <row r="39" ht="12.75">
      <c r="A39" s="387" t="s">
        <v>68</v>
      </c>
    </row>
  </sheetData>
  <sheetProtection/>
  <mergeCells count="25">
    <mergeCell ref="A29:N29"/>
    <mergeCell ref="C33:D33"/>
    <mergeCell ref="C34:D34"/>
    <mergeCell ref="I9:M10"/>
    <mergeCell ref="N9:N12"/>
    <mergeCell ref="O9:O12"/>
    <mergeCell ref="E11:F11"/>
    <mergeCell ref="H11:H12"/>
    <mergeCell ref="I11:I12"/>
    <mergeCell ref="J11:J12"/>
    <mergeCell ref="K11:K12"/>
    <mergeCell ref="L11:L12"/>
    <mergeCell ref="M11:M12"/>
    <mergeCell ref="A9:A12"/>
    <mergeCell ref="B9:B12"/>
    <mergeCell ref="C9:C12"/>
    <mergeCell ref="D9:D12"/>
    <mergeCell ref="E9:F10"/>
    <mergeCell ref="G9:H10"/>
    <mergeCell ref="B1:H1"/>
    <mergeCell ref="B2:H2"/>
    <mergeCell ref="A5:N5"/>
    <mergeCell ref="A6:G6"/>
    <mergeCell ref="A8:D8"/>
    <mergeCell ref="E8:F8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2010-07-08T09:41:53Z</cp:lastPrinted>
  <dcterms:created xsi:type="dcterms:W3CDTF">2010-04-03T04:08:20Z</dcterms:created>
  <dcterms:modified xsi:type="dcterms:W3CDTF">2012-05-30T07:55:42Z</dcterms:modified>
  <cp:category/>
  <cp:version/>
  <cp:contentType/>
  <cp:contentStatus/>
</cp:coreProperties>
</file>