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firstSheet="1" activeTab="1"/>
  </bookViews>
  <sheets>
    <sheet name="2012" sheetId="1" state="hidden" r:id="rId1"/>
    <sheet name="для печати201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<sst xmlns="http://schemas.openxmlformats.org/spreadsheetml/2006/main" count="129" uniqueCount="72">
  <si>
    <t>№ п/п</t>
  </si>
  <si>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</si>
  <si>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</si>
  <si>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</si>
  <si>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</si>
  <si>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</si>
  <si>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</si>
  <si>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</si>
  <si>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</si>
  <si>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</si>
  <si>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Текущий ремонт</t>
  </si>
  <si>
    <t>Плата за управление</t>
  </si>
  <si>
    <t>По всем услугам</t>
  </si>
  <si>
    <t>Услуга по управлению</t>
  </si>
  <si>
    <t>Услуги начисления</t>
  </si>
  <si>
    <t>НДС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</si>
  <si>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</si>
  <si>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</si>
  <si>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</si>
  <si>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</si>
  <si>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</si>
  <si>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</si>
  <si>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</si>
  <si>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</si>
  <si>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</si>
  <si>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</si>
  <si>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</si>
  <si>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</si>
  <si>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</si>
  <si>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</si>
  <si>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</si>
  <si>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</si>
  <si>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</si>
  <si>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</si>
  <si>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</si>
  <si>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</si>
  <si>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Собрано квартплаты от населения</t>
  </si>
  <si>
    <t>Остаток на Л/СЧ дома (доходы- расходы)</t>
  </si>
  <si>
    <t>от населения</t>
  </si>
  <si>
    <t>Услуга управления</t>
  </si>
  <si>
    <t>Содержание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</si>
  <si>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</si>
  <si>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</si>
  <si>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</si>
  <si>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</si>
  <si>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</si>
  <si>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</si>
  <si>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</si>
  <si>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</si>
  <si>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</si>
  <si>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Исп. Ю.С. Дмитриева</t>
  </si>
  <si>
    <t>Капитальный ремонт</t>
  </si>
  <si>
    <t>Собрано за содержание и тек.рем.</t>
  </si>
  <si>
    <t>2011 год</t>
  </si>
  <si>
    <t>Начислено населению</t>
  </si>
  <si>
    <t>Собрано всего по жил. услугам</t>
  </si>
  <si>
    <t>Содержание жилья</t>
  </si>
  <si>
    <t>Тек. ремонт ООО "УЖХ-Шалым"</t>
  </si>
  <si>
    <t>Тек. ремонт ООО "ТУК"</t>
  </si>
  <si>
    <t>Доп. содержание</t>
  </si>
  <si>
    <t>Начислено квартплаты по содержанию и тек. Ремонту населению</t>
  </si>
  <si>
    <t>на нач. отч. периода</t>
  </si>
  <si>
    <t>Выписка по лицевому счету по адресу г. Таштагол ул. Школьная, д. 14</t>
  </si>
  <si>
    <t>2012 год</t>
  </si>
  <si>
    <t>Содержание жилья 2011/ Услуга ЕДДС 2012</t>
  </si>
  <si>
    <t>Содержание жилья 2012</t>
  </si>
  <si>
    <t>Лицевой счет по адресу г. Таштагол, ул. Школьная, д. 14</t>
  </si>
  <si>
    <t>за период с января 2012 г. по декабрь 2012 г.</t>
  </si>
  <si>
    <t>Доходы по нежилым помещениям</t>
  </si>
  <si>
    <t>Расходы по нежилым помещениям</t>
  </si>
  <si>
    <t>*по состоянию на 01.06.2013 г.</t>
  </si>
  <si>
    <t>Тариф по содержанию и тек.ремонту 100 % (9,51 руб.*площадь)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</si>
</sst>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_(* #,##0.00_);_(* \(#,##0.00\);_(* &quot;-&quot;??_);_(@_)"/>
  </numFmts>
  <fonts count="44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 horizontal="left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wrapText="1"/>
    </xf>
    <xf numFmtId="4" fontId="1" fillId="0" borderId="19" xfId="0" applyNumberFormat="1" applyFont="1" applyFill="1" applyBorder="1" applyAlignment="1">
      <alignment horizontal="right" wrapText="1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 wrapText="1"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" fontId="1" fillId="34" borderId="14" xfId="0" applyNumberFormat="1" applyFont="1" applyFill="1" applyBorder="1" applyAlignment="1">
      <alignment horizontal="right"/>
    </xf>
    <xf numFmtId="4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wrapText="1"/>
    </xf>
    <xf numFmtId="4" fontId="2" fillId="0" borderId="12" xfId="33" applyNumberFormat="1" applyFont="1" applyFill="1" applyBorder="1" applyAlignment="1">
      <alignment vertical="center" wrapText="1"/>
      <protection/>
    </xf>
    <xf numFmtId="0" fontId="0" fillId="34" borderId="12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center"/>
    </xf>
    <xf numFmtId="4" fontId="0" fillId="33" borderId="12" xfId="0" applyNumberFormat="1" applyFont="1" applyFill="1" applyBorder="1" applyAlignment="1">
      <alignment/>
    </xf>
    <xf numFmtId="4" fontId="1" fillId="34" borderId="12" xfId="0" applyNumberFormat="1" applyFont="1" applyFill="1" applyBorder="1" applyAlignment="1">
      <alignment/>
    </xf>
    <xf numFmtId="4" fontId="0" fillId="34" borderId="1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34" borderId="27" xfId="0" applyNumberFormat="1" applyFont="1" applyFill="1" applyBorder="1" applyAlignment="1">
      <alignment/>
    </xf>
    <xf numFmtId="4" fontId="0" fillId="0" borderId="27" xfId="0" applyNumberFormat="1" applyFont="1" applyBorder="1" applyAlignment="1">
      <alignment horizontal="center"/>
    </xf>
    <xf numFmtId="4" fontId="0" fillId="0" borderId="27" xfId="0" applyNumberFormat="1" applyFont="1" applyFill="1" applyBorder="1" applyAlignment="1">
      <alignment/>
    </xf>
    <xf numFmtId="4" fontId="0" fillId="35" borderId="12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43" fontId="2" fillId="34" borderId="12" xfId="6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15" xfId="54" applyNumberFormat="1" applyFont="1" applyFill="1" applyBorder="1" applyAlignment="1">
      <alignment horizontal="center"/>
      <protection/>
    </xf>
    <xf numFmtId="0" fontId="0" fillId="0" borderId="24" xfId="0" applyBorder="1" applyAlignment="1">
      <alignment horizontal="center"/>
    </xf>
    <xf numFmtId="4" fontId="0" fillId="34" borderId="27" xfId="54" applyNumberFormat="1" applyFont="1" applyFill="1" applyBorder="1">
      <alignment/>
      <protection/>
    </xf>
    <xf numFmtId="4" fontId="0" fillId="0" borderId="12" xfId="54" applyNumberFormat="1" applyFont="1" applyFill="1" applyBorder="1">
      <alignment/>
      <protection/>
    </xf>
    <xf numFmtId="4" fontId="0" fillId="33" borderId="12" xfId="54" applyNumberFormat="1" applyFont="1" applyFill="1" applyBorder="1">
      <alignment/>
      <protection/>
    </xf>
    <xf numFmtId="4" fontId="0" fillId="0" borderId="27" xfId="54" applyNumberFormat="1" applyFont="1" applyFill="1" applyBorder="1">
      <alignment/>
      <protection/>
    </xf>
    <xf numFmtId="4" fontId="0" fillId="0" borderId="24" xfId="54" applyNumberFormat="1" applyFont="1" applyFill="1" applyBorder="1" applyAlignment="1">
      <alignment horizontal="center"/>
      <protection/>
    </xf>
    <xf numFmtId="0" fontId="0" fillId="0" borderId="24" xfId="54" applyBorder="1" applyAlignment="1">
      <alignment horizontal="center"/>
      <protection/>
    </xf>
    <xf numFmtId="4" fontId="0" fillId="34" borderId="31" xfId="54" applyNumberFormat="1" applyFont="1" applyFill="1" applyBorder="1">
      <alignment/>
      <protection/>
    </xf>
    <xf numFmtId="43" fontId="2" fillId="34" borderId="27" xfId="63" applyFont="1" applyFill="1" applyBorder="1" applyAlignment="1">
      <alignment horizontal="center" vertical="center" wrapText="1"/>
    </xf>
    <xf numFmtId="4" fontId="1" fillId="0" borderId="24" xfId="0" applyNumberFormat="1" applyFont="1" applyBorder="1" applyAlignment="1">
      <alignment/>
    </xf>
    <xf numFmtId="0" fontId="9" fillId="0" borderId="24" xfId="0" applyFont="1" applyBorder="1" applyAlignment="1">
      <alignment/>
    </xf>
    <xf numFmtId="0" fontId="0" fillId="0" borderId="12" xfId="54" applyFont="1" applyBorder="1">
      <alignment/>
      <protection/>
    </xf>
    <xf numFmtId="4" fontId="0" fillId="0" borderId="33" xfId="54" applyNumberFormat="1" applyFont="1" applyFill="1" applyBorder="1">
      <alignment/>
      <protection/>
    </xf>
    <xf numFmtId="4" fontId="2" fillId="0" borderId="12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" fontId="1" fillId="34" borderId="27" xfId="54" applyNumberFormat="1" applyFont="1" applyFill="1" applyBorder="1">
      <alignment/>
      <protection/>
    </xf>
    <xf numFmtId="0" fontId="9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4" fontId="0" fillId="35" borderId="12" xfId="54" applyNumberFormat="1" applyFont="1" applyFill="1" applyBorder="1">
      <alignment/>
      <protection/>
    </xf>
    <xf numFmtId="4" fontId="0" fillId="35" borderId="34" xfId="54" applyNumberFormat="1" applyFont="1" applyFill="1" applyBorder="1">
      <alignment/>
      <protection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" fontId="0" fillId="36" borderId="12" xfId="0" applyNumberFormat="1" applyFont="1" applyFill="1" applyBorder="1" applyAlignment="1">
      <alignment/>
    </xf>
    <xf numFmtId="4" fontId="0" fillId="36" borderId="12" xfId="54" applyNumberFormat="1" applyFont="1" applyFill="1" applyBorder="1">
      <alignment/>
      <protection/>
    </xf>
    <xf numFmtId="0" fontId="1" fillId="36" borderId="30" xfId="0" applyFont="1" applyFill="1" applyBorder="1" applyAlignment="1">
      <alignment horizontal="center" vertical="center" wrapText="1"/>
    </xf>
    <xf numFmtId="4" fontId="1" fillId="36" borderId="14" xfId="0" applyNumberFormat="1" applyFont="1" applyFill="1" applyBorder="1" applyAlignment="1">
      <alignment horizontal="right"/>
    </xf>
    <xf numFmtId="4" fontId="0" fillId="36" borderId="12" xfId="0" applyNumberFormat="1" applyFont="1" applyFill="1" applyBorder="1" applyAlignment="1">
      <alignment horizontal="right"/>
    </xf>
    <xf numFmtId="4" fontId="2" fillId="0" borderId="16" xfId="33" applyNumberFormat="1" applyFont="1" applyFill="1" applyBorder="1" applyAlignment="1">
      <alignment horizontal="center" vertical="center" wrapText="1"/>
      <protection/>
    </xf>
    <xf numFmtId="4" fontId="2" fillId="0" borderId="34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/>
    </xf>
    <xf numFmtId="0" fontId="9" fillId="0" borderId="35" xfId="0" applyFont="1" applyBorder="1" applyAlignment="1">
      <alignment/>
    </xf>
    <xf numFmtId="4" fontId="1" fillId="34" borderId="33" xfId="54" applyNumberFormat="1" applyFont="1" applyFill="1" applyBorder="1">
      <alignment/>
      <protection/>
    </xf>
    <xf numFmtId="4" fontId="0" fillId="34" borderId="33" xfId="54" applyNumberFormat="1" applyFont="1" applyFill="1" applyBorder="1">
      <alignment/>
      <protection/>
    </xf>
    <xf numFmtId="4" fontId="0" fillId="0" borderId="34" xfId="54" applyNumberFormat="1" applyFont="1" applyFill="1" applyBorder="1">
      <alignment/>
      <protection/>
    </xf>
    <xf numFmtId="4" fontId="0" fillId="36" borderId="34" xfId="54" applyNumberFormat="1" applyFont="1" applyFill="1" applyBorder="1">
      <alignment/>
      <protection/>
    </xf>
    <xf numFmtId="4" fontId="0" fillId="33" borderId="34" xfId="54" applyNumberFormat="1" applyFont="1" applyFill="1" applyBorder="1">
      <alignment/>
      <protection/>
    </xf>
    <xf numFmtId="4" fontId="0" fillId="33" borderId="34" xfId="54" applyNumberFormat="1" applyFont="1" applyFill="1" applyBorder="1" applyAlignment="1">
      <alignment horizontal="center"/>
      <protection/>
    </xf>
    <xf numFmtId="0" fontId="0" fillId="0" borderId="34" xfId="54" applyFont="1" applyBorder="1">
      <alignment/>
      <protection/>
    </xf>
    <xf numFmtId="4" fontId="0" fillId="0" borderId="34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wrapText="1"/>
    </xf>
    <xf numFmtId="4" fontId="1" fillId="33" borderId="18" xfId="0" applyNumberFormat="1" applyFont="1" applyFill="1" applyBorder="1" applyAlignment="1">
      <alignment wrapText="1"/>
    </xf>
    <xf numFmtId="4" fontId="1" fillId="34" borderId="18" xfId="0" applyNumberFormat="1" applyFont="1" applyFill="1" applyBorder="1" applyAlignment="1">
      <alignment wrapText="1"/>
    </xf>
    <xf numFmtId="4" fontId="1" fillId="34" borderId="18" xfId="0" applyNumberFormat="1" applyFont="1" applyFill="1" applyBorder="1" applyAlignment="1">
      <alignment horizontal="right" wrapText="1"/>
    </xf>
    <xf numFmtId="0" fontId="0" fillId="0" borderId="36" xfId="0" applyFont="1" applyFill="1" applyBorder="1" applyAlignment="1">
      <alignment/>
    </xf>
    <xf numFmtId="4" fontId="0" fillId="0" borderId="37" xfId="0" applyNumberFormat="1" applyFont="1" applyFill="1" applyBorder="1" applyAlignment="1">
      <alignment horizontal="right" wrapText="1"/>
    </xf>
    <xf numFmtId="4" fontId="2" fillId="0" borderId="37" xfId="33" applyNumberFormat="1" applyFont="1" applyFill="1" applyBorder="1" applyAlignment="1">
      <alignment horizontal="right" vertical="center" wrapText="1"/>
      <protection/>
    </xf>
    <xf numFmtId="0" fontId="0" fillId="33" borderId="37" xfId="0" applyFont="1" applyFill="1" applyBorder="1" applyAlignment="1">
      <alignment horizontal="right"/>
    </xf>
    <xf numFmtId="4" fontId="0" fillId="33" borderId="37" xfId="0" applyNumberFormat="1" applyFont="1" applyFill="1" applyBorder="1" applyAlignment="1">
      <alignment horizontal="right"/>
    </xf>
    <xf numFmtId="4" fontId="0" fillId="34" borderId="37" xfId="0" applyNumberFormat="1" applyFont="1" applyFill="1" applyBorder="1" applyAlignment="1">
      <alignment horizontal="center"/>
    </xf>
    <xf numFmtId="4" fontId="1" fillId="34" borderId="37" xfId="0" applyNumberFormat="1" applyFont="1" applyFill="1" applyBorder="1" applyAlignment="1">
      <alignment/>
    </xf>
    <xf numFmtId="4" fontId="0" fillId="34" borderId="37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0" fontId="0" fillId="33" borderId="37" xfId="0" applyFont="1" applyFill="1" applyBorder="1" applyAlignment="1">
      <alignment horizontal="center" vertical="center" wrapText="1"/>
    </xf>
    <xf numFmtId="4" fontId="0" fillId="33" borderId="37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4" fontId="1" fillId="33" borderId="18" xfId="0" applyNumberFormat="1" applyFont="1" applyFill="1" applyBorder="1" applyAlignment="1">
      <alignment horizontal="right"/>
    </xf>
    <xf numFmtId="4" fontId="1" fillId="34" borderId="18" xfId="0" applyNumberFormat="1" applyFont="1" applyFill="1" applyBorder="1" applyAlignment="1">
      <alignment horizontal="right"/>
    </xf>
    <xf numFmtId="4" fontId="10" fillId="0" borderId="12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35" borderId="27" xfId="54" applyNumberFormat="1" applyFont="1" applyFill="1" applyBorder="1">
      <alignment/>
      <protection/>
    </xf>
    <xf numFmtId="4" fontId="0" fillId="0" borderId="12" xfId="54" applyNumberFormat="1" applyFont="1" applyFill="1" applyBorder="1">
      <alignment/>
      <protection/>
    </xf>
    <xf numFmtId="4" fontId="0" fillId="33" borderId="12" xfId="54" applyNumberFormat="1" applyFont="1" applyFill="1" applyBorder="1">
      <alignment/>
      <protection/>
    </xf>
    <xf numFmtId="4" fontId="0" fillId="0" borderId="27" xfId="54" applyNumberFormat="1" applyFont="1" applyFill="1" applyBorder="1">
      <alignment/>
      <protection/>
    </xf>
    <xf numFmtId="4" fontId="0" fillId="35" borderId="12" xfId="54" applyNumberFormat="1" applyFont="1" applyFill="1" applyBorder="1">
      <alignment/>
      <protection/>
    </xf>
    <xf numFmtId="4" fontId="0" fillId="0" borderId="12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Fill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1" fillId="0" borderId="39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4" fontId="0" fillId="0" borderId="34" xfId="54" applyNumberFormat="1" applyFont="1" applyFill="1" applyBorder="1">
      <alignment/>
      <protection/>
    </xf>
    <xf numFmtId="0" fontId="0" fillId="0" borderId="34" xfId="0" applyFont="1" applyFill="1" applyBorder="1" applyAlignment="1">
      <alignment/>
    </xf>
    <xf numFmtId="4" fontId="0" fillId="33" borderId="34" xfId="54" applyNumberFormat="1" applyFont="1" applyFill="1" applyBorder="1">
      <alignment/>
      <protection/>
    </xf>
    <xf numFmtId="4" fontId="0" fillId="36" borderId="12" xfId="0" applyNumberFormat="1" applyFont="1" applyFill="1" applyBorder="1" applyAlignment="1">
      <alignment horizontal="right" vertical="center" wrapText="1"/>
    </xf>
    <xf numFmtId="4" fontId="0" fillId="36" borderId="12" xfId="54" applyNumberFormat="1" applyFont="1" applyFill="1" applyBorder="1">
      <alignment/>
      <protection/>
    </xf>
    <xf numFmtId="0" fontId="0" fillId="36" borderId="12" xfId="54" applyFont="1" applyFill="1" applyBorder="1">
      <alignment/>
      <protection/>
    </xf>
    <xf numFmtId="4" fontId="0" fillId="36" borderId="34" xfId="54" applyNumberFormat="1" applyFont="1" applyFill="1" applyBorder="1">
      <alignment/>
      <protection/>
    </xf>
    <xf numFmtId="0" fontId="0" fillId="36" borderId="37" xfId="0" applyFont="1" applyFill="1" applyBorder="1" applyAlignment="1">
      <alignment horizontal="center" vertical="center" wrapText="1"/>
    </xf>
    <xf numFmtId="4" fontId="0" fillId="36" borderId="37" xfId="0" applyNumberFormat="1" applyFont="1" applyFill="1" applyBorder="1" applyAlignment="1">
      <alignment/>
    </xf>
    <xf numFmtId="0" fontId="0" fillId="36" borderId="36" xfId="0" applyFont="1" applyFill="1" applyBorder="1" applyAlignment="1">
      <alignment/>
    </xf>
    <xf numFmtId="4" fontId="0" fillId="36" borderId="37" xfId="0" applyNumberFormat="1" applyFont="1" applyFill="1" applyBorder="1" applyAlignment="1">
      <alignment horizontal="right" wrapText="1"/>
    </xf>
    <xf numFmtId="4" fontId="2" fillId="36" borderId="37" xfId="33" applyNumberFormat="1" applyFont="1" applyFill="1" applyBorder="1" applyAlignment="1">
      <alignment horizontal="right" vertical="center" wrapText="1"/>
      <protection/>
    </xf>
    <xf numFmtId="0" fontId="0" fillId="36" borderId="37" xfId="0" applyFont="1" applyFill="1" applyBorder="1" applyAlignment="1">
      <alignment horizontal="right"/>
    </xf>
    <xf numFmtId="4" fontId="0" fillId="36" borderId="37" xfId="0" applyNumberFormat="1" applyFont="1" applyFill="1" applyBorder="1" applyAlignment="1">
      <alignment horizontal="right"/>
    </xf>
    <xf numFmtId="4" fontId="0" fillId="36" borderId="37" xfId="0" applyNumberFormat="1" applyFont="1" applyFill="1" applyBorder="1" applyAlignment="1">
      <alignment horizontal="center"/>
    </xf>
    <xf numFmtId="4" fontId="1" fillId="36" borderId="37" xfId="0" applyNumberFormat="1" applyFont="1" applyFill="1" applyBorder="1" applyAlignment="1">
      <alignment/>
    </xf>
    <xf numFmtId="0" fontId="0" fillId="36" borderId="37" xfId="0" applyFont="1" applyFill="1" applyBorder="1" applyAlignment="1">
      <alignment/>
    </xf>
    <xf numFmtId="0" fontId="0" fillId="36" borderId="0" xfId="0" applyFont="1" applyFill="1" applyAlignment="1">
      <alignment/>
    </xf>
    <xf numFmtId="4" fontId="0" fillId="36" borderId="27" xfId="0" applyNumberFormat="1" applyFont="1" applyFill="1" applyBorder="1" applyAlignment="1">
      <alignment/>
    </xf>
    <xf numFmtId="4" fontId="1" fillId="0" borderId="40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 wrapText="1"/>
    </xf>
    <xf numFmtId="4" fontId="0" fillId="0" borderId="27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 vertical="center" wrapText="1"/>
    </xf>
    <xf numFmtId="4" fontId="2" fillId="0" borderId="43" xfId="33" applyNumberFormat="1" applyFont="1" applyFill="1" applyBorder="1" applyAlignment="1">
      <alignment horizontal="right" vertical="center" wrapText="1"/>
      <protection/>
    </xf>
    <xf numFmtId="4" fontId="2" fillId="0" borderId="36" xfId="33" applyNumberFormat="1" applyFont="1" applyFill="1" applyBorder="1" applyAlignment="1">
      <alignment horizontal="right" vertical="center" wrapText="1"/>
      <protection/>
    </xf>
    <xf numFmtId="4" fontId="0" fillId="0" borderId="37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 vertical="center" wrapText="1"/>
    </xf>
    <xf numFmtId="4" fontId="0" fillId="0" borderId="4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0" fontId="1" fillId="0" borderId="45" xfId="0" applyFont="1" applyFill="1" applyBorder="1" applyAlignment="1">
      <alignment horizontal="right" vertical="center" wrapText="1"/>
    </xf>
    <xf numFmtId="4" fontId="1" fillId="0" borderId="46" xfId="0" applyNumberFormat="1" applyFont="1" applyFill="1" applyBorder="1" applyAlignment="1">
      <alignment horizontal="right" wrapText="1"/>
    </xf>
    <xf numFmtId="0" fontId="0" fillId="0" borderId="47" xfId="0" applyFont="1" applyFill="1" applyBorder="1" applyAlignment="1">
      <alignment/>
    </xf>
    <xf numFmtId="2" fontId="0" fillId="0" borderId="48" xfId="0" applyNumberFormat="1" applyBorder="1" applyAlignment="1">
      <alignment horizontal="center"/>
    </xf>
    <xf numFmtId="4" fontId="2" fillId="0" borderId="47" xfId="33" applyNumberFormat="1" applyFont="1" applyFill="1" applyBorder="1" applyAlignment="1">
      <alignment horizontal="right" vertical="center" wrapText="1"/>
      <protection/>
    </xf>
    <xf numFmtId="4" fontId="0" fillId="0" borderId="49" xfId="0" applyNumberFormat="1" applyFont="1" applyFill="1" applyBorder="1" applyAlignment="1">
      <alignment horizontal="right"/>
    </xf>
    <xf numFmtId="4" fontId="0" fillId="0" borderId="47" xfId="0" applyNumberFormat="1" applyFont="1" applyFill="1" applyBorder="1" applyAlignment="1">
      <alignment horizontal="right"/>
    </xf>
    <xf numFmtId="0" fontId="0" fillId="0" borderId="49" xfId="0" applyFont="1" applyFill="1" applyBorder="1" applyAlignment="1">
      <alignment/>
    </xf>
    <xf numFmtId="4" fontId="0" fillId="0" borderId="50" xfId="0" applyNumberFormat="1" applyFont="1" applyFill="1" applyBorder="1" applyAlignment="1">
      <alignment horizontal="right"/>
    </xf>
    <xf numFmtId="4" fontId="0" fillId="0" borderId="49" xfId="0" applyNumberFormat="1" applyFont="1" applyFill="1" applyBorder="1" applyAlignment="1">
      <alignment horizontal="right" vertical="center" wrapText="1"/>
    </xf>
    <xf numFmtId="4" fontId="0" fillId="0" borderId="51" xfId="0" applyNumberFormat="1" applyFont="1" applyFill="1" applyBorder="1" applyAlignment="1">
      <alignment horizontal="right"/>
    </xf>
    <xf numFmtId="4" fontId="0" fillId="0" borderId="52" xfId="0" applyNumberFormat="1" applyFont="1" applyFill="1" applyBorder="1" applyAlignment="1">
      <alignment horizontal="right"/>
    </xf>
    <xf numFmtId="4" fontId="0" fillId="0" borderId="5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2" fontId="0" fillId="0" borderId="54" xfId="0" applyNumberFormat="1" applyBorder="1" applyAlignment="1">
      <alignment horizontal="center"/>
    </xf>
    <xf numFmtId="4" fontId="2" fillId="0" borderId="13" xfId="33" applyNumberFormat="1" applyFont="1" applyFill="1" applyBorder="1" applyAlignment="1">
      <alignment horizontal="right" vertical="center" wrapText="1"/>
      <protection/>
    </xf>
    <xf numFmtId="4" fontId="0" fillId="0" borderId="14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4" fontId="0" fillId="0" borderId="55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0" borderId="56" xfId="0" applyNumberFormat="1" applyFont="1" applyFill="1" applyBorder="1" applyAlignment="1">
      <alignment horizontal="right"/>
    </xf>
    <xf numFmtId="4" fontId="0" fillId="0" borderId="57" xfId="0" applyNumberFormat="1" applyFont="1" applyFill="1" applyBorder="1" applyAlignment="1">
      <alignment horizontal="right"/>
    </xf>
    <xf numFmtId="4" fontId="0" fillId="0" borderId="5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4" fontId="1" fillId="0" borderId="61" xfId="0" applyNumberFormat="1" applyFont="1" applyFill="1" applyBorder="1" applyAlignment="1">
      <alignment horizontal="center" vertical="center" wrapText="1"/>
    </xf>
    <xf numFmtId="4" fontId="1" fillId="0" borderId="62" xfId="0" applyNumberFormat="1" applyFont="1" applyFill="1" applyBorder="1" applyAlignment="1">
      <alignment horizontal="center" vertical="center" wrapText="1"/>
    </xf>
    <xf numFmtId="4" fontId="1" fillId="0" borderId="63" xfId="0" applyNumberFormat="1" applyFont="1" applyFill="1" applyBorder="1" applyAlignment="1">
      <alignment horizontal="center" vertical="center" wrapText="1"/>
    </xf>
    <xf numFmtId="4" fontId="1" fillId="0" borderId="64" xfId="0" applyNumberFormat="1" applyFont="1" applyFill="1" applyBorder="1" applyAlignment="1">
      <alignment horizontal="center" vertical="center" wrapText="1"/>
    </xf>
    <xf numFmtId="43" fontId="7" fillId="34" borderId="61" xfId="61" applyFont="1" applyFill="1" applyBorder="1" applyAlignment="1">
      <alignment horizontal="center" vertical="center" wrapText="1"/>
    </xf>
    <xf numFmtId="43" fontId="7" fillId="34" borderId="62" xfId="6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0" fontId="0" fillId="0" borderId="65" xfId="0" applyFont="1" applyBorder="1" applyAlignment="1">
      <alignment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33" borderId="6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2" fontId="1" fillId="33" borderId="52" xfId="0" applyNumberFormat="1" applyFont="1" applyFill="1" applyBorder="1" applyAlignment="1">
      <alignment horizontal="center" vertical="center" wrapText="1"/>
    </xf>
    <xf numFmtId="2" fontId="1" fillId="33" borderId="57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37" borderId="61" xfId="0" applyNumberFormat="1" applyFont="1" applyFill="1" applyBorder="1" applyAlignment="1">
      <alignment horizontal="center" vertical="center" wrapText="1"/>
    </xf>
    <xf numFmtId="2" fontId="1" fillId="37" borderId="4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1" fillId="0" borderId="68" xfId="0" applyFont="1" applyFill="1" applyBorder="1" applyAlignment="1">
      <alignment horizontal="left"/>
    </xf>
    <xf numFmtId="4" fontId="1" fillId="0" borderId="47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16" xfId="0" applyNumberFormat="1" applyFont="1" applyFill="1" applyBorder="1" applyAlignment="1">
      <alignment horizontal="center" vertical="center" textRotation="90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35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2" fontId="1" fillId="0" borderId="12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59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center" wrapText="1"/>
    </xf>
    <xf numFmtId="0" fontId="1" fillId="0" borderId="70" xfId="0" applyFont="1" applyFill="1" applyBorder="1" applyAlignment="1">
      <alignment horizontal="center" wrapText="1"/>
    </xf>
    <xf numFmtId="0" fontId="1" fillId="0" borderId="71" xfId="0" applyFont="1" applyFill="1" applyBorder="1" applyAlignment="1">
      <alignment horizont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9" xfId="0" applyNumberFormat="1" applyFont="1" applyFill="1" applyBorder="1" applyAlignment="1">
      <alignment horizontal="center" vertical="center" textRotation="90" wrapText="1"/>
    </xf>
    <xf numFmtId="4" fontId="1" fillId="0" borderId="12" xfId="0" applyNumberFormat="1" applyFont="1" applyFill="1" applyBorder="1" applyAlignment="1">
      <alignment horizontal="center" vertical="center" textRotation="90" wrapText="1"/>
    </xf>
    <xf numFmtId="4" fontId="1" fillId="0" borderId="34" xfId="0" applyNumberFormat="1" applyFont="1" applyFill="1" applyBorder="1" applyAlignment="1">
      <alignment horizontal="center" vertical="center" textRotation="90" wrapText="1"/>
    </xf>
    <xf numFmtId="4" fontId="1" fillId="0" borderId="5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0" fontId="1" fillId="0" borderId="72" xfId="0" applyFont="1" applyFill="1" applyBorder="1" applyAlignment="1">
      <alignment horizontal="center" vertical="center" textRotation="90" wrapText="1"/>
    </xf>
    <xf numFmtId="0" fontId="1" fillId="0" borderId="38" xfId="0" applyFont="1" applyFill="1" applyBorder="1" applyAlignment="1">
      <alignment horizontal="center" vertical="center" textRotation="90" wrapText="1"/>
    </xf>
    <xf numFmtId="0" fontId="1" fillId="0" borderId="73" xfId="0" applyFont="1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Ц СЧЕТА 1 кв 20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Ц СЧЕТА 1 кв 2011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42;&#1099;&#1087;&#1080;&#1089;&#1082;&#1080;%202010%20&#1075;&#1086;&#1076;\&#1064;&#1072;&#1083;&#1099;&#1084;\&#1051;&#1080;&#1094;&#1077;&#1074;&#1086;&#1081;%20&#1089;&#1095;&#1077;&#1090;%20&#1064;&#1082;&#1086;&#1083;&#1100;&#1085;&#1072;&#1103;,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2011"/>
      <sheetName val="2011 печать"/>
    </sheetNames>
    <sheetDataSet>
      <sheetData sheetId="0">
        <row r="34">
          <cell r="O34">
            <v>85535.59000000001</v>
          </cell>
          <cell r="P34">
            <v>17082.26</v>
          </cell>
          <cell r="V34">
            <v>79815.65</v>
          </cell>
          <cell r="W34">
            <v>115258.42773509</v>
          </cell>
          <cell r="Y34">
            <v>8469.480000000003</v>
          </cell>
          <cell r="Z34">
            <v>2823.6303344</v>
          </cell>
          <cell r="AA34">
            <v>13304.7098156</v>
          </cell>
          <cell r="AB34">
            <v>791.6957668080001</v>
          </cell>
          <cell r="AC34">
            <v>13027.95953856</v>
          </cell>
          <cell r="AD34">
            <v>773.9437569408001</v>
          </cell>
          <cell r="AE34">
            <v>29933.861685120006</v>
          </cell>
          <cell r="AF34">
            <v>1781.0031033215996</v>
          </cell>
          <cell r="AK34">
            <v>55207.06</v>
          </cell>
          <cell r="AL34">
            <v>47.8</v>
          </cell>
          <cell r="AM34">
            <v>730.8324</v>
          </cell>
          <cell r="AP34">
            <v>2851.8873599999997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10">
        <row r="380">
          <cell r="J380">
            <v>114</v>
          </cell>
          <cell r="S380">
            <v>28.5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zoomScalePageLayoutView="0" workbookViewId="0" topLeftCell="A1">
      <pane xSplit="2" ySplit="5" topLeftCell="P1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21" sqref="H2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5" width="10.25390625" style="2" customWidth="1"/>
    <col min="6" max="6" width="9.125" style="2" customWidth="1"/>
    <col min="7" max="7" width="10.25390625" style="2" customWidth="1"/>
    <col min="8" max="8" width="10.125" style="2" bestFit="1" customWidth="1"/>
    <col min="9" max="11" width="9.125" style="2" customWidth="1"/>
    <col min="12" max="12" width="10.625" style="2" customWidth="1"/>
    <col min="13" max="13" width="11.375" style="2" customWidth="1"/>
    <col min="14" max="14" width="9.25390625" style="2" bestFit="1" customWidth="1"/>
    <col min="15" max="15" width="10.25390625" style="2" customWidth="1"/>
    <col min="16" max="16" width="9.25390625" style="2" bestFit="1" customWidth="1"/>
    <col min="17" max="17" width="10.125" style="2" bestFit="1" customWidth="1"/>
    <col min="18" max="18" width="10.125" style="2" customWidth="1"/>
    <col min="19" max="20" width="9.25390625" style="2" customWidth="1"/>
    <col min="21" max="21" width="10.125" style="2" bestFit="1" customWidth="1"/>
    <col min="22" max="22" width="10.125" style="2" customWidth="1"/>
    <col min="23" max="23" width="9.25390625" style="2" bestFit="1" customWidth="1"/>
    <col min="24" max="24" width="10.625" style="2" customWidth="1"/>
    <col min="25" max="25" width="10.125" style="2" bestFit="1" customWidth="1"/>
    <col min="26" max="27" width="10.375" style="2" customWidth="1"/>
    <col min="28" max="28" width="10.75390625" style="2" customWidth="1"/>
    <col min="29" max="29" width="14.00390625" style="2" customWidth="1"/>
    <col min="30" max="16384" width="9.125" style="2" customWidth="1"/>
  </cols>
  <sheetData>
    <row r="1" spans="1:7" ht="21" customHeight="1">
      <c r="A1" s="225" t="s">
        <v>66</v>
      </c>
      <c r="B1" s="225"/>
      <c r="C1" s="225"/>
      <c r="D1" s="225"/>
      <c r="E1" s="225"/>
      <c r="F1" s="225"/>
      <c r="G1" s="225"/>
    </row>
    <row r="2" spans="1:7" ht="13.5" thickBot="1">
      <c r="A2" s="1"/>
      <c r="B2" s="3"/>
      <c r="C2" s="4"/>
      <c r="D2" s="4"/>
      <c r="E2" s="1"/>
      <c r="F2" s="1"/>
      <c r="G2" s="1"/>
    </row>
    <row r="3" spans="1:29" ht="13.5" customHeight="1">
      <c r="A3" s="226" t="s">
        <v>0</v>
      </c>
      <c r="B3" s="228" t="s">
        <v>1</v>
      </c>
      <c r="C3" s="230" t="s">
        <v>2</v>
      </c>
      <c r="D3" s="232" t="s">
        <v>3</v>
      </c>
      <c r="E3" s="226" t="s">
        <v>54</v>
      </c>
      <c r="F3" s="268"/>
      <c r="G3" s="269"/>
      <c r="H3" s="258" t="s">
        <v>4</v>
      </c>
      <c r="I3" s="262" t="s">
        <v>5</v>
      </c>
      <c r="J3" s="263"/>
      <c r="K3" s="264"/>
      <c r="L3" s="236" t="s">
        <v>12</v>
      </c>
      <c r="M3" s="242" t="s">
        <v>55</v>
      </c>
      <c r="N3" s="245" t="s">
        <v>45</v>
      </c>
      <c r="O3" s="252" t="s">
        <v>7</v>
      </c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4"/>
      <c r="AA3" s="278" t="s">
        <v>46</v>
      </c>
      <c r="AB3" s="281" t="s">
        <v>8</v>
      </c>
      <c r="AC3" s="275" t="s">
        <v>9</v>
      </c>
    </row>
    <row r="4" spans="1:29" ht="9" customHeight="1" thickBot="1">
      <c r="A4" s="227"/>
      <c r="B4" s="229"/>
      <c r="C4" s="231"/>
      <c r="D4" s="233"/>
      <c r="E4" s="270"/>
      <c r="F4" s="271"/>
      <c r="G4" s="272"/>
      <c r="H4" s="259"/>
      <c r="I4" s="265"/>
      <c r="J4" s="266"/>
      <c r="K4" s="267"/>
      <c r="L4" s="237"/>
      <c r="M4" s="243"/>
      <c r="N4" s="246"/>
      <c r="O4" s="255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7"/>
      <c r="AA4" s="279"/>
      <c r="AB4" s="282"/>
      <c r="AC4" s="276"/>
    </row>
    <row r="5" spans="1:29" ht="66.75" customHeight="1">
      <c r="A5" s="227"/>
      <c r="B5" s="229"/>
      <c r="C5" s="231"/>
      <c r="D5" s="233"/>
      <c r="E5" s="226" t="s">
        <v>56</v>
      </c>
      <c r="F5" s="258" t="s">
        <v>10</v>
      </c>
      <c r="G5" s="268" t="s">
        <v>11</v>
      </c>
      <c r="H5" s="259"/>
      <c r="I5" s="227" t="s">
        <v>56</v>
      </c>
      <c r="J5" s="259" t="s">
        <v>10</v>
      </c>
      <c r="K5" s="261" t="s">
        <v>11</v>
      </c>
      <c r="L5" s="237"/>
      <c r="M5" s="243"/>
      <c r="N5" s="246"/>
      <c r="O5" s="248" t="s">
        <v>13</v>
      </c>
      <c r="P5" s="234" t="s">
        <v>14</v>
      </c>
      <c r="Q5" s="234" t="s">
        <v>64</v>
      </c>
      <c r="R5" s="234" t="s">
        <v>65</v>
      </c>
      <c r="S5" s="284" t="s">
        <v>59</v>
      </c>
      <c r="T5" s="284" t="s">
        <v>15</v>
      </c>
      <c r="U5" s="273" t="s">
        <v>57</v>
      </c>
      <c r="V5" s="250" t="s">
        <v>58</v>
      </c>
      <c r="W5" s="250" t="s">
        <v>15</v>
      </c>
      <c r="X5" s="245" t="s">
        <v>17</v>
      </c>
      <c r="Y5" s="245" t="s">
        <v>15</v>
      </c>
      <c r="Z5" s="240" t="s">
        <v>18</v>
      </c>
      <c r="AA5" s="279"/>
      <c r="AB5" s="282"/>
      <c r="AC5" s="276"/>
    </row>
    <row r="6" spans="1:29" ht="0.75" customHeight="1" thickBot="1">
      <c r="A6" s="227"/>
      <c r="B6" s="229"/>
      <c r="C6" s="231"/>
      <c r="D6" s="233"/>
      <c r="E6" s="239"/>
      <c r="F6" s="260"/>
      <c r="G6" s="261"/>
      <c r="H6" s="260"/>
      <c r="I6" s="239"/>
      <c r="J6" s="260"/>
      <c r="K6" s="261"/>
      <c r="L6" s="238"/>
      <c r="M6" s="244"/>
      <c r="N6" s="247"/>
      <c r="O6" s="249"/>
      <c r="P6" s="235"/>
      <c r="Q6" s="235"/>
      <c r="R6" s="235"/>
      <c r="S6" s="285"/>
      <c r="T6" s="285"/>
      <c r="U6" s="274"/>
      <c r="V6" s="251"/>
      <c r="W6" s="251"/>
      <c r="X6" s="247"/>
      <c r="Y6" s="247"/>
      <c r="Z6" s="241"/>
      <c r="AA6" s="280"/>
      <c r="AB6" s="283"/>
      <c r="AC6" s="277"/>
    </row>
    <row r="7" spans="1:29" s="10" customFormat="1" ht="13.5" thickBot="1">
      <c r="A7" s="70">
        <v>1</v>
      </c>
      <c r="B7" s="71">
        <v>4</v>
      </c>
      <c r="C7" s="70">
        <v>5</v>
      </c>
      <c r="D7" s="71">
        <v>6</v>
      </c>
      <c r="E7" s="70">
        <v>7</v>
      </c>
      <c r="F7" s="71">
        <v>8</v>
      </c>
      <c r="G7" s="70">
        <v>9</v>
      </c>
      <c r="H7" s="71">
        <v>10</v>
      </c>
      <c r="I7" s="70">
        <v>11</v>
      </c>
      <c r="J7" s="71">
        <v>12</v>
      </c>
      <c r="K7" s="70">
        <v>13</v>
      </c>
      <c r="L7" s="71">
        <v>14</v>
      </c>
      <c r="M7" s="70">
        <v>15</v>
      </c>
      <c r="N7" s="71">
        <v>16</v>
      </c>
      <c r="O7" s="70">
        <v>17</v>
      </c>
      <c r="P7" s="71">
        <v>18</v>
      </c>
      <c r="Q7" s="70">
        <v>19</v>
      </c>
      <c r="R7" s="71"/>
      <c r="S7" s="114"/>
      <c r="T7" s="114"/>
      <c r="U7" s="71">
        <v>20</v>
      </c>
      <c r="V7" s="70">
        <v>21</v>
      </c>
      <c r="W7" s="71">
        <v>22</v>
      </c>
      <c r="X7" s="70">
        <v>23</v>
      </c>
      <c r="Y7" s="71">
        <v>24</v>
      </c>
      <c r="Z7" s="70">
        <v>25</v>
      </c>
      <c r="AA7" s="71">
        <v>26</v>
      </c>
      <c r="AB7" s="70">
        <v>27</v>
      </c>
      <c r="AC7" s="71">
        <v>28</v>
      </c>
    </row>
    <row r="8" spans="1:29" ht="13.5" thickBot="1">
      <c r="A8" s="12" t="s">
        <v>31</v>
      </c>
      <c r="B8" s="63"/>
      <c r="C8" s="13">
        <v>122101.67</v>
      </c>
      <c r="D8" s="13">
        <v>18360.517735090016</v>
      </c>
      <c r="E8" s="32"/>
      <c r="F8" s="32"/>
      <c r="G8" s="32"/>
      <c r="H8" s="32">
        <f>'[1]Лист1'!$O$34+'[1]Лист1'!$P$34</f>
        <v>102617.85</v>
      </c>
      <c r="I8" s="33"/>
      <c r="J8" s="33"/>
      <c r="K8" s="33"/>
      <c r="L8" s="33">
        <f>'[1]Лист1'!V$34</f>
        <v>79815.65</v>
      </c>
      <c r="M8" s="33">
        <f>'[1]Лист1'!W$34</f>
        <v>115258.42773509</v>
      </c>
      <c r="N8" s="33">
        <v>0</v>
      </c>
      <c r="O8" s="13">
        <f>'[1]Лист1'!Y$34</f>
        <v>8469.480000000003</v>
      </c>
      <c r="P8" s="13">
        <f>'[1]Лист1'!Z$34</f>
        <v>2823.6303344</v>
      </c>
      <c r="Q8" s="13">
        <f>'[1]Лист1'!$AA$34+'[1]Лист1'!$AB$34+'[1]Лист1'!$AC$34+'[1]Лист1'!$AD$34+'[1]Лист1'!$AE$34+'[1]Лист1'!$AP$34+'[1]Лист1'!$AF$34</f>
        <v>62465.061026350406</v>
      </c>
      <c r="R8" s="13"/>
      <c r="S8" s="115"/>
      <c r="T8" s="115"/>
      <c r="U8" s="13">
        <f>'[1]Лист1'!AK$34</f>
        <v>55207.06</v>
      </c>
      <c r="V8" s="13">
        <f>'[1]Лист1'!AL$34</f>
        <v>47.8</v>
      </c>
      <c r="W8" s="13">
        <f>'[1]Лист1'!AM$34</f>
        <v>730.8324</v>
      </c>
      <c r="X8" s="13"/>
      <c r="Y8" s="13"/>
      <c r="Z8" s="13">
        <f>SUM(O8:Y8)</f>
        <v>129743.8637607504</v>
      </c>
      <c r="AA8" s="13">
        <v>0</v>
      </c>
      <c r="AB8" s="8">
        <v>-14476.832025660384</v>
      </c>
      <c r="AC8" s="17">
        <f>L8-H8</f>
        <v>-22802.20000000001</v>
      </c>
    </row>
    <row r="9" spans="1:29" ht="12.75">
      <c r="A9" s="5" t="s">
        <v>53</v>
      </c>
      <c r="B9" s="36"/>
      <c r="C9" s="37"/>
      <c r="D9" s="37"/>
      <c r="E9" s="35"/>
      <c r="F9" s="35"/>
      <c r="G9" s="35"/>
      <c r="H9" s="34"/>
      <c r="I9" s="38"/>
      <c r="J9" s="38"/>
      <c r="K9" s="38"/>
      <c r="L9" s="38"/>
      <c r="M9" s="55"/>
      <c r="N9" s="56"/>
      <c r="O9" s="8"/>
      <c r="P9" s="8"/>
      <c r="Q9" s="8"/>
      <c r="R9" s="8"/>
      <c r="S9" s="116"/>
      <c r="T9" s="116"/>
      <c r="U9" s="18"/>
      <c r="V9" s="18"/>
      <c r="W9" s="18"/>
      <c r="X9" s="18"/>
      <c r="Y9" s="18"/>
      <c r="Z9" s="8"/>
      <c r="AA9" s="8"/>
      <c r="AB9" s="8"/>
      <c r="AC9" s="17"/>
    </row>
    <row r="10" spans="1:29" ht="12.75">
      <c r="A10" s="7" t="s">
        <v>22</v>
      </c>
      <c r="B10" s="100">
        <v>741.2</v>
      </c>
      <c r="C10" s="64">
        <f>B10*8.55*0.9</f>
        <v>5703.5340000000015</v>
      </c>
      <c r="D10" s="65">
        <v>93.942</v>
      </c>
      <c r="E10" s="58">
        <v>3947.71</v>
      </c>
      <c r="F10" s="58">
        <v>1725.51</v>
      </c>
      <c r="G10" s="58">
        <v>598.64</v>
      </c>
      <c r="H10" s="53">
        <f>E10+F10+G10</f>
        <v>6271.860000000001</v>
      </c>
      <c r="I10" s="101">
        <v>0</v>
      </c>
      <c r="J10" s="101">
        <v>1838.28</v>
      </c>
      <c r="K10" s="102">
        <v>451.98</v>
      </c>
      <c r="L10" s="63">
        <f>SUM(I10:K10)</f>
        <v>2290.26</v>
      </c>
      <c r="M10" s="59">
        <f aca="true" t="shared" si="0" ref="M10:M21">L10+D10</f>
        <v>2384.202</v>
      </c>
      <c r="N10" s="59"/>
      <c r="O10" s="9">
        <f aca="true" t="shared" si="1" ref="O10:O21">0.67*B10</f>
        <v>496.60400000000004</v>
      </c>
      <c r="P10" s="9">
        <f aca="true" t="shared" si="2" ref="P10:P21">B10*0.2</f>
        <v>148.24</v>
      </c>
      <c r="Q10" s="9">
        <f aca="true" t="shared" si="3" ref="Q10:Q16">(4.23*B10)</f>
        <v>3135.2760000000003</v>
      </c>
      <c r="R10" s="9"/>
      <c r="S10" s="112"/>
      <c r="T10" s="112"/>
      <c r="U10" s="54">
        <f>1013.3</f>
        <v>1013.3</v>
      </c>
      <c r="V10" s="54"/>
      <c r="W10" s="54"/>
      <c r="X10" s="61"/>
      <c r="Y10" s="61">
        <f aca="true" t="shared" si="4" ref="Y10:Y21">X10*0.18</f>
        <v>0</v>
      </c>
      <c r="Z10" s="61">
        <f>SUM(O10:Y10)</f>
        <v>4793.42</v>
      </c>
      <c r="AA10" s="62"/>
      <c r="AB10" s="8">
        <f>M10+N10-Z10-AA10</f>
        <v>-2409.218</v>
      </c>
      <c r="AC10" s="17">
        <f>L10-H10</f>
        <v>-3981.6000000000004</v>
      </c>
    </row>
    <row r="11" spans="1:29" ht="12.75">
      <c r="A11" s="7" t="s">
        <v>23</v>
      </c>
      <c r="B11" s="103">
        <v>741.2</v>
      </c>
      <c r="C11" s="64">
        <f>B11*8.55*0.9</f>
        <v>5703.5340000000015</v>
      </c>
      <c r="D11" s="65">
        <v>93.942</v>
      </c>
      <c r="E11" s="72">
        <v>3158.19</v>
      </c>
      <c r="F11" s="68">
        <v>1723.36</v>
      </c>
      <c r="G11" s="66">
        <v>598.1</v>
      </c>
      <c r="H11" s="73">
        <f>E11+F11+G11</f>
        <v>5479.650000000001</v>
      </c>
      <c r="I11" s="104">
        <v>2888.37</v>
      </c>
      <c r="J11" s="105">
        <v>1941.08</v>
      </c>
      <c r="K11" s="106">
        <v>616.28</v>
      </c>
      <c r="L11" s="74">
        <f>SUM(I11:K11)</f>
        <v>5445.73</v>
      </c>
      <c r="M11" s="59">
        <f t="shared" si="0"/>
        <v>5539.672</v>
      </c>
      <c r="N11" s="59"/>
      <c r="O11" s="9">
        <f t="shared" si="1"/>
        <v>496.60400000000004</v>
      </c>
      <c r="P11" s="9">
        <f t="shared" si="2"/>
        <v>148.24</v>
      </c>
      <c r="Q11" s="9">
        <f t="shared" si="3"/>
        <v>3135.2760000000003</v>
      </c>
      <c r="R11" s="9"/>
      <c r="S11" s="112"/>
      <c r="T11" s="112"/>
      <c r="U11" s="54">
        <v>1524</v>
      </c>
      <c r="V11" s="54"/>
      <c r="W11" s="54"/>
      <c r="X11" s="61"/>
      <c r="Y11" s="61">
        <f t="shared" si="4"/>
        <v>0</v>
      </c>
      <c r="Z11" s="61">
        <f aca="true" t="shared" si="5" ref="Z11:Z19">SUM(O11:Y11)</f>
        <v>5304.120000000001</v>
      </c>
      <c r="AA11" s="62"/>
      <c r="AB11" s="8">
        <f aca="true" t="shared" si="6" ref="AB11:AB21">M11+N11-Z11-AA11</f>
        <v>235.55199999999877</v>
      </c>
      <c r="AC11" s="17">
        <f aca="true" t="shared" si="7" ref="AC11:AC21">L11-H11</f>
        <v>-33.92000000000098</v>
      </c>
    </row>
    <row r="12" spans="1:29" ht="12.75">
      <c r="A12" s="7" t="s">
        <v>24</v>
      </c>
      <c r="B12" s="107">
        <v>741.2</v>
      </c>
      <c r="C12" s="64">
        <f>B12*8.55*0.9</f>
        <v>5703.5340000000015</v>
      </c>
      <c r="D12" s="65">
        <v>93.942</v>
      </c>
      <c r="E12" s="72">
        <v>3552.92</v>
      </c>
      <c r="F12" s="58">
        <v>1725.51</v>
      </c>
      <c r="G12" s="58">
        <v>598.64</v>
      </c>
      <c r="H12" s="75">
        <f>E12+F12+G12</f>
        <v>5877.070000000001</v>
      </c>
      <c r="I12" s="108">
        <v>3118.47</v>
      </c>
      <c r="J12" s="108">
        <v>1656.79</v>
      </c>
      <c r="K12" s="108">
        <v>558.8</v>
      </c>
      <c r="L12" s="63">
        <f>SUM(I12:K12)</f>
        <v>5334.06</v>
      </c>
      <c r="M12" s="59">
        <f t="shared" si="0"/>
        <v>5428.002</v>
      </c>
      <c r="N12" s="59"/>
      <c r="O12" s="9">
        <f t="shared" si="1"/>
        <v>496.60400000000004</v>
      </c>
      <c r="P12" s="9">
        <f t="shared" si="2"/>
        <v>148.24</v>
      </c>
      <c r="Q12" s="9">
        <f t="shared" si="3"/>
        <v>3135.2760000000003</v>
      </c>
      <c r="R12" s="9"/>
      <c r="S12" s="112"/>
      <c r="T12" s="112"/>
      <c r="U12" s="54">
        <v>184.58</v>
      </c>
      <c r="V12" s="54"/>
      <c r="W12" s="54"/>
      <c r="X12" s="61"/>
      <c r="Y12" s="61">
        <f t="shared" si="4"/>
        <v>0</v>
      </c>
      <c r="Z12" s="61">
        <f t="shared" si="5"/>
        <v>3964.7000000000003</v>
      </c>
      <c r="AA12" s="62"/>
      <c r="AB12" s="8">
        <f t="shared" si="6"/>
        <v>1463.3020000000001</v>
      </c>
      <c r="AC12" s="17">
        <f t="shared" si="7"/>
        <v>-543.0100000000002</v>
      </c>
    </row>
    <row r="13" spans="1:29" ht="12.75">
      <c r="A13" s="7" t="s">
        <v>25</v>
      </c>
      <c r="B13" s="100">
        <v>741.2</v>
      </c>
      <c r="C13" s="64">
        <f>B13*8.55*0.9</f>
        <v>5703.5340000000015</v>
      </c>
      <c r="D13" s="65">
        <v>93.942</v>
      </c>
      <c r="E13" s="67">
        <v>3552.95</v>
      </c>
      <c r="F13" s="58">
        <v>1725.51</v>
      </c>
      <c r="G13" s="58">
        <v>598.63</v>
      </c>
      <c r="H13" s="76">
        <f>E13+F13+G13</f>
        <v>5877.09</v>
      </c>
      <c r="I13" s="101">
        <v>2449.52</v>
      </c>
      <c r="J13" s="101">
        <v>1209.24</v>
      </c>
      <c r="K13" s="101">
        <v>415.47</v>
      </c>
      <c r="L13" s="77">
        <f>SUM(I13:K13)</f>
        <v>4074.2300000000005</v>
      </c>
      <c r="M13" s="78">
        <f t="shared" si="0"/>
        <v>4168.1720000000005</v>
      </c>
      <c r="N13" s="78"/>
      <c r="O13" s="79">
        <f t="shared" si="1"/>
        <v>496.60400000000004</v>
      </c>
      <c r="P13" s="79">
        <f t="shared" si="2"/>
        <v>148.24</v>
      </c>
      <c r="Q13" s="79">
        <f t="shared" si="3"/>
        <v>3135.2760000000003</v>
      </c>
      <c r="R13" s="79"/>
      <c r="S13" s="113"/>
      <c r="T13" s="113"/>
      <c r="U13" s="80">
        <v>185.45</v>
      </c>
      <c r="V13" s="80"/>
      <c r="W13" s="80"/>
      <c r="X13" s="81"/>
      <c r="Y13" s="81">
        <f t="shared" si="4"/>
        <v>0</v>
      </c>
      <c r="Z13" s="61">
        <f t="shared" si="5"/>
        <v>3965.57</v>
      </c>
      <c r="AA13" s="62"/>
      <c r="AB13" s="8">
        <f t="shared" si="6"/>
        <v>202.60200000000032</v>
      </c>
      <c r="AC13" s="17">
        <f t="shared" si="7"/>
        <v>-1802.8599999999997</v>
      </c>
    </row>
    <row r="14" spans="1:29" ht="12.75">
      <c r="A14" s="7" t="s">
        <v>26</v>
      </c>
      <c r="B14" s="100">
        <v>741.2</v>
      </c>
      <c r="C14" s="64">
        <f>B14*8.55*0.9</f>
        <v>5703.5340000000015</v>
      </c>
      <c r="D14" s="65">
        <v>93.942</v>
      </c>
      <c r="E14" s="58">
        <v>3947.71</v>
      </c>
      <c r="F14" s="58">
        <v>1917.26</v>
      </c>
      <c r="G14" s="60">
        <v>665.15</v>
      </c>
      <c r="H14" s="82">
        <f>E14+F14+G14</f>
        <v>6530.12</v>
      </c>
      <c r="I14" s="101">
        <v>5639.19</v>
      </c>
      <c r="J14" s="101">
        <v>2766.39</v>
      </c>
      <c r="K14" s="102">
        <v>959.28</v>
      </c>
      <c r="L14" s="83">
        <f>SUM(I14:K14)</f>
        <v>9364.86</v>
      </c>
      <c r="M14" s="84">
        <f t="shared" si="0"/>
        <v>9458.802</v>
      </c>
      <c r="N14" s="78"/>
      <c r="O14" s="79">
        <f t="shared" si="1"/>
        <v>496.60400000000004</v>
      </c>
      <c r="P14" s="79">
        <f t="shared" si="2"/>
        <v>148.24</v>
      </c>
      <c r="Q14" s="79">
        <f t="shared" si="3"/>
        <v>3135.2760000000003</v>
      </c>
      <c r="R14" s="79"/>
      <c r="S14" s="113"/>
      <c r="T14" s="113"/>
      <c r="U14" s="80"/>
      <c r="V14" s="80"/>
      <c r="W14" s="80"/>
      <c r="X14" s="81"/>
      <c r="Y14" s="81">
        <f t="shared" si="4"/>
        <v>0</v>
      </c>
      <c r="Z14" s="81">
        <f>SUM(O14:Y14)</f>
        <v>3780.1200000000003</v>
      </c>
      <c r="AA14" s="96"/>
      <c r="AB14" s="8">
        <f t="shared" si="6"/>
        <v>5678.681999999999</v>
      </c>
      <c r="AC14" s="17">
        <f t="shared" si="7"/>
        <v>2834.7400000000007</v>
      </c>
    </row>
    <row r="15" spans="1:29" ht="12.75">
      <c r="A15" s="7" t="s">
        <v>27</v>
      </c>
      <c r="B15" s="109">
        <v>741.2</v>
      </c>
      <c r="C15" s="64">
        <f aca="true" t="shared" si="8" ref="C15:C21">B15*8.55</f>
        <v>6337.260000000001</v>
      </c>
      <c r="D15" s="65">
        <v>93.942</v>
      </c>
      <c r="E15" s="58">
        <v>3947.71</v>
      </c>
      <c r="F15" s="58">
        <v>1917.26</v>
      </c>
      <c r="G15" s="60">
        <v>665.15</v>
      </c>
      <c r="H15" s="86">
        <f aca="true" t="shared" si="9" ref="H15:H21">SUM(E15:G15)</f>
        <v>6530.12</v>
      </c>
      <c r="I15" s="110">
        <v>3391.57</v>
      </c>
      <c r="J15" s="110">
        <v>1999.06</v>
      </c>
      <c r="K15" s="111">
        <v>658.24</v>
      </c>
      <c r="L15" s="87">
        <v>6048.87</v>
      </c>
      <c r="M15" s="78">
        <f t="shared" si="0"/>
        <v>6142.812</v>
      </c>
      <c r="N15" s="78"/>
      <c r="O15" s="79">
        <f t="shared" si="1"/>
        <v>496.60400000000004</v>
      </c>
      <c r="P15" s="79">
        <f t="shared" si="2"/>
        <v>148.24</v>
      </c>
      <c r="Q15" s="79">
        <f t="shared" si="3"/>
        <v>3135.2760000000003</v>
      </c>
      <c r="R15" s="79"/>
      <c r="S15" s="113"/>
      <c r="T15" s="113"/>
      <c r="U15" s="80"/>
      <c r="V15" s="80"/>
      <c r="W15" s="80"/>
      <c r="X15" s="88"/>
      <c r="Y15" s="89">
        <f t="shared" si="4"/>
        <v>0</v>
      </c>
      <c r="Z15" s="61">
        <f t="shared" si="5"/>
        <v>3780.1200000000003</v>
      </c>
      <c r="AA15" s="62"/>
      <c r="AB15" s="8">
        <f t="shared" si="6"/>
        <v>2362.6919999999996</v>
      </c>
      <c r="AC15" s="17">
        <f t="shared" si="7"/>
        <v>-481.25</v>
      </c>
    </row>
    <row r="16" spans="1:29" ht="12.75">
      <c r="A16" s="7" t="s">
        <v>28</v>
      </c>
      <c r="B16" s="100">
        <v>741.2</v>
      </c>
      <c r="C16" s="64">
        <f t="shared" si="8"/>
        <v>6337.260000000001</v>
      </c>
      <c r="D16" s="65">
        <v>93.942</v>
      </c>
      <c r="E16" s="90">
        <v>3951.85</v>
      </c>
      <c r="F16" s="90">
        <v>1919.29</v>
      </c>
      <c r="G16" s="91">
        <v>665.87</v>
      </c>
      <c r="H16" s="86">
        <f t="shared" si="9"/>
        <v>6537.009999999999</v>
      </c>
      <c r="I16" s="101">
        <v>3038.16</v>
      </c>
      <c r="J16" s="101">
        <v>1515.17</v>
      </c>
      <c r="K16" s="101">
        <v>524.16</v>
      </c>
      <c r="L16" s="92">
        <f aca="true" t="shared" si="10" ref="L16:L21">SUM(I16:K16)</f>
        <v>5077.49</v>
      </c>
      <c r="M16" s="93">
        <f t="shared" si="0"/>
        <v>5171.432</v>
      </c>
      <c r="N16" s="78"/>
      <c r="O16" s="79">
        <f t="shared" si="1"/>
        <v>496.60400000000004</v>
      </c>
      <c r="P16" s="79">
        <f t="shared" si="2"/>
        <v>148.24</v>
      </c>
      <c r="Q16" s="79">
        <f t="shared" si="3"/>
        <v>3135.2760000000003</v>
      </c>
      <c r="R16" s="79"/>
      <c r="S16" s="113"/>
      <c r="T16" s="113"/>
      <c r="U16" s="80"/>
      <c r="V16" s="80"/>
      <c r="W16" s="80"/>
      <c r="X16" s="88"/>
      <c r="Y16" s="89">
        <f t="shared" si="4"/>
        <v>0</v>
      </c>
      <c r="Z16" s="61">
        <f t="shared" si="5"/>
        <v>3780.1200000000003</v>
      </c>
      <c r="AA16" s="62"/>
      <c r="AB16" s="8">
        <f t="shared" si="6"/>
        <v>1391.3119999999994</v>
      </c>
      <c r="AC16" s="17">
        <f t="shared" si="7"/>
        <v>-1459.5199999999995</v>
      </c>
    </row>
    <row r="17" spans="1:29" s="10" customFormat="1" ht="12.75">
      <c r="A17" s="7" t="s">
        <v>29</v>
      </c>
      <c r="B17" s="100">
        <v>741.2</v>
      </c>
      <c r="C17" s="64">
        <f t="shared" si="8"/>
        <v>6337.260000000001</v>
      </c>
      <c r="D17" s="65">
        <v>93.942</v>
      </c>
      <c r="E17" s="58">
        <v>3952.84</v>
      </c>
      <c r="F17" s="58">
        <v>1919.78</v>
      </c>
      <c r="G17" s="58">
        <v>666.05</v>
      </c>
      <c r="H17" s="86">
        <f t="shared" si="9"/>
        <v>6538.67</v>
      </c>
      <c r="I17" s="101">
        <v>4181.06</v>
      </c>
      <c r="J17" s="101">
        <v>1676.44</v>
      </c>
      <c r="K17" s="101">
        <v>617.93</v>
      </c>
      <c r="L17" s="92">
        <f t="shared" si="10"/>
        <v>6475.43</v>
      </c>
      <c r="M17" s="93">
        <f t="shared" si="0"/>
        <v>6569.372</v>
      </c>
      <c r="N17" s="78"/>
      <c r="O17" s="79">
        <f t="shared" si="1"/>
        <v>496.60400000000004</v>
      </c>
      <c r="P17" s="79">
        <f t="shared" si="2"/>
        <v>148.24</v>
      </c>
      <c r="Q17" s="79">
        <f>(4.23*B17)</f>
        <v>3135.2760000000003</v>
      </c>
      <c r="R17" s="79"/>
      <c r="S17" s="113"/>
      <c r="T17" s="113"/>
      <c r="U17" s="80"/>
      <c r="V17" s="80"/>
      <c r="W17" s="80"/>
      <c r="X17" s="88"/>
      <c r="Y17" s="89">
        <f t="shared" si="4"/>
        <v>0</v>
      </c>
      <c r="Z17" s="61">
        <f t="shared" si="5"/>
        <v>3780.1200000000003</v>
      </c>
      <c r="AA17" s="62"/>
      <c r="AB17" s="8">
        <f t="shared" si="6"/>
        <v>2789.252</v>
      </c>
      <c r="AC17" s="17">
        <f t="shared" si="7"/>
        <v>-63.23999999999978</v>
      </c>
    </row>
    <row r="18" spans="1:29" ht="12.75">
      <c r="A18" s="7" t="s">
        <v>30</v>
      </c>
      <c r="B18" s="100">
        <v>741.2</v>
      </c>
      <c r="C18" s="64">
        <f t="shared" si="8"/>
        <v>6337.260000000001</v>
      </c>
      <c r="D18" s="65">
        <v>93.942</v>
      </c>
      <c r="E18" s="58">
        <v>3957.85</v>
      </c>
      <c r="F18" s="58">
        <v>1922.24</v>
      </c>
      <c r="G18" s="58">
        <v>666.93</v>
      </c>
      <c r="H18" s="86">
        <f t="shared" si="9"/>
        <v>6547.02</v>
      </c>
      <c r="I18" s="101">
        <v>3362.75</v>
      </c>
      <c r="J18" s="101">
        <v>1611.28</v>
      </c>
      <c r="K18" s="101">
        <v>561.54</v>
      </c>
      <c r="L18" s="94">
        <f t="shared" si="10"/>
        <v>5535.57</v>
      </c>
      <c r="M18" s="93">
        <f t="shared" si="0"/>
        <v>5629.512</v>
      </c>
      <c r="N18" s="78"/>
      <c r="O18" s="79">
        <f t="shared" si="1"/>
        <v>496.60400000000004</v>
      </c>
      <c r="P18" s="79">
        <f t="shared" si="2"/>
        <v>148.24</v>
      </c>
      <c r="Q18" s="79">
        <f>(4.23*B18)</f>
        <v>3135.2760000000003</v>
      </c>
      <c r="R18" s="79"/>
      <c r="S18" s="113"/>
      <c r="T18" s="113"/>
      <c r="U18" s="80"/>
      <c r="V18" s="80"/>
      <c r="W18" s="80"/>
      <c r="X18" s="88"/>
      <c r="Y18" s="89">
        <f t="shared" si="4"/>
        <v>0</v>
      </c>
      <c r="Z18" s="61">
        <f t="shared" si="5"/>
        <v>3780.1200000000003</v>
      </c>
      <c r="AA18" s="62"/>
      <c r="AB18" s="8">
        <f t="shared" si="6"/>
        <v>1849.3919999999994</v>
      </c>
      <c r="AC18" s="17">
        <f t="shared" si="7"/>
        <v>-1011.4500000000007</v>
      </c>
    </row>
    <row r="19" spans="1:29" s="10" customFormat="1" ht="12.75">
      <c r="A19" s="7" t="s">
        <v>19</v>
      </c>
      <c r="B19" s="100">
        <v>741.2</v>
      </c>
      <c r="C19" s="64">
        <f t="shared" si="8"/>
        <v>6337.260000000001</v>
      </c>
      <c r="D19" s="65">
        <v>93.942</v>
      </c>
      <c r="E19" s="58">
        <v>3971.66</v>
      </c>
      <c r="F19" s="58">
        <v>1929.02</v>
      </c>
      <c r="G19" s="66">
        <v>669.35</v>
      </c>
      <c r="H19" s="86">
        <f t="shared" si="9"/>
        <v>6570.030000000001</v>
      </c>
      <c r="I19" s="108">
        <v>4129.5</v>
      </c>
      <c r="J19" s="108">
        <v>2003.77</v>
      </c>
      <c r="K19" s="107">
        <v>694.36</v>
      </c>
      <c r="L19" s="94">
        <f t="shared" si="10"/>
        <v>6827.63</v>
      </c>
      <c r="M19" s="93">
        <f t="shared" si="0"/>
        <v>6921.572</v>
      </c>
      <c r="N19" s="78"/>
      <c r="O19" s="79">
        <f t="shared" si="1"/>
        <v>496.60400000000004</v>
      </c>
      <c r="P19" s="79">
        <f t="shared" si="2"/>
        <v>148.24</v>
      </c>
      <c r="Q19" s="79">
        <f>(4.23*B19)</f>
        <v>3135.2760000000003</v>
      </c>
      <c r="R19" s="79"/>
      <c r="S19" s="113"/>
      <c r="T19" s="113"/>
      <c r="U19" s="80"/>
      <c r="V19" s="80"/>
      <c r="W19" s="80"/>
      <c r="X19" s="88"/>
      <c r="Y19" s="89">
        <f t="shared" si="4"/>
        <v>0</v>
      </c>
      <c r="Z19" s="61">
        <f t="shared" si="5"/>
        <v>3780.1200000000003</v>
      </c>
      <c r="AA19" s="62"/>
      <c r="AB19" s="8">
        <f t="shared" si="6"/>
        <v>3141.4519999999998</v>
      </c>
      <c r="AC19" s="17">
        <f t="shared" si="7"/>
        <v>257.59999999999945</v>
      </c>
    </row>
    <row r="20" spans="1:29" ht="12.75">
      <c r="A20" s="7" t="s">
        <v>20</v>
      </c>
      <c r="B20" s="100">
        <v>741.2</v>
      </c>
      <c r="C20" s="64">
        <f t="shared" si="8"/>
        <v>6337.260000000001</v>
      </c>
      <c r="D20" s="65">
        <v>93.942</v>
      </c>
      <c r="E20" s="58">
        <v>3971.65</v>
      </c>
      <c r="F20" s="58">
        <v>1929.02</v>
      </c>
      <c r="G20" s="58">
        <v>669.35</v>
      </c>
      <c r="H20" s="86">
        <f t="shared" si="9"/>
        <v>6570.02</v>
      </c>
      <c r="I20" s="108">
        <v>3509.31</v>
      </c>
      <c r="J20" s="108">
        <v>1704.25</v>
      </c>
      <c r="K20" s="108">
        <v>591.45</v>
      </c>
      <c r="L20" s="94">
        <f t="shared" si="10"/>
        <v>5805.009999999999</v>
      </c>
      <c r="M20" s="93">
        <f t="shared" si="0"/>
        <v>5898.951999999999</v>
      </c>
      <c r="N20" s="78"/>
      <c r="O20" s="79">
        <f t="shared" si="1"/>
        <v>496.60400000000004</v>
      </c>
      <c r="P20" s="79">
        <f t="shared" si="2"/>
        <v>148.24</v>
      </c>
      <c r="Q20" s="79">
        <f>(4.23*B20)</f>
        <v>3135.2760000000003</v>
      </c>
      <c r="R20" s="79"/>
      <c r="S20" s="113"/>
      <c r="T20" s="113"/>
      <c r="U20" s="80"/>
      <c r="V20" s="80"/>
      <c r="W20" s="80"/>
      <c r="X20" s="88"/>
      <c r="Y20" s="89">
        <f t="shared" si="4"/>
        <v>0</v>
      </c>
      <c r="Z20" s="61">
        <f>SUM(O20:Y20)</f>
        <v>3780.1200000000003</v>
      </c>
      <c r="AA20" s="62"/>
      <c r="AB20" s="8">
        <f>M20+N20-Z20-AA20</f>
        <v>2118.831999999999</v>
      </c>
      <c r="AC20" s="17">
        <f>L20-H20</f>
        <v>-765.0100000000011</v>
      </c>
    </row>
    <row r="21" spans="1:29" ht="13.5" thickBot="1">
      <c r="A21" s="19" t="s">
        <v>21</v>
      </c>
      <c r="B21" s="100">
        <v>741.2</v>
      </c>
      <c r="C21" s="117">
        <f t="shared" si="8"/>
        <v>6337.260000000001</v>
      </c>
      <c r="D21" s="65">
        <v>93.942</v>
      </c>
      <c r="E21" s="118">
        <v>4116.85</v>
      </c>
      <c r="F21" s="118">
        <v>2210.13</v>
      </c>
      <c r="G21" s="118">
        <v>745.59</v>
      </c>
      <c r="H21" s="119">
        <f t="shared" si="9"/>
        <v>7072.570000000001</v>
      </c>
      <c r="I21" s="110">
        <v>4721.64</v>
      </c>
      <c r="J21" s="110">
        <v>2333.69</v>
      </c>
      <c r="K21" s="109">
        <v>797.48</v>
      </c>
      <c r="L21" s="120">
        <f t="shared" si="10"/>
        <v>7852.8099999999995</v>
      </c>
      <c r="M21" s="121">
        <f t="shared" si="0"/>
        <v>7946.7519999999995</v>
      </c>
      <c r="N21" s="122"/>
      <c r="O21" s="123">
        <f t="shared" si="1"/>
        <v>496.60400000000004</v>
      </c>
      <c r="P21" s="123">
        <f t="shared" si="2"/>
        <v>148.24</v>
      </c>
      <c r="Q21" s="123">
        <f>(4.23*B21)</f>
        <v>3135.2760000000003</v>
      </c>
      <c r="R21" s="123"/>
      <c r="S21" s="124"/>
      <c r="T21" s="124"/>
      <c r="U21" s="125">
        <f>2491+2184</f>
        <v>4675</v>
      </c>
      <c r="V21" s="125"/>
      <c r="W21" s="126">
        <f>18</f>
        <v>18</v>
      </c>
      <c r="X21" s="127"/>
      <c r="Y21" s="89">
        <f t="shared" si="4"/>
        <v>0</v>
      </c>
      <c r="Z21" s="89">
        <f>SUM(O21:Y21)</f>
        <v>8473.12</v>
      </c>
      <c r="AA21" s="97"/>
      <c r="AB21" s="128">
        <f t="shared" si="6"/>
        <v>-526.3680000000013</v>
      </c>
      <c r="AC21" s="129">
        <f t="shared" si="7"/>
        <v>780.2399999999989</v>
      </c>
    </row>
    <row r="22" spans="1:29" ht="13.5" thickBot="1">
      <c r="A22" s="20" t="s">
        <v>4</v>
      </c>
      <c r="B22" s="130"/>
      <c r="C22" s="130">
        <f aca="true" t="shared" si="11" ref="C22:W22">SUM(C10:C21)</f>
        <v>72878.49</v>
      </c>
      <c r="D22" s="130">
        <f t="shared" si="11"/>
        <v>1127.3039999999999</v>
      </c>
      <c r="E22" s="131">
        <f t="shared" si="11"/>
        <v>46029.89</v>
      </c>
      <c r="F22" s="131">
        <f t="shared" si="11"/>
        <v>22563.890000000003</v>
      </c>
      <c r="G22" s="131">
        <f t="shared" si="11"/>
        <v>7807.450000000002</v>
      </c>
      <c r="H22" s="131">
        <f t="shared" si="11"/>
        <v>76401.23000000001</v>
      </c>
      <c r="I22" s="132">
        <f t="shared" si="11"/>
        <v>40429.54</v>
      </c>
      <c r="J22" s="132">
        <f t="shared" si="11"/>
        <v>22255.44</v>
      </c>
      <c r="K22" s="132">
        <f t="shared" si="11"/>
        <v>7446.969999999999</v>
      </c>
      <c r="L22" s="132">
        <f t="shared" si="11"/>
        <v>70131.95</v>
      </c>
      <c r="M22" s="132">
        <f t="shared" si="11"/>
        <v>71259.254</v>
      </c>
      <c r="N22" s="133">
        <f t="shared" si="11"/>
        <v>0</v>
      </c>
      <c r="O22" s="21">
        <f t="shared" si="11"/>
        <v>5959.248000000002</v>
      </c>
      <c r="P22" s="21">
        <f t="shared" si="11"/>
        <v>1778.88</v>
      </c>
      <c r="Q22" s="21">
        <f t="shared" si="11"/>
        <v>37623.312000000005</v>
      </c>
      <c r="R22" s="21"/>
      <c r="S22" s="21">
        <f>SUM(S10:S21)</f>
        <v>0</v>
      </c>
      <c r="T22" s="21">
        <f>SUM(T10:T21)</f>
        <v>0</v>
      </c>
      <c r="U22" s="21">
        <f t="shared" si="11"/>
        <v>7582.33</v>
      </c>
      <c r="V22" s="21">
        <f t="shared" si="11"/>
        <v>0</v>
      </c>
      <c r="W22" s="21">
        <f t="shared" si="11"/>
        <v>18</v>
      </c>
      <c r="X22" s="21">
        <f aca="true" t="shared" si="12" ref="X22:AC22">SUM(X10:X21)</f>
        <v>0</v>
      </c>
      <c r="Y22" s="21">
        <f t="shared" si="12"/>
        <v>0</v>
      </c>
      <c r="Z22" s="21">
        <f t="shared" si="12"/>
        <v>52961.77000000001</v>
      </c>
      <c r="AA22" s="21">
        <f t="shared" si="12"/>
        <v>0</v>
      </c>
      <c r="AB22" s="21">
        <f>SUM(AB10:AB21)</f>
        <v>18297.483999999993</v>
      </c>
      <c r="AC22" s="41">
        <f t="shared" si="12"/>
        <v>-6269.280000000003</v>
      </c>
    </row>
    <row r="23" spans="1:29" ht="13.5" thickBot="1">
      <c r="A23" s="134"/>
      <c r="B23" s="135"/>
      <c r="C23" s="136"/>
      <c r="D23" s="136"/>
      <c r="E23" s="137"/>
      <c r="F23" s="137"/>
      <c r="G23" s="137"/>
      <c r="H23" s="138"/>
      <c r="I23" s="139"/>
      <c r="J23" s="139"/>
      <c r="K23" s="139"/>
      <c r="L23" s="139"/>
      <c r="M23" s="140"/>
      <c r="N23" s="141"/>
      <c r="O23" s="142"/>
      <c r="P23" s="142"/>
      <c r="Q23" s="142"/>
      <c r="R23" s="142"/>
      <c r="S23" s="142"/>
      <c r="T23" s="142"/>
      <c r="U23" s="143"/>
      <c r="V23" s="143"/>
      <c r="W23" s="144"/>
      <c r="X23" s="145"/>
      <c r="Y23" s="146"/>
      <c r="Z23" s="142"/>
      <c r="AA23" s="142"/>
      <c r="AB23" s="142"/>
      <c r="AC23" s="147"/>
    </row>
    <row r="24" spans="1:29" ht="13.5" thickBot="1">
      <c r="A24" s="148" t="s">
        <v>31</v>
      </c>
      <c r="B24" s="24"/>
      <c r="C24" s="24">
        <f aca="true" t="shared" si="13" ref="C24:W24">C8+C22</f>
        <v>194980.16</v>
      </c>
      <c r="D24" s="24">
        <f t="shared" si="13"/>
        <v>19487.821735090016</v>
      </c>
      <c r="E24" s="149">
        <f t="shared" si="13"/>
        <v>46029.89</v>
      </c>
      <c r="F24" s="149">
        <f t="shared" si="13"/>
        <v>22563.890000000003</v>
      </c>
      <c r="G24" s="149">
        <f t="shared" si="13"/>
        <v>7807.450000000002</v>
      </c>
      <c r="H24" s="149">
        <f t="shared" si="13"/>
        <v>179019.08000000002</v>
      </c>
      <c r="I24" s="150">
        <f t="shared" si="13"/>
        <v>40429.54</v>
      </c>
      <c r="J24" s="150">
        <f t="shared" si="13"/>
        <v>22255.44</v>
      </c>
      <c r="K24" s="150">
        <f>K8+K22</f>
        <v>7446.969999999999</v>
      </c>
      <c r="L24" s="150">
        <f t="shared" si="13"/>
        <v>149947.59999999998</v>
      </c>
      <c r="M24" s="150">
        <f t="shared" si="13"/>
        <v>186517.68173508998</v>
      </c>
      <c r="N24" s="150">
        <f t="shared" si="13"/>
        <v>0</v>
      </c>
      <c r="O24" s="24">
        <f t="shared" si="13"/>
        <v>14428.728000000006</v>
      </c>
      <c r="P24" s="24">
        <f t="shared" si="13"/>
        <v>4602.5103344</v>
      </c>
      <c r="Q24" s="24">
        <f>Q8+Q22</f>
        <v>100088.37302635041</v>
      </c>
      <c r="R24" s="24"/>
      <c r="S24" s="164">
        <f>S8+S22</f>
        <v>0</v>
      </c>
      <c r="T24" s="24">
        <f>T8+T22</f>
        <v>0</v>
      </c>
      <c r="U24" s="24">
        <f t="shared" si="13"/>
        <v>62789.39</v>
      </c>
      <c r="V24" s="24">
        <f t="shared" si="13"/>
        <v>47.8</v>
      </c>
      <c r="W24" s="24">
        <f t="shared" si="13"/>
        <v>748.8324</v>
      </c>
      <c r="X24" s="24">
        <f aca="true" t="shared" si="14" ref="X24:AC24">X8+X22</f>
        <v>0</v>
      </c>
      <c r="Y24" s="24">
        <f t="shared" si="14"/>
        <v>0</v>
      </c>
      <c r="Z24" s="24">
        <f t="shared" si="14"/>
        <v>182705.6337607504</v>
      </c>
      <c r="AA24" s="24">
        <f t="shared" si="14"/>
        <v>0</v>
      </c>
      <c r="AB24" s="24">
        <f t="shared" si="14"/>
        <v>3820.6519743396093</v>
      </c>
      <c r="AC24" s="25">
        <f t="shared" si="14"/>
        <v>-29071.480000000014</v>
      </c>
    </row>
    <row r="25" spans="1:29" ht="12.75">
      <c r="A25" s="5" t="s">
        <v>63</v>
      </c>
      <c r="B25" s="36"/>
      <c r="C25" s="37"/>
      <c r="D25" s="37"/>
      <c r="E25" s="35"/>
      <c r="F25" s="35"/>
      <c r="G25" s="35"/>
      <c r="H25" s="34"/>
      <c r="I25" s="38"/>
      <c r="J25" s="38"/>
      <c r="K25" s="38"/>
      <c r="L25" s="38"/>
      <c r="M25" s="55"/>
      <c r="N25" s="56"/>
      <c r="O25" s="8"/>
      <c r="P25" s="8"/>
      <c r="Q25" s="8"/>
      <c r="R25" s="116"/>
      <c r="S25" s="116"/>
      <c r="T25" s="11"/>
      <c r="U25" s="116"/>
      <c r="V25" s="18"/>
      <c r="W25" s="18"/>
      <c r="X25" s="169"/>
      <c r="Y25" s="169"/>
      <c r="Z25" s="18"/>
      <c r="AA25" s="18"/>
      <c r="AB25" s="8"/>
      <c r="AC25" s="8"/>
    </row>
    <row r="26" spans="1:29" ht="14.25">
      <c r="A26" s="7" t="s">
        <v>22</v>
      </c>
      <c r="B26" s="100">
        <v>741.2</v>
      </c>
      <c r="C26" s="64">
        <f aca="true" t="shared" si="15" ref="C26:C31">B26*8.55</f>
        <v>6337.260000000001</v>
      </c>
      <c r="D26" s="85">
        <v>93.942</v>
      </c>
      <c r="E26" s="151">
        <v>3984.71</v>
      </c>
      <c r="F26" s="151">
        <v>1935.43</v>
      </c>
      <c r="G26" s="151">
        <v>671.64</v>
      </c>
      <c r="H26" s="86">
        <f aca="true" t="shared" si="16" ref="H26:H37">SUM(E26:G26)</f>
        <v>6591.780000000001</v>
      </c>
      <c r="I26" s="152">
        <v>3837.03</v>
      </c>
      <c r="J26" s="152">
        <v>2128.24</v>
      </c>
      <c r="K26" s="153">
        <v>698.32</v>
      </c>
      <c r="L26" s="94">
        <f aca="true" t="shared" si="17" ref="L26:L37">SUM(I26:K26)</f>
        <v>6663.59</v>
      </c>
      <c r="M26" s="93">
        <f aca="true" t="shared" si="18" ref="M26:M37">L26+D26</f>
        <v>6757.532</v>
      </c>
      <c r="N26" s="154"/>
      <c r="O26" s="155">
        <f aca="true" t="shared" si="19" ref="O26:O34">0.67*B26</f>
        <v>496.60400000000004</v>
      </c>
      <c r="P26" s="155">
        <f aca="true" t="shared" si="20" ref="P26:P34">B26*0.2</f>
        <v>148.24</v>
      </c>
      <c r="Q26" s="155">
        <f aca="true" t="shared" si="21" ref="Q26:Q34">B26*0.21</f>
        <v>155.65200000000002</v>
      </c>
      <c r="R26" s="155">
        <f aca="true" t="shared" si="22" ref="R26:R37">(4.23*B26)</f>
        <v>3135.2760000000003</v>
      </c>
      <c r="S26" s="155"/>
      <c r="T26" s="11"/>
      <c r="U26" s="156"/>
      <c r="V26" s="156"/>
      <c r="W26" s="156"/>
      <c r="X26" s="170"/>
      <c r="Y26" s="171"/>
      <c r="Z26" s="157">
        <f aca="true" t="shared" si="23" ref="Z26:Z37">SUM(O26:Y26)</f>
        <v>3935.7720000000004</v>
      </c>
      <c r="AA26" s="158"/>
      <c r="AB26" s="184">
        <f>M26-Z26+N26-AA26</f>
        <v>2821.7599999999998</v>
      </c>
      <c r="AC26" s="112">
        <f>L26-H26</f>
        <v>71.80999999999949</v>
      </c>
    </row>
    <row r="27" spans="1:29" ht="12.75">
      <c r="A27" s="7" t="s">
        <v>23</v>
      </c>
      <c r="B27" s="100">
        <v>741.2</v>
      </c>
      <c r="C27" s="64">
        <f t="shared" si="15"/>
        <v>6337.260000000001</v>
      </c>
      <c r="D27" s="85">
        <v>93.942</v>
      </c>
      <c r="E27" s="159">
        <v>3986.57</v>
      </c>
      <c r="F27" s="159">
        <v>1936.35</v>
      </c>
      <c r="G27" s="160">
        <v>671.96</v>
      </c>
      <c r="H27" s="86">
        <f t="shared" si="16"/>
        <v>6594.88</v>
      </c>
      <c r="I27" s="101">
        <v>3362.24</v>
      </c>
      <c r="J27" s="101">
        <v>1762.86</v>
      </c>
      <c r="K27" s="161">
        <v>597.51</v>
      </c>
      <c r="L27" s="94">
        <f t="shared" si="17"/>
        <v>5722.61</v>
      </c>
      <c r="M27" s="93">
        <f t="shared" si="18"/>
        <v>5816.552</v>
      </c>
      <c r="N27" s="154"/>
      <c r="O27" s="155">
        <f t="shared" si="19"/>
        <v>496.60400000000004</v>
      </c>
      <c r="P27" s="155">
        <f t="shared" si="20"/>
        <v>148.24</v>
      </c>
      <c r="Q27" s="155">
        <f t="shared" si="21"/>
        <v>155.65200000000002</v>
      </c>
      <c r="R27" s="155">
        <f t="shared" si="22"/>
        <v>3135.2760000000003</v>
      </c>
      <c r="S27" s="155"/>
      <c r="T27" s="11"/>
      <c r="U27" s="156"/>
      <c r="V27" s="156"/>
      <c r="W27" s="156">
        <v>201.7</v>
      </c>
      <c r="X27" s="170"/>
      <c r="Y27" s="171"/>
      <c r="Z27" s="157">
        <f t="shared" si="23"/>
        <v>4137.472000000001</v>
      </c>
      <c r="AA27" s="158"/>
      <c r="AB27" s="184">
        <f aca="true" t="shared" si="24" ref="AB27:AB37">M27-Z27+N27-AA27</f>
        <v>1679.079999999999</v>
      </c>
      <c r="AC27" s="112">
        <f aca="true" t="shared" si="25" ref="AC27:AC37">L27-H27</f>
        <v>-872.2700000000004</v>
      </c>
    </row>
    <row r="28" spans="1:29" ht="12.75">
      <c r="A28" s="7" t="s">
        <v>24</v>
      </c>
      <c r="B28" s="100">
        <v>741.2</v>
      </c>
      <c r="C28" s="64">
        <f t="shared" si="15"/>
        <v>6337.260000000001</v>
      </c>
      <c r="D28" s="85">
        <v>93.942</v>
      </c>
      <c r="E28" s="159">
        <v>3987.16</v>
      </c>
      <c r="F28" s="159">
        <v>1936.64</v>
      </c>
      <c r="G28" s="159">
        <v>672.07</v>
      </c>
      <c r="H28" s="86">
        <f t="shared" si="16"/>
        <v>6595.87</v>
      </c>
      <c r="I28" s="101">
        <v>5352.49</v>
      </c>
      <c r="J28" s="101">
        <v>2548.12</v>
      </c>
      <c r="K28" s="161">
        <v>883.35</v>
      </c>
      <c r="L28" s="94">
        <f t="shared" si="17"/>
        <v>8783.96</v>
      </c>
      <c r="M28" s="93">
        <f t="shared" si="18"/>
        <v>8877.901999999998</v>
      </c>
      <c r="N28" s="154"/>
      <c r="O28" s="155">
        <f t="shared" si="19"/>
        <v>496.60400000000004</v>
      </c>
      <c r="P28" s="155">
        <f t="shared" si="20"/>
        <v>148.24</v>
      </c>
      <c r="Q28" s="155">
        <f t="shared" si="21"/>
        <v>155.65200000000002</v>
      </c>
      <c r="R28" s="155">
        <f t="shared" si="22"/>
        <v>3135.2760000000003</v>
      </c>
      <c r="S28" s="155"/>
      <c r="T28" s="11"/>
      <c r="U28" s="156"/>
      <c r="V28" s="156"/>
      <c r="W28" s="156">
        <f>18</f>
        <v>18</v>
      </c>
      <c r="X28" s="170"/>
      <c r="Y28" s="171"/>
      <c r="Z28" s="157">
        <f t="shared" si="23"/>
        <v>3953.7720000000004</v>
      </c>
      <c r="AA28" s="158"/>
      <c r="AB28" s="184">
        <f t="shared" si="24"/>
        <v>4924.129999999997</v>
      </c>
      <c r="AC28" s="112">
        <f t="shared" si="25"/>
        <v>2188.0899999999992</v>
      </c>
    </row>
    <row r="29" spans="1:29" ht="12.75">
      <c r="A29" s="7" t="s">
        <v>25</v>
      </c>
      <c r="B29" s="100">
        <v>741.2</v>
      </c>
      <c r="C29" s="64">
        <f t="shared" si="15"/>
        <v>6337.260000000001</v>
      </c>
      <c r="D29" s="85">
        <v>93.942</v>
      </c>
      <c r="E29" s="159">
        <v>3987.16</v>
      </c>
      <c r="F29" s="159">
        <v>1936.64</v>
      </c>
      <c r="G29" s="159">
        <v>672.07</v>
      </c>
      <c r="H29" s="86">
        <f t="shared" si="16"/>
        <v>6595.87</v>
      </c>
      <c r="I29" s="101">
        <v>3320.72</v>
      </c>
      <c r="J29" s="101">
        <v>1570.01</v>
      </c>
      <c r="K29" s="161">
        <v>553.63</v>
      </c>
      <c r="L29" s="94">
        <f t="shared" si="17"/>
        <v>5444.36</v>
      </c>
      <c r="M29" s="93">
        <f t="shared" si="18"/>
        <v>5538.302</v>
      </c>
      <c r="N29" s="154"/>
      <c r="O29" s="155">
        <f t="shared" si="19"/>
        <v>496.60400000000004</v>
      </c>
      <c r="P29" s="155">
        <f t="shared" si="20"/>
        <v>148.24</v>
      </c>
      <c r="Q29" s="155">
        <f t="shared" si="21"/>
        <v>155.65200000000002</v>
      </c>
      <c r="R29" s="155">
        <f t="shared" si="22"/>
        <v>3135.2760000000003</v>
      </c>
      <c r="S29" s="155"/>
      <c r="T29" s="11"/>
      <c r="U29" s="156"/>
      <c r="V29" s="156"/>
      <c r="W29" s="156">
        <f>394.29</f>
        <v>394.29</v>
      </c>
      <c r="X29" s="170"/>
      <c r="Y29" s="171"/>
      <c r="Z29" s="157">
        <f t="shared" si="23"/>
        <v>4330.062000000001</v>
      </c>
      <c r="AA29" s="158"/>
      <c r="AB29" s="184">
        <f t="shared" si="24"/>
        <v>1208.2399999999989</v>
      </c>
      <c r="AC29" s="112">
        <f t="shared" si="25"/>
        <v>-1151.5100000000002</v>
      </c>
    </row>
    <row r="30" spans="1:29" ht="12.75">
      <c r="A30" s="7" t="s">
        <v>26</v>
      </c>
      <c r="B30" s="162">
        <v>741.2</v>
      </c>
      <c r="C30" s="64">
        <f t="shared" si="15"/>
        <v>6337.260000000001</v>
      </c>
      <c r="D30" s="85">
        <v>93.942</v>
      </c>
      <c r="E30" s="159">
        <v>3987.16</v>
      </c>
      <c r="F30" s="159">
        <v>1936.64</v>
      </c>
      <c r="G30" s="159">
        <v>672.07</v>
      </c>
      <c r="H30" s="86">
        <f t="shared" si="16"/>
        <v>6595.87</v>
      </c>
      <c r="I30" s="101">
        <v>2988.78</v>
      </c>
      <c r="J30" s="101">
        <v>1460.06</v>
      </c>
      <c r="K30" s="161">
        <v>505.82</v>
      </c>
      <c r="L30" s="94">
        <f t="shared" si="17"/>
        <v>4954.66</v>
      </c>
      <c r="M30" s="93">
        <f t="shared" si="18"/>
        <v>5048.602</v>
      </c>
      <c r="N30" s="154"/>
      <c r="O30" s="155">
        <f t="shared" si="19"/>
        <v>496.60400000000004</v>
      </c>
      <c r="P30" s="155">
        <f t="shared" si="20"/>
        <v>148.24</v>
      </c>
      <c r="Q30" s="155">
        <f t="shared" si="21"/>
        <v>155.65200000000002</v>
      </c>
      <c r="R30" s="155">
        <f t="shared" si="22"/>
        <v>3135.2760000000003</v>
      </c>
      <c r="S30" s="155"/>
      <c r="T30" s="11"/>
      <c r="U30" s="156"/>
      <c r="V30" s="156"/>
      <c r="W30" s="156"/>
      <c r="X30" s="170"/>
      <c r="Y30" s="171"/>
      <c r="Z30" s="157">
        <f t="shared" si="23"/>
        <v>3935.7720000000004</v>
      </c>
      <c r="AA30" s="158"/>
      <c r="AB30" s="184">
        <f t="shared" si="24"/>
        <v>1112.8299999999995</v>
      </c>
      <c r="AC30" s="112">
        <f t="shared" si="25"/>
        <v>-1641.21</v>
      </c>
    </row>
    <row r="31" spans="1:29" ht="12.75">
      <c r="A31" s="7" t="s">
        <v>27</v>
      </c>
      <c r="B31" s="162">
        <v>741.2</v>
      </c>
      <c r="C31" s="64">
        <f t="shared" si="15"/>
        <v>6337.260000000001</v>
      </c>
      <c r="D31" s="85">
        <v>93.942</v>
      </c>
      <c r="E31" s="159">
        <v>3987.16</v>
      </c>
      <c r="F31" s="159">
        <v>1936.64</v>
      </c>
      <c r="G31" s="160">
        <v>672.07</v>
      </c>
      <c r="H31" s="86">
        <f t="shared" si="16"/>
        <v>6595.87</v>
      </c>
      <c r="I31" s="101">
        <v>4748.63</v>
      </c>
      <c r="J31" s="101">
        <v>2246.94</v>
      </c>
      <c r="K31" s="63">
        <v>782.64</v>
      </c>
      <c r="L31" s="94">
        <f t="shared" si="17"/>
        <v>7778.21</v>
      </c>
      <c r="M31" s="93">
        <f t="shared" si="18"/>
        <v>7872.152</v>
      </c>
      <c r="N31" s="154"/>
      <c r="O31" s="155">
        <f t="shared" si="19"/>
        <v>496.60400000000004</v>
      </c>
      <c r="P31" s="155">
        <f t="shared" si="20"/>
        <v>148.24</v>
      </c>
      <c r="Q31" s="155">
        <f t="shared" si="21"/>
        <v>155.65200000000002</v>
      </c>
      <c r="R31" s="155">
        <f t="shared" si="22"/>
        <v>3135.2760000000003</v>
      </c>
      <c r="S31" s="155"/>
      <c r="T31" s="11"/>
      <c r="U31" s="156"/>
      <c r="V31" s="156"/>
      <c r="W31" s="156"/>
      <c r="X31" s="170"/>
      <c r="Y31" s="171"/>
      <c r="Z31" s="157">
        <f t="shared" si="23"/>
        <v>3935.7720000000004</v>
      </c>
      <c r="AA31" s="158"/>
      <c r="AB31" s="184">
        <f t="shared" si="24"/>
        <v>3936.3799999999997</v>
      </c>
      <c r="AC31" s="112">
        <f t="shared" si="25"/>
        <v>1182.3400000000001</v>
      </c>
    </row>
    <row r="32" spans="1:29" ht="12.75">
      <c r="A32" s="7" t="s">
        <v>28</v>
      </c>
      <c r="B32" s="100">
        <v>741.2</v>
      </c>
      <c r="C32" s="64">
        <f aca="true" t="shared" si="26" ref="C32:C37">B32*9.51</f>
        <v>7048.812</v>
      </c>
      <c r="D32" s="85">
        <v>125.7165</v>
      </c>
      <c r="E32" s="159">
        <v>7048.81</v>
      </c>
      <c r="F32" s="159"/>
      <c r="G32" s="159"/>
      <c r="H32" s="86">
        <f t="shared" si="16"/>
        <v>7048.81</v>
      </c>
      <c r="I32" s="101">
        <v>2555.93</v>
      </c>
      <c r="J32" s="101">
        <v>1007.15</v>
      </c>
      <c r="K32" s="161">
        <v>367.33</v>
      </c>
      <c r="L32" s="94">
        <f t="shared" si="17"/>
        <v>3930.41</v>
      </c>
      <c r="M32" s="93">
        <f t="shared" si="18"/>
        <v>4056.1265</v>
      </c>
      <c r="N32" s="154"/>
      <c r="O32" s="155">
        <f t="shared" si="19"/>
        <v>496.60400000000004</v>
      </c>
      <c r="P32" s="155">
        <f t="shared" si="20"/>
        <v>148.24</v>
      </c>
      <c r="Q32" s="155">
        <f t="shared" si="21"/>
        <v>155.65200000000002</v>
      </c>
      <c r="R32" s="155">
        <f t="shared" si="22"/>
        <v>3135.2760000000003</v>
      </c>
      <c r="S32" s="155"/>
      <c r="T32" s="11"/>
      <c r="U32" s="156"/>
      <c r="V32" s="156"/>
      <c r="W32" s="156"/>
      <c r="X32" s="170"/>
      <c r="Y32" s="171"/>
      <c r="Z32" s="157">
        <f t="shared" si="23"/>
        <v>3935.7720000000004</v>
      </c>
      <c r="AA32" s="158"/>
      <c r="AB32" s="184">
        <f t="shared" si="24"/>
        <v>120.35449999999946</v>
      </c>
      <c r="AC32" s="112">
        <f t="shared" si="25"/>
        <v>-3118.4000000000005</v>
      </c>
    </row>
    <row r="33" spans="1:29" s="10" customFormat="1" ht="12.75">
      <c r="A33" s="7" t="s">
        <v>29</v>
      </c>
      <c r="B33" s="100">
        <v>741.2</v>
      </c>
      <c r="C33" s="64">
        <f t="shared" si="26"/>
        <v>7048.812</v>
      </c>
      <c r="D33" s="85"/>
      <c r="E33" s="163">
        <v>7048.81</v>
      </c>
      <c r="F33" s="159"/>
      <c r="G33" s="159"/>
      <c r="H33" s="86">
        <f t="shared" si="16"/>
        <v>7048.81</v>
      </c>
      <c r="I33" s="101">
        <v>5677.41</v>
      </c>
      <c r="J33" s="101">
        <v>749.06</v>
      </c>
      <c r="K33" s="161">
        <v>266.09</v>
      </c>
      <c r="L33" s="94">
        <f t="shared" si="17"/>
        <v>6692.5599999999995</v>
      </c>
      <c r="M33" s="93">
        <f t="shared" si="18"/>
        <v>6692.5599999999995</v>
      </c>
      <c r="N33" s="154"/>
      <c r="O33" s="155">
        <f t="shared" si="19"/>
        <v>496.60400000000004</v>
      </c>
      <c r="P33" s="155">
        <f t="shared" si="20"/>
        <v>148.24</v>
      </c>
      <c r="Q33" s="155">
        <f t="shared" si="21"/>
        <v>155.65200000000002</v>
      </c>
      <c r="R33" s="155">
        <f t="shared" si="22"/>
        <v>3135.2760000000003</v>
      </c>
      <c r="S33" s="155"/>
      <c r="T33" s="165"/>
      <c r="U33" s="156"/>
      <c r="V33" s="156"/>
      <c r="W33" s="156"/>
      <c r="X33" s="170"/>
      <c r="Y33" s="171"/>
      <c r="Z33" s="157">
        <f t="shared" si="23"/>
        <v>3935.7720000000004</v>
      </c>
      <c r="AA33" s="158"/>
      <c r="AB33" s="184">
        <f t="shared" si="24"/>
        <v>2756.787999999999</v>
      </c>
      <c r="AC33" s="112">
        <f t="shared" si="25"/>
        <v>-356.2500000000009</v>
      </c>
    </row>
    <row r="34" spans="1:29" ht="12.75">
      <c r="A34" s="7" t="s">
        <v>30</v>
      </c>
      <c r="B34" s="100">
        <v>741.2</v>
      </c>
      <c r="C34" s="64">
        <f t="shared" si="26"/>
        <v>7048.812</v>
      </c>
      <c r="D34" s="85"/>
      <c r="E34" s="163">
        <v>7048.81</v>
      </c>
      <c r="F34" s="159"/>
      <c r="G34" s="159"/>
      <c r="H34" s="86">
        <f t="shared" si="16"/>
        <v>7048.81</v>
      </c>
      <c r="I34" s="101">
        <v>-1890.44</v>
      </c>
      <c r="J34" s="101">
        <v>-630.15</v>
      </c>
      <c r="K34" s="101">
        <v>-630.15</v>
      </c>
      <c r="L34" s="94">
        <f t="shared" si="17"/>
        <v>-3150.7400000000002</v>
      </c>
      <c r="M34" s="93">
        <f t="shared" si="18"/>
        <v>-3150.7400000000002</v>
      </c>
      <c r="N34" s="154"/>
      <c r="O34" s="155">
        <f t="shared" si="19"/>
        <v>496.60400000000004</v>
      </c>
      <c r="P34" s="155">
        <f t="shared" si="20"/>
        <v>148.24</v>
      </c>
      <c r="Q34" s="155">
        <f t="shared" si="21"/>
        <v>155.65200000000002</v>
      </c>
      <c r="R34" s="155">
        <f t="shared" si="22"/>
        <v>3135.2760000000003</v>
      </c>
      <c r="S34" s="155"/>
      <c r="T34" s="11"/>
      <c r="U34" s="156">
        <v>299</v>
      </c>
      <c r="V34" s="156"/>
      <c r="W34" s="156"/>
      <c r="X34" s="170"/>
      <c r="Y34" s="171"/>
      <c r="Z34" s="157">
        <f t="shared" si="23"/>
        <v>4234.772000000001</v>
      </c>
      <c r="AA34" s="158"/>
      <c r="AB34" s="184">
        <f t="shared" si="24"/>
        <v>-7385.512000000001</v>
      </c>
      <c r="AC34" s="112">
        <f t="shared" si="25"/>
        <v>-10199.550000000001</v>
      </c>
    </row>
    <row r="35" spans="1:29" s="10" customFormat="1" ht="12.75">
      <c r="A35" s="7" t="s">
        <v>19</v>
      </c>
      <c r="B35" s="100">
        <v>741.2</v>
      </c>
      <c r="C35" s="64">
        <f t="shared" si="26"/>
        <v>7048.812</v>
      </c>
      <c r="D35" s="85"/>
      <c r="E35" s="160">
        <v>7048.81</v>
      </c>
      <c r="F35" s="159"/>
      <c r="G35" s="159"/>
      <c r="H35" s="86">
        <f t="shared" si="16"/>
        <v>7048.81</v>
      </c>
      <c r="I35" s="101">
        <v>4351.64</v>
      </c>
      <c r="J35" s="101">
        <v>115.15</v>
      </c>
      <c r="K35" s="101">
        <v>32.66</v>
      </c>
      <c r="L35" s="94">
        <f t="shared" si="17"/>
        <v>4499.45</v>
      </c>
      <c r="M35" s="93">
        <f t="shared" si="18"/>
        <v>4499.45</v>
      </c>
      <c r="N35" s="154"/>
      <c r="O35" s="155">
        <f>0.67*B35</f>
        <v>496.60400000000004</v>
      </c>
      <c r="P35" s="155">
        <f>B35*0.2</f>
        <v>148.24</v>
      </c>
      <c r="Q35" s="155">
        <f>B35*0.21</f>
        <v>155.65200000000002</v>
      </c>
      <c r="R35" s="155">
        <f t="shared" si="22"/>
        <v>3135.2760000000003</v>
      </c>
      <c r="S35" s="155"/>
      <c r="T35" s="165"/>
      <c r="U35" s="156">
        <v>12061</v>
      </c>
      <c r="V35" s="156"/>
      <c r="W35" s="156">
        <v>600</v>
      </c>
      <c r="X35" s="170"/>
      <c r="Y35" s="171"/>
      <c r="Z35" s="157">
        <f t="shared" si="23"/>
        <v>16596.772</v>
      </c>
      <c r="AA35" s="158"/>
      <c r="AB35" s="184">
        <f t="shared" si="24"/>
        <v>-12097.322</v>
      </c>
      <c r="AC35" s="112">
        <f t="shared" si="25"/>
        <v>-2549.3600000000006</v>
      </c>
    </row>
    <row r="36" spans="1:29" ht="12.75">
      <c r="A36" s="7" t="s">
        <v>20</v>
      </c>
      <c r="B36" s="100">
        <v>741.2</v>
      </c>
      <c r="C36" s="64">
        <f t="shared" si="26"/>
        <v>7048.812</v>
      </c>
      <c r="D36" s="85"/>
      <c r="E36" s="159">
        <v>7048.81</v>
      </c>
      <c r="F36" s="159"/>
      <c r="G36" s="159"/>
      <c r="H36" s="86">
        <f t="shared" si="16"/>
        <v>7048.81</v>
      </c>
      <c r="I36" s="101">
        <v>9489.1</v>
      </c>
      <c r="J36" s="101">
        <v>172.62</v>
      </c>
      <c r="K36" s="161">
        <v>102.48</v>
      </c>
      <c r="L36" s="94">
        <f t="shared" si="17"/>
        <v>9764.2</v>
      </c>
      <c r="M36" s="93">
        <f t="shared" si="18"/>
        <v>9764.2</v>
      </c>
      <c r="N36" s="154">
        <f>'[2]Т11'!$J$380</f>
        <v>114</v>
      </c>
      <c r="O36" s="155">
        <f>0.67*B36</f>
        <v>496.60400000000004</v>
      </c>
      <c r="P36" s="155">
        <f>B36*0.2</f>
        <v>148.24</v>
      </c>
      <c r="Q36" s="155">
        <f>B36*0.21</f>
        <v>155.65200000000002</v>
      </c>
      <c r="R36" s="155">
        <f t="shared" si="22"/>
        <v>3135.2760000000003</v>
      </c>
      <c r="S36" s="155"/>
      <c r="T36" s="11"/>
      <c r="U36" s="156"/>
      <c r="V36" s="156"/>
      <c r="W36" s="156">
        <f>801.99</f>
        <v>801.99</v>
      </c>
      <c r="X36" s="170"/>
      <c r="Y36" s="171"/>
      <c r="Z36" s="157">
        <f t="shared" si="23"/>
        <v>4737.762000000001</v>
      </c>
      <c r="AA36" s="158">
        <f>'[2]Т11'!$S$380</f>
        <v>28.5</v>
      </c>
      <c r="AB36" s="184">
        <f t="shared" si="24"/>
        <v>5111.938</v>
      </c>
      <c r="AC36" s="112">
        <f t="shared" si="25"/>
        <v>2715.3900000000003</v>
      </c>
    </row>
    <row r="37" spans="1:29" ht="13.5" thickBot="1">
      <c r="A37" s="19" t="s">
        <v>21</v>
      </c>
      <c r="B37" s="100">
        <v>741.2</v>
      </c>
      <c r="C37" s="64">
        <f t="shared" si="26"/>
        <v>7048.812</v>
      </c>
      <c r="D37" s="85"/>
      <c r="E37" s="159">
        <v>7048.81</v>
      </c>
      <c r="F37" s="159"/>
      <c r="G37" s="159"/>
      <c r="H37" s="86">
        <f t="shared" si="16"/>
        <v>7048.81</v>
      </c>
      <c r="I37" s="101">
        <v>5585.24</v>
      </c>
      <c r="J37" s="101">
        <v>-97.85</v>
      </c>
      <c r="K37" s="161">
        <v>-20.39</v>
      </c>
      <c r="L37" s="94">
        <f t="shared" si="17"/>
        <v>5466.999999999999</v>
      </c>
      <c r="M37" s="93">
        <f t="shared" si="18"/>
        <v>5466.999999999999</v>
      </c>
      <c r="N37" s="154">
        <f>'[2]Т11'!$J$380</f>
        <v>114</v>
      </c>
      <c r="O37" s="166">
        <f>0.67*B37</f>
        <v>496.60400000000004</v>
      </c>
      <c r="P37" s="166">
        <f>B37*0.2</f>
        <v>148.24</v>
      </c>
      <c r="Q37" s="166">
        <f>B37*0.21</f>
        <v>155.65200000000002</v>
      </c>
      <c r="R37" s="166">
        <f t="shared" si="22"/>
        <v>3135.2760000000003</v>
      </c>
      <c r="S37" s="166"/>
      <c r="T37" s="167"/>
      <c r="U37" s="168"/>
      <c r="V37" s="168"/>
      <c r="W37" s="168"/>
      <c r="X37" s="172"/>
      <c r="Y37" s="171"/>
      <c r="Z37" s="157">
        <f t="shared" si="23"/>
        <v>3935.7720000000004</v>
      </c>
      <c r="AA37" s="158">
        <f>'[2]Т11'!$S$380</f>
        <v>28.5</v>
      </c>
      <c r="AB37" s="184">
        <f t="shared" si="24"/>
        <v>1616.7279999999987</v>
      </c>
      <c r="AC37" s="112">
        <f t="shared" si="25"/>
        <v>-1581.8100000000013</v>
      </c>
    </row>
    <row r="38" spans="1:29" ht="13.5" thickBot="1">
      <c r="A38" s="20" t="s">
        <v>4</v>
      </c>
      <c r="B38" s="130"/>
      <c r="C38" s="21">
        <f aca="true" t="shared" si="27" ref="C38:AA38">SUM(C26:C37)</f>
        <v>80316.43200000002</v>
      </c>
      <c r="D38" s="21">
        <f t="shared" si="27"/>
        <v>689.3684999999999</v>
      </c>
      <c r="E38" s="21">
        <f t="shared" si="27"/>
        <v>66212.78</v>
      </c>
      <c r="F38" s="21">
        <f t="shared" si="27"/>
        <v>11618.34</v>
      </c>
      <c r="G38" s="21">
        <f t="shared" si="27"/>
        <v>4031.8800000000006</v>
      </c>
      <c r="H38" s="21">
        <f t="shared" si="27"/>
        <v>81862.99999999999</v>
      </c>
      <c r="I38" s="21">
        <f t="shared" si="27"/>
        <v>49378.77</v>
      </c>
      <c r="J38" s="21">
        <f t="shared" si="27"/>
        <v>13032.21</v>
      </c>
      <c r="K38" s="21">
        <f t="shared" si="27"/>
        <v>4139.29</v>
      </c>
      <c r="L38" s="21">
        <f t="shared" si="27"/>
        <v>66550.27</v>
      </c>
      <c r="M38" s="21">
        <f t="shared" si="27"/>
        <v>67239.63849999999</v>
      </c>
      <c r="N38" s="21">
        <f t="shared" si="27"/>
        <v>228</v>
      </c>
      <c r="O38" s="21">
        <f t="shared" si="27"/>
        <v>5959.248000000002</v>
      </c>
      <c r="P38" s="21">
        <f t="shared" si="27"/>
        <v>1778.88</v>
      </c>
      <c r="Q38" s="21">
        <f t="shared" si="27"/>
        <v>1867.8240000000003</v>
      </c>
      <c r="R38" s="21">
        <f t="shared" si="27"/>
        <v>37623.312000000005</v>
      </c>
      <c r="S38" s="21">
        <f t="shared" si="27"/>
        <v>0</v>
      </c>
      <c r="T38" s="21">
        <f t="shared" si="27"/>
        <v>0</v>
      </c>
      <c r="U38" s="21">
        <f t="shared" si="27"/>
        <v>12360</v>
      </c>
      <c r="V38" s="21">
        <f t="shared" si="27"/>
        <v>0</v>
      </c>
      <c r="W38" s="21">
        <f t="shared" si="27"/>
        <v>2015.98</v>
      </c>
      <c r="X38" s="21">
        <f t="shared" si="27"/>
        <v>0</v>
      </c>
      <c r="Y38" s="21">
        <f t="shared" si="27"/>
        <v>0</v>
      </c>
      <c r="Z38" s="21">
        <f t="shared" si="27"/>
        <v>61605.244000000006</v>
      </c>
      <c r="AA38" s="21">
        <f t="shared" si="27"/>
        <v>57</v>
      </c>
      <c r="AB38" s="21">
        <f>SUM(AB26:AB37)</f>
        <v>5805.394499999991</v>
      </c>
      <c r="AC38" s="21">
        <f>SUM(AC26:AC37)</f>
        <v>-15312.730000000007</v>
      </c>
    </row>
    <row r="39" spans="1:29" s="183" customFormat="1" ht="13.5" thickBot="1">
      <c r="A39" s="175"/>
      <c r="B39" s="176"/>
      <c r="C39" s="177"/>
      <c r="D39" s="177"/>
      <c r="E39" s="178"/>
      <c r="F39" s="178"/>
      <c r="G39" s="178"/>
      <c r="H39" s="179"/>
      <c r="I39" s="180"/>
      <c r="J39" s="180"/>
      <c r="K39" s="180"/>
      <c r="L39" s="180"/>
      <c r="M39" s="181"/>
      <c r="N39" s="174"/>
      <c r="O39" s="174"/>
      <c r="P39" s="174"/>
      <c r="Q39" s="174"/>
      <c r="R39" s="174"/>
      <c r="S39" s="174"/>
      <c r="T39" s="182"/>
      <c r="U39" s="174"/>
      <c r="V39" s="173"/>
      <c r="W39" s="173"/>
      <c r="X39" s="173"/>
      <c r="Y39" s="174"/>
      <c r="Z39" s="182"/>
      <c r="AA39" s="173"/>
      <c r="AB39" s="174"/>
      <c r="AC39" s="174"/>
    </row>
    <row r="40" spans="1:29" ht="13.5" thickBot="1">
      <c r="A40" s="148" t="s">
        <v>31</v>
      </c>
      <c r="B40" s="24"/>
      <c r="C40" s="24">
        <f aca="true" t="shared" si="28" ref="C40:AB40">C38+C24</f>
        <v>275296.592</v>
      </c>
      <c r="D40" s="24">
        <f t="shared" si="28"/>
        <v>20177.190235090016</v>
      </c>
      <c r="E40" s="24">
        <f t="shared" si="28"/>
        <v>112242.67</v>
      </c>
      <c r="F40" s="24">
        <f t="shared" si="28"/>
        <v>34182.23</v>
      </c>
      <c r="G40" s="24">
        <f t="shared" si="28"/>
        <v>11839.330000000002</v>
      </c>
      <c r="H40" s="24">
        <f t="shared" si="28"/>
        <v>260882.08000000002</v>
      </c>
      <c r="I40" s="24">
        <f t="shared" si="28"/>
        <v>89808.31</v>
      </c>
      <c r="J40" s="24">
        <f t="shared" si="28"/>
        <v>35287.649999999994</v>
      </c>
      <c r="K40" s="24">
        <f t="shared" si="28"/>
        <v>11586.259999999998</v>
      </c>
      <c r="L40" s="24">
        <f t="shared" si="28"/>
        <v>216497.87</v>
      </c>
      <c r="M40" s="24">
        <f t="shared" si="28"/>
        <v>253757.32023508998</v>
      </c>
      <c r="N40" s="24">
        <f t="shared" si="28"/>
        <v>228</v>
      </c>
      <c r="O40" s="24">
        <f t="shared" si="28"/>
        <v>20387.97600000001</v>
      </c>
      <c r="P40" s="24">
        <f t="shared" si="28"/>
        <v>6381.3903344</v>
      </c>
      <c r="Q40" s="24">
        <f t="shared" si="28"/>
        <v>101956.1970263504</v>
      </c>
      <c r="R40" s="24">
        <f t="shared" si="28"/>
        <v>37623.312000000005</v>
      </c>
      <c r="S40" s="24">
        <f t="shared" si="28"/>
        <v>0</v>
      </c>
      <c r="T40" s="24">
        <f t="shared" si="28"/>
        <v>0</v>
      </c>
      <c r="U40" s="24">
        <f t="shared" si="28"/>
        <v>75149.39</v>
      </c>
      <c r="V40" s="24">
        <f t="shared" si="28"/>
        <v>47.8</v>
      </c>
      <c r="W40" s="24">
        <f t="shared" si="28"/>
        <v>2764.8124</v>
      </c>
      <c r="X40" s="24">
        <f t="shared" si="28"/>
        <v>0</v>
      </c>
      <c r="Y40" s="24">
        <f t="shared" si="28"/>
        <v>0</v>
      </c>
      <c r="Z40" s="24">
        <f t="shared" si="28"/>
        <v>244310.87776075042</v>
      </c>
      <c r="AA40" s="24">
        <f t="shared" si="28"/>
        <v>57</v>
      </c>
      <c r="AB40" s="24">
        <f t="shared" si="28"/>
        <v>9626.0464743396</v>
      </c>
      <c r="AC40" s="24">
        <f>AC38+AC24</f>
        <v>-44384.21000000002</v>
      </c>
    </row>
  </sheetData>
  <sheetProtection/>
  <mergeCells count="33">
    <mergeCell ref="U5:U6"/>
    <mergeCell ref="V5:V6"/>
    <mergeCell ref="AC3:AC6"/>
    <mergeCell ref="AA3:AA6"/>
    <mergeCell ref="AB3:AB6"/>
    <mergeCell ref="S5:S6"/>
    <mergeCell ref="T5:T6"/>
    <mergeCell ref="J5:J6"/>
    <mergeCell ref="K5:K6"/>
    <mergeCell ref="I3:K4"/>
    <mergeCell ref="G5:G6"/>
    <mergeCell ref="F5:F6"/>
    <mergeCell ref="E3:G4"/>
    <mergeCell ref="Z5:Z6"/>
    <mergeCell ref="M3:M6"/>
    <mergeCell ref="N3:N6"/>
    <mergeCell ref="O5:O6"/>
    <mergeCell ref="W5:W6"/>
    <mergeCell ref="X5:X6"/>
    <mergeCell ref="Y5:Y6"/>
    <mergeCell ref="O3:Z4"/>
    <mergeCell ref="P5:P6"/>
    <mergeCell ref="Q5:Q6"/>
    <mergeCell ref="A1:G1"/>
    <mergeCell ref="A3:A6"/>
    <mergeCell ref="B3:B6"/>
    <mergeCell ref="C3:C6"/>
    <mergeCell ref="D3:D6"/>
    <mergeCell ref="R5:R6"/>
    <mergeCell ref="L3:L6"/>
    <mergeCell ref="I5:I6"/>
    <mergeCell ref="H3:H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9">
      <selection activeCell="C13" sqref="C13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customWidth="1"/>
    <col min="6" max="6" width="11.00390625" style="2" customWidth="1"/>
    <col min="7" max="7" width="10.125" style="2" customWidth="1"/>
    <col min="8" max="8" width="8.00390625" style="2" customWidth="1"/>
    <col min="9" max="9" width="9.25390625" style="2" customWidth="1"/>
    <col min="10" max="10" width="10.875" style="2" customWidth="1"/>
    <col min="11" max="11" width="10.125" style="2" customWidth="1"/>
    <col min="12" max="12" width="10.375" style="2" customWidth="1"/>
    <col min="13" max="13" width="7.75390625" style="2" customWidth="1"/>
    <col min="14" max="14" width="10.75390625" style="2" customWidth="1"/>
    <col min="15" max="15" width="13.00390625" style="2" customWidth="1"/>
    <col min="16" max="16384" width="9.125" style="2" customWidth="1"/>
  </cols>
  <sheetData>
    <row r="1" spans="2:8" ht="20.25" customHeight="1">
      <c r="B1" s="286" t="s">
        <v>32</v>
      </c>
      <c r="C1" s="286"/>
      <c r="D1" s="286"/>
      <c r="E1" s="286"/>
      <c r="F1" s="286"/>
      <c r="G1" s="286"/>
      <c r="H1" s="95"/>
    </row>
    <row r="2" spans="2:8" ht="21" customHeight="1">
      <c r="B2" s="286" t="s">
        <v>33</v>
      </c>
      <c r="C2" s="286"/>
      <c r="D2" s="286"/>
      <c r="E2" s="286"/>
      <c r="F2" s="286"/>
      <c r="G2" s="286"/>
      <c r="H2" s="95"/>
    </row>
    <row r="5" spans="1:14" ht="12.75">
      <c r="A5" s="288" t="s">
        <v>62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</row>
    <row r="6" spans="1:14" ht="12.75">
      <c r="A6" s="289" t="s">
        <v>67</v>
      </c>
      <c r="B6" s="289"/>
      <c r="C6" s="289"/>
      <c r="D6" s="289"/>
      <c r="E6" s="289"/>
      <c r="F6" s="289"/>
      <c r="G6" s="57"/>
      <c r="H6" s="57"/>
      <c r="I6" s="57"/>
      <c r="J6" s="57"/>
      <c r="K6" s="57"/>
      <c r="L6" s="57"/>
      <c r="M6" s="57"/>
      <c r="N6" s="57"/>
    </row>
    <row r="7" spans="1:14" ht="6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5" ht="13.5" thickBot="1">
      <c r="A8" s="287" t="s">
        <v>34</v>
      </c>
      <c r="B8" s="287"/>
      <c r="C8" s="287"/>
      <c r="D8" s="287"/>
      <c r="E8" s="69">
        <v>9.51</v>
      </c>
    </row>
    <row r="9" spans="1:15" ht="12.75" customHeight="1">
      <c r="A9" s="317" t="s">
        <v>35</v>
      </c>
      <c r="B9" s="320" t="s">
        <v>1</v>
      </c>
      <c r="C9" s="323" t="s">
        <v>71</v>
      </c>
      <c r="D9" s="292" t="s">
        <v>3</v>
      </c>
      <c r="E9" s="326" t="s">
        <v>60</v>
      </c>
      <c r="F9" s="304" t="s">
        <v>36</v>
      </c>
      <c r="G9" s="305"/>
      <c r="H9" s="292" t="s">
        <v>68</v>
      </c>
      <c r="I9" s="308" t="s">
        <v>7</v>
      </c>
      <c r="J9" s="309"/>
      <c r="K9" s="309"/>
      <c r="L9" s="310"/>
      <c r="M9" s="292" t="s">
        <v>69</v>
      </c>
      <c r="N9" s="295" t="s">
        <v>37</v>
      </c>
      <c r="O9" s="295" t="s">
        <v>9</v>
      </c>
    </row>
    <row r="10" spans="1:15" ht="12.75">
      <c r="A10" s="318"/>
      <c r="B10" s="321"/>
      <c r="C10" s="324"/>
      <c r="D10" s="293"/>
      <c r="E10" s="327"/>
      <c r="F10" s="306"/>
      <c r="G10" s="307"/>
      <c r="H10" s="293"/>
      <c r="I10" s="311"/>
      <c r="J10" s="312"/>
      <c r="K10" s="312"/>
      <c r="L10" s="313"/>
      <c r="M10" s="293"/>
      <c r="N10" s="296"/>
      <c r="O10" s="296"/>
    </row>
    <row r="11" spans="1:15" ht="39" customHeight="1">
      <c r="A11" s="318"/>
      <c r="B11" s="321"/>
      <c r="C11" s="324"/>
      <c r="D11" s="293"/>
      <c r="E11" s="327"/>
      <c r="F11" s="52" t="s">
        <v>38</v>
      </c>
      <c r="G11" s="298" t="s">
        <v>6</v>
      </c>
      <c r="H11" s="293"/>
      <c r="I11" s="300" t="s">
        <v>39</v>
      </c>
      <c r="J11" s="302" t="s">
        <v>40</v>
      </c>
      <c r="K11" s="302" t="s">
        <v>16</v>
      </c>
      <c r="L11" s="298" t="s">
        <v>18</v>
      </c>
      <c r="M11" s="293"/>
      <c r="N11" s="296"/>
      <c r="O11" s="296"/>
    </row>
    <row r="12" spans="1:15" ht="66.75" customHeight="1" thickBot="1">
      <c r="A12" s="319"/>
      <c r="B12" s="322"/>
      <c r="C12" s="325"/>
      <c r="D12" s="294"/>
      <c r="E12" s="328"/>
      <c r="F12" s="49" t="s">
        <v>52</v>
      </c>
      <c r="G12" s="299"/>
      <c r="H12" s="294"/>
      <c r="I12" s="301"/>
      <c r="J12" s="303"/>
      <c r="K12" s="303"/>
      <c r="L12" s="299"/>
      <c r="M12" s="294"/>
      <c r="N12" s="297"/>
      <c r="O12" s="297"/>
    </row>
    <row r="13" spans="1:15" ht="13.5" thickBot="1">
      <c r="A13" s="39">
        <v>1</v>
      </c>
      <c r="B13" s="40">
        <v>2</v>
      </c>
      <c r="C13" s="39">
        <v>3</v>
      </c>
      <c r="D13" s="40">
        <v>4</v>
      </c>
      <c r="E13" s="39">
        <v>5</v>
      </c>
      <c r="F13" s="40">
        <v>6</v>
      </c>
      <c r="G13" s="39">
        <v>7</v>
      </c>
      <c r="H13" s="40">
        <v>8</v>
      </c>
      <c r="I13" s="39">
        <v>9</v>
      </c>
      <c r="J13" s="40">
        <v>10</v>
      </c>
      <c r="K13" s="39">
        <v>11</v>
      </c>
      <c r="L13" s="40">
        <v>12</v>
      </c>
      <c r="M13" s="39">
        <v>13</v>
      </c>
      <c r="N13" s="40">
        <v>14</v>
      </c>
      <c r="O13" s="39">
        <v>15</v>
      </c>
    </row>
    <row r="14" spans="1:17" s="10" customFormat="1" ht="13.5" hidden="1" thickBot="1">
      <c r="A14" s="48" t="s">
        <v>61</v>
      </c>
      <c r="B14" s="24"/>
      <c r="C14" s="25">
        <f>'2012'!C8</f>
        <v>122101.67</v>
      </c>
      <c r="D14" s="23">
        <f>'2012'!D8</f>
        <v>18360.517735090016</v>
      </c>
      <c r="E14" s="24">
        <f>'2012'!H8</f>
        <v>102617.85</v>
      </c>
      <c r="F14" s="23">
        <f>'2012'!L8</f>
        <v>79815.65</v>
      </c>
      <c r="G14" s="23">
        <f>'2012'!M8</f>
        <v>115258.42773509</v>
      </c>
      <c r="H14" s="23"/>
      <c r="I14" s="23">
        <f>'2012'!O8+'2012'!P8</f>
        <v>11293.110334400004</v>
      </c>
      <c r="J14" s="23">
        <f>'2012'!Q8</f>
        <v>62465.061026350406</v>
      </c>
      <c r="K14" s="24">
        <f>'2012'!U8+'2012'!V8+'2012'!W8</f>
        <v>55985.6924</v>
      </c>
      <c r="L14" s="46">
        <f>'2012'!Z8</f>
        <v>129743.8637607504</v>
      </c>
      <c r="M14" s="185"/>
      <c r="N14" s="45">
        <f>'2012'!AB8</f>
        <v>-14476.832025660384</v>
      </c>
      <c r="O14" s="45">
        <f>'2012'!AC8</f>
        <v>-22802.20000000001</v>
      </c>
      <c r="P14" s="43"/>
      <c r="Q14" s="42"/>
    </row>
    <row r="15" spans="1:17" ht="13.5" hidden="1" thickBot="1">
      <c r="A15" s="191" t="s">
        <v>53</v>
      </c>
      <c r="B15" s="135"/>
      <c r="C15" s="192"/>
      <c r="D15" s="193"/>
      <c r="E15" s="194"/>
      <c r="F15" s="195"/>
      <c r="G15" s="196"/>
      <c r="H15" s="197"/>
      <c r="I15" s="195"/>
      <c r="J15" s="128"/>
      <c r="K15" s="198"/>
      <c r="L15" s="129"/>
      <c r="M15" s="199"/>
      <c r="N15" s="200"/>
      <c r="O15" s="200"/>
      <c r="P15" s="1"/>
      <c r="Q15" s="1"/>
    </row>
    <row r="16" spans="1:17" ht="12.75" hidden="1">
      <c r="A16" s="203" t="s">
        <v>22</v>
      </c>
      <c r="B16" s="204">
        <f>'2012'!B10</f>
        <v>741.2</v>
      </c>
      <c r="C16" s="204">
        <f>'2012'!C10</f>
        <v>5703.5340000000015</v>
      </c>
      <c r="D16" s="205">
        <f>'2012'!D10</f>
        <v>93.942</v>
      </c>
      <c r="E16" s="206">
        <f>'2012'!H10</f>
        <v>6271.860000000001</v>
      </c>
      <c r="F16" s="207">
        <f>'2012'!L10</f>
        <v>2290.26</v>
      </c>
      <c r="G16" s="207">
        <f>'2012'!M10</f>
        <v>2384.202</v>
      </c>
      <c r="H16" s="208"/>
      <c r="I16" s="209">
        <f>'2012'!O10+'2012'!P10</f>
        <v>644.844</v>
      </c>
      <c r="J16" s="206">
        <f>'2012'!Q10+'2012'!S10+'2012'!T10+'2012'!Y10</f>
        <v>3135.2760000000003</v>
      </c>
      <c r="K16" s="210">
        <f>'2012'!U10+'2012'!V10+'2012'!W10</f>
        <v>1013.3</v>
      </c>
      <c r="L16" s="211">
        <f>'2012'!Z10</f>
        <v>4793.42</v>
      </c>
      <c r="M16" s="208"/>
      <c r="N16" s="212">
        <f>'2012'!AB10</f>
        <v>-2409.218</v>
      </c>
      <c r="O16" s="213">
        <f>'2012'!AC10</f>
        <v>-3981.6000000000004</v>
      </c>
      <c r="P16" s="1"/>
      <c r="Q16" s="1"/>
    </row>
    <row r="17" spans="1:17" ht="12.75" hidden="1">
      <c r="A17" s="7" t="s">
        <v>23</v>
      </c>
      <c r="B17" s="50">
        <f>'2012'!B11</f>
        <v>741.2</v>
      </c>
      <c r="C17" s="50">
        <f>'2012'!C11</f>
        <v>5703.5340000000015</v>
      </c>
      <c r="D17" s="15">
        <f>'2012'!D11</f>
        <v>93.942</v>
      </c>
      <c r="E17" s="8">
        <f>'2012'!H11</f>
        <v>5479.650000000001</v>
      </c>
      <c r="F17" s="16">
        <f>'2012'!L11</f>
        <v>5445.73</v>
      </c>
      <c r="G17" s="16">
        <f>'2012'!M11</f>
        <v>5539.672</v>
      </c>
      <c r="H17" s="11"/>
      <c r="I17" s="188">
        <f>'2012'!O11+'2012'!P11</f>
        <v>644.844</v>
      </c>
      <c r="J17" s="8">
        <f>'2012'!Q11+'2012'!S11+'2012'!T11+'2012'!Y11</f>
        <v>3135.2760000000003</v>
      </c>
      <c r="K17" s="18">
        <f>'2012'!U11+'2012'!V11+'2012'!W11</f>
        <v>1524</v>
      </c>
      <c r="L17" s="190">
        <f>'2012'!Z11</f>
        <v>5304.120000000001</v>
      </c>
      <c r="M17" s="11"/>
      <c r="N17" s="186">
        <f>'2012'!AB11</f>
        <v>235.55199999999877</v>
      </c>
      <c r="O17" s="44">
        <f>'2012'!AC11</f>
        <v>-33.92000000000098</v>
      </c>
      <c r="P17" s="1"/>
      <c r="Q17" s="1"/>
    </row>
    <row r="18" spans="1:17" ht="12.75" hidden="1">
      <c r="A18" s="7" t="s">
        <v>24</v>
      </c>
      <c r="B18" s="50">
        <f>'2012'!B12</f>
        <v>741.2</v>
      </c>
      <c r="C18" s="50">
        <f>'2012'!C12</f>
        <v>5703.5340000000015</v>
      </c>
      <c r="D18" s="15">
        <f>'2012'!D12</f>
        <v>93.942</v>
      </c>
      <c r="E18" s="8">
        <f>'2012'!H12</f>
        <v>5877.070000000001</v>
      </c>
      <c r="F18" s="16">
        <f>'2012'!L12</f>
        <v>5334.06</v>
      </c>
      <c r="G18" s="16">
        <f>'2012'!M12</f>
        <v>5428.002</v>
      </c>
      <c r="H18" s="11"/>
      <c r="I18" s="188">
        <f>'2012'!O12+'2012'!P12</f>
        <v>644.844</v>
      </c>
      <c r="J18" s="8">
        <f>'2012'!Q12+'2012'!S12+'2012'!T12+'2012'!Y12</f>
        <v>3135.2760000000003</v>
      </c>
      <c r="K18" s="18">
        <f>'2012'!U12+'2012'!V12+'2012'!W12</f>
        <v>184.58</v>
      </c>
      <c r="L18" s="190">
        <f>'2012'!Z12</f>
        <v>3964.7000000000003</v>
      </c>
      <c r="M18" s="11"/>
      <c r="N18" s="186">
        <f>'2012'!AB12</f>
        <v>1463.3020000000001</v>
      </c>
      <c r="O18" s="44">
        <f>'2012'!AC12</f>
        <v>-543.0100000000002</v>
      </c>
      <c r="P18" s="1"/>
      <c r="Q18" s="1"/>
    </row>
    <row r="19" spans="1:17" ht="12.75" hidden="1">
      <c r="A19" s="7" t="s">
        <v>25</v>
      </c>
      <c r="B19" s="50">
        <f>'2012'!B13</f>
        <v>741.2</v>
      </c>
      <c r="C19" s="50">
        <f>'2012'!C13</f>
        <v>5703.5340000000015</v>
      </c>
      <c r="D19" s="15">
        <f>'2012'!D13</f>
        <v>93.942</v>
      </c>
      <c r="E19" s="8">
        <f>'2012'!H13</f>
        <v>5877.09</v>
      </c>
      <c r="F19" s="16">
        <f>'2012'!L13</f>
        <v>4074.2300000000005</v>
      </c>
      <c r="G19" s="16">
        <f>'2012'!M13</f>
        <v>4168.1720000000005</v>
      </c>
      <c r="H19" s="11"/>
      <c r="I19" s="188">
        <f>'2012'!O13+'2012'!P13</f>
        <v>644.844</v>
      </c>
      <c r="J19" s="8">
        <f>'2012'!Q13+'2012'!S13+'2012'!T13+'2012'!Y13</f>
        <v>3135.2760000000003</v>
      </c>
      <c r="K19" s="18">
        <f>'2012'!U13+'2012'!V13+'2012'!W13</f>
        <v>185.45</v>
      </c>
      <c r="L19" s="190">
        <f>'2012'!Z13</f>
        <v>3965.57</v>
      </c>
      <c r="M19" s="11"/>
      <c r="N19" s="186">
        <f>'2012'!AB13</f>
        <v>202.60200000000032</v>
      </c>
      <c r="O19" s="44">
        <f>'2012'!AC13</f>
        <v>-1802.8599999999997</v>
      </c>
      <c r="P19" s="1"/>
      <c r="Q19" s="1"/>
    </row>
    <row r="20" spans="1:17" ht="12.75" hidden="1">
      <c r="A20" s="7" t="s">
        <v>26</v>
      </c>
      <c r="B20" s="50">
        <f>'2012'!B14</f>
        <v>741.2</v>
      </c>
      <c r="C20" s="50">
        <f>'2012'!C14</f>
        <v>5703.5340000000015</v>
      </c>
      <c r="D20" s="15">
        <f>'2012'!D14</f>
        <v>93.942</v>
      </c>
      <c r="E20" s="8">
        <f>'2012'!H14</f>
        <v>6530.12</v>
      </c>
      <c r="F20" s="16">
        <f>'2012'!L14</f>
        <v>9364.86</v>
      </c>
      <c r="G20" s="16">
        <f>'2012'!M14</f>
        <v>9458.802</v>
      </c>
      <c r="H20" s="11"/>
      <c r="I20" s="188">
        <f>'2012'!O14+'2012'!P14</f>
        <v>644.844</v>
      </c>
      <c r="J20" s="8">
        <f>'2012'!Q14+'2012'!S14+'2012'!T14+'2012'!Y14</f>
        <v>3135.2760000000003</v>
      </c>
      <c r="K20" s="18">
        <f>'2012'!U14+'2012'!V14+'2012'!W14</f>
        <v>0</v>
      </c>
      <c r="L20" s="190">
        <f>'2012'!Z14</f>
        <v>3780.1200000000003</v>
      </c>
      <c r="M20" s="11"/>
      <c r="N20" s="186">
        <f>'2012'!AB14</f>
        <v>5678.681999999999</v>
      </c>
      <c r="O20" s="44">
        <f>'2012'!AC14</f>
        <v>2834.7400000000007</v>
      </c>
      <c r="P20" s="1"/>
      <c r="Q20" s="1"/>
    </row>
    <row r="21" spans="1:17" ht="12.75" hidden="1">
      <c r="A21" s="7" t="s">
        <v>27</v>
      </c>
      <c r="B21" s="50">
        <f>'2012'!B15</f>
        <v>741.2</v>
      </c>
      <c r="C21" s="50">
        <f>'2012'!C15</f>
        <v>6337.260000000001</v>
      </c>
      <c r="D21" s="15">
        <f>'2012'!D15</f>
        <v>93.942</v>
      </c>
      <c r="E21" s="8">
        <f>'2012'!H15</f>
        <v>6530.12</v>
      </c>
      <c r="F21" s="16">
        <f>'2012'!L15</f>
        <v>6048.87</v>
      </c>
      <c r="G21" s="16">
        <f>'2012'!M15</f>
        <v>6142.812</v>
      </c>
      <c r="H21" s="11"/>
      <c r="I21" s="188">
        <f>'2012'!O15+'2012'!P15</f>
        <v>644.844</v>
      </c>
      <c r="J21" s="8">
        <f>'2012'!Q15+'2012'!S15+'2012'!T15+'2012'!Y15</f>
        <v>3135.2760000000003</v>
      </c>
      <c r="K21" s="18">
        <f>'2012'!U15+'2012'!V15+'2012'!W15</f>
        <v>0</v>
      </c>
      <c r="L21" s="190">
        <f>'2012'!Z15</f>
        <v>3780.1200000000003</v>
      </c>
      <c r="M21" s="11"/>
      <c r="N21" s="186">
        <f>'2012'!AB15</f>
        <v>2362.6919999999996</v>
      </c>
      <c r="O21" s="44">
        <f>'2012'!AC15</f>
        <v>-481.25</v>
      </c>
      <c r="P21" s="1"/>
      <c r="Q21" s="1"/>
    </row>
    <row r="22" spans="1:17" ht="12.75" hidden="1">
      <c r="A22" s="7" t="s">
        <v>28</v>
      </c>
      <c r="B22" s="50">
        <f>'2012'!B16</f>
        <v>741.2</v>
      </c>
      <c r="C22" s="50">
        <f>'2012'!C16</f>
        <v>6337.260000000001</v>
      </c>
      <c r="D22" s="15">
        <f>'2012'!D16</f>
        <v>93.942</v>
      </c>
      <c r="E22" s="8">
        <f>'2012'!H16</f>
        <v>6537.009999999999</v>
      </c>
      <c r="F22" s="16">
        <f>'2012'!L16</f>
        <v>5077.49</v>
      </c>
      <c r="G22" s="16">
        <f>'2012'!M16</f>
        <v>5171.432</v>
      </c>
      <c r="H22" s="11"/>
      <c r="I22" s="188">
        <f>'2012'!O16+'2012'!P16</f>
        <v>644.844</v>
      </c>
      <c r="J22" s="8">
        <f>'2012'!Q16+'2012'!S16+'2012'!T16+'2012'!Y16</f>
        <v>3135.2760000000003</v>
      </c>
      <c r="K22" s="18">
        <f>'2012'!U16+'2012'!V16+'2012'!W16</f>
        <v>0</v>
      </c>
      <c r="L22" s="190">
        <f>'2012'!Z16</f>
        <v>3780.1200000000003</v>
      </c>
      <c r="M22" s="11"/>
      <c r="N22" s="186">
        <f>'2012'!AB16</f>
        <v>1391.3119999999994</v>
      </c>
      <c r="O22" s="44">
        <f>'2012'!AC16</f>
        <v>-1459.5199999999995</v>
      </c>
      <c r="P22" s="1"/>
      <c r="Q22" s="1"/>
    </row>
    <row r="23" spans="1:17" ht="12.75" hidden="1">
      <c r="A23" s="7" t="s">
        <v>29</v>
      </c>
      <c r="B23" s="50">
        <f>'2012'!B17</f>
        <v>741.2</v>
      </c>
      <c r="C23" s="50">
        <f>'2012'!C17</f>
        <v>6337.260000000001</v>
      </c>
      <c r="D23" s="15">
        <f>'2012'!D17</f>
        <v>93.942</v>
      </c>
      <c r="E23" s="8">
        <f>'2012'!H17</f>
        <v>6538.67</v>
      </c>
      <c r="F23" s="16">
        <f>'2012'!L17</f>
        <v>6475.43</v>
      </c>
      <c r="G23" s="16">
        <f>'2012'!M17</f>
        <v>6569.372</v>
      </c>
      <c r="H23" s="11"/>
      <c r="I23" s="188">
        <f>'2012'!O17+'2012'!P17</f>
        <v>644.844</v>
      </c>
      <c r="J23" s="8">
        <f>'2012'!Q17+'2012'!S17+'2012'!T17+'2012'!Y17</f>
        <v>3135.2760000000003</v>
      </c>
      <c r="K23" s="18">
        <f>'2012'!U17+'2012'!V17+'2012'!W17</f>
        <v>0</v>
      </c>
      <c r="L23" s="190">
        <f>'2012'!Z17</f>
        <v>3780.1200000000003</v>
      </c>
      <c r="M23" s="11"/>
      <c r="N23" s="186">
        <f>'2012'!AB17</f>
        <v>2789.252</v>
      </c>
      <c r="O23" s="44">
        <f>'2012'!AC17</f>
        <v>-63.23999999999978</v>
      </c>
      <c r="P23" s="1"/>
      <c r="Q23" s="1"/>
    </row>
    <row r="24" spans="1:17" ht="12.75" hidden="1">
      <c r="A24" s="7" t="s">
        <v>30</v>
      </c>
      <c r="B24" s="50">
        <f>'2012'!B18</f>
        <v>741.2</v>
      </c>
      <c r="C24" s="50">
        <f>'2012'!C18</f>
        <v>6337.260000000001</v>
      </c>
      <c r="D24" s="15">
        <f>'2012'!D18</f>
        <v>93.942</v>
      </c>
      <c r="E24" s="8">
        <f>'2012'!H18</f>
        <v>6547.02</v>
      </c>
      <c r="F24" s="16">
        <f>'2012'!L18</f>
        <v>5535.57</v>
      </c>
      <c r="G24" s="16">
        <f>'2012'!M18</f>
        <v>5629.512</v>
      </c>
      <c r="H24" s="11"/>
      <c r="I24" s="188">
        <f>'2012'!O18+'2012'!P18</f>
        <v>644.844</v>
      </c>
      <c r="J24" s="8">
        <f>'2012'!Q18+'2012'!S18+'2012'!T18+'2012'!Y18</f>
        <v>3135.2760000000003</v>
      </c>
      <c r="K24" s="18">
        <f>'2012'!U18+'2012'!V18+'2012'!W18</f>
        <v>0</v>
      </c>
      <c r="L24" s="190">
        <f>'2012'!Z18</f>
        <v>3780.1200000000003</v>
      </c>
      <c r="M24" s="11"/>
      <c r="N24" s="186">
        <f>'2012'!AB18</f>
        <v>1849.3919999999994</v>
      </c>
      <c r="O24" s="44">
        <f>'2012'!AC18</f>
        <v>-1011.4500000000007</v>
      </c>
      <c r="P24" s="1"/>
      <c r="Q24" s="1"/>
    </row>
    <row r="25" spans="1:17" ht="12.75" hidden="1">
      <c r="A25" s="7" t="s">
        <v>19</v>
      </c>
      <c r="B25" s="50">
        <f>'2012'!B19</f>
        <v>741.2</v>
      </c>
      <c r="C25" s="50">
        <f>'2012'!C19</f>
        <v>6337.260000000001</v>
      </c>
      <c r="D25" s="15">
        <f>'2012'!D19</f>
        <v>93.942</v>
      </c>
      <c r="E25" s="8">
        <f>'2012'!H19</f>
        <v>6570.030000000001</v>
      </c>
      <c r="F25" s="16">
        <f>'2012'!L19</f>
        <v>6827.63</v>
      </c>
      <c r="G25" s="16">
        <f>'2012'!M19</f>
        <v>6921.572</v>
      </c>
      <c r="H25" s="11"/>
      <c r="I25" s="188">
        <f>'2012'!O19+'2012'!P19</f>
        <v>644.844</v>
      </c>
      <c r="J25" s="8">
        <f>'2012'!Q19+'2012'!S19+'2012'!T19+'2012'!Y19</f>
        <v>3135.2760000000003</v>
      </c>
      <c r="K25" s="18">
        <f>'2012'!U19+'2012'!V19+'2012'!W19</f>
        <v>0</v>
      </c>
      <c r="L25" s="190">
        <f>'2012'!Z19</f>
        <v>3780.1200000000003</v>
      </c>
      <c r="M25" s="11"/>
      <c r="N25" s="186">
        <f>'2012'!AB19</f>
        <v>3141.4519999999998</v>
      </c>
      <c r="O25" s="44">
        <f>'2012'!AC19</f>
        <v>257.59999999999945</v>
      </c>
      <c r="P25" s="1"/>
      <c r="Q25" s="1"/>
    </row>
    <row r="26" spans="1:17" ht="12.75" hidden="1">
      <c r="A26" s="7" t="s">
        <v>20</v>
      </c>
      <c r="B26" s="50">
        <f>'2012'!B20</f>
        <v>741.2</v>
      </c>
      <c r="C26" s="50">
        <f>'2012'!C20</f>
        <v>6337.260000000001</v>
      </c>
      <c r="D26" s="15">
        <f>'2012'!D20</f>
        <v>93.942</v>
      </c>
      <c r="E26" s="8">
        <f>'2012'!H20</f>
        <v>6570.02</v>
      </c>
      <c r="F26" s="16">
        <f>'2012'!L20</f>
        <v>5805.009999999999</v>
      </c>
      <c r="G26" s="16">
        <f>'2012'!M20</f>
        <v>5898.951999999999</v>
      </c>
      <c r="H26" s="11"/>
      <c r="I26" s="188">
        <f>'2012'!O20+'2012'!P20</f>
        <v>644.844</v>
      </c>
      <c r="J26" s="8">
        <f>'2012'!Q20+'2012'!S20+'2012'!T20+'2012'!Y20</f>
        <v>3135.2760000000003</v>
      </c>
      <c r="K26" s="18">
        <f>'2012'!U20+'2012'!V20+'2012'!W20</f>
        <v>0</v>
      </c>
      <c r="L26" s="190">
        <f>'2012'!Z20</f>
        <v>3780.1200000000003</v>
      </c>
      <c r="M26" s="11"/>
      <c r="N26" s="186">
        <f>'2012'!AB20</f>
        <v>2118.831999999999</v>
      </c>
      <c r="O26" s="44">
        <f>'2012'!AC20</f>
        <v>-765.0100000000011</v>
      </c>
      <c r="P26" s="1"/>
      <c r="Q26" s="1"/>
    </row>
    <row r="27" spans="1:17" ht="13.5" hidden="1" thickBot="1">
      <c r="A27" s="214" t="s">
        <v>21</v>
      </c>
      <c r="B27" s="215">
        <f>'2012'!B21</f>
        <v>741.2</v>
      </c>
      <c r="C27" s="215">
        <f>'2012'!C21</f>
        <v>6337.260000000001</v>
      </c>
      <c r="D27" s="216">
        <f>'2012'!D21</f>
        <v>93.942</v>
      </c>
      <c r="E27" s="217">
        <f>'2012'!H21</f>
        <v>7072.570000000001</v>
      </c>
      <c r="F27" s="218">
        <f>'2012'!L21</f>
        <v>7852.8099999999995</v>
      </c>
      <c r="G27" s="218">
        <f>'2012'!M21</f>
        <v>7946.7519999999995</v>
      </c>
      <c r="H27" s="219"/>
      <c r="I27" s="220">
        <f>'2012'!O21+'2012'!P21</f>
        <v>644.844</v>
      </c>
      <c r="J27" s="217">
        <f>'2012'!Q21+'2012'!S21+'2012'!T21+'2012'!Y21</f>
        <v>3135.2760000000003</v>
      </c>
      <c r="K27" s="221">
        <f>'2012'!U21+'2012'!V21+'2012'!W21</f>
        <v>4693</v>
      </c>
      <c r="L27" s="222">
        <f>'2012'!Z21</f>
        <v>8473.12</v>
      </c>
      <c r="M27" s="219"/>
      <c r="N27" s="223">
        <f>'2012'!AB21</f>
        <v>-526.3680000000013</v>
      </c>
      <c r="O27" s="224">
        <f>'2012'!AC21</f>
        <v>780.2399999999989</v>
      </c>
      <c r="P27" s="1"/>
      <c r="Q27" s="1"/>
    </row>
    <row r="28" spans="1:17" s="10" customFormat="1" ht="13.5" hidden="1" thickBot="1">
      <c r="A28" s="201" t="s">
        <v>4</v>
      </c>
      <c r="B28" s="202"/>
      <c r="C28" s="189">
        <f aca="true" t="shared" si="0" ref="C28:O28">SUM(C16:C27)</f>
        <v>72878.49</v>
      </c>
      <c r="D28" s="189">
        <f t="shared" si="0"/>
        <v>1127.3039999999999</v>
      </c>
      <c r="E28" s="189">
        <f t="shared" si="0"/>
        <v>76401.23000000001</v>
      </c>
      <c r="F28" s="189">
        <f t="shared" si="0"/>
        <v>70131.95</v>
      </c>
      <c r="G28" s="189">
        <f t="shared" si="0"/>
        <v>71259.254</v>
      </c>
      <c r="H28" s="189">
        <v>0</v>
      </c>
      <c r="I28" s="189">
        <f t="shared" si="0"/>
        <v>7738.128000000001</v>
      </c>
      <c r="J28" s="189">
        <f t="shared" si="0"/>
        <v>37623.312000000005</v>
      </c>
      <c r="K28" s="189">
        <f t="shared" si="0"/>
        <v>7600.33</v>
      </c>
      <c r="L28" s="189">
        <f t="shared" si="0"/>
        <v>52961.77000000001</v>
      </c>
      <c r="M28" s="189">
        <v>0</v>
      </c>
      <c r="N28" s="189">
        <f t="shared" si="0"/>
        <v>18297.483999999993</v>
      </c>
      <c r="O28" s="189">
        <f t="shared" si="0"/>
        <v>-6269.280000000003</v>
      </c>
      <c r="P28" s="42"/>
      <c r="Q28" s="42"/>
    </row>
    <row r="29" spans="1:17" ht="13.5" hidden="1" thickBot="1">
      <c r="A29" s="290" t="s">
        <v>41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47"/>
      <c r="P29" s="1"/>
      <c r="Q29" s="1"/>
    </row>
    <row r="30" spans="1:17" s="10" customFormat="1" ht="13.5" thickBot="1">
      <c r="A30" s="48" t="s">
        <v>31</v>
      </c>
      <c r="B30" s="24"/>
      <c r="C30" s="25">
        <f>C14+C28</f>
        <v>194980.16</v>
      </c>
      <c r="D30" s="23">
        <f aca="true" t="shared" si="1" ref="D30:O30">D14+D28</f>
        <v>19487.821735090016</v>
      </c>
      <c r="E30" s="24">
        <f t="shared" si="1"/>
        <v>179019.08000000002</v>
      </c>
      <c r="F30" s="23">
        <f t="shared" si="1"/>
        <v>149947.59999999998</v>
      </c>
      <c r="G30" s="25">
        <f t="shared" si="1"/>
        <v>186517.68173508998</v>
      </c>
      <c r="H30" s="185"/>
      <c r="I30" s="23">
        <f t="shared" si="1"/>
        <v>19031.238334400005</v>
      </c>
      <c r="J30" s="24">
        <f t="shared" si="1"/>
        <v>100088.37302635041</v>
      </c>
      <c r="K30" s="24">
        <f t="shared" si="1"/>
        <v>63586.0224</v>
      </c>
      <c r="L30" s="46">
        <f t="shared" si="1"/>
        <v>182705.6337607504</v>
      </c>
      <c r="M30" s="185"/>
      <c r="N30" s="45">
        <f t="shared" si="1"/>
        <v>3820.6519743396093</v>
      </c>
      <c r="O30" s="45">
        <f t="shared" si="1"/>
        <v>-29071.480000000014</v>
      </c>
      <c r="P30" s="43"/>
      <c r="Q30" s="42"/>
    </row>
    <row r="31" spans="1:17" ht="12.75">
      <c r="A31" s="6" t="s">
        <v>63</v>
      </c>
      <c r="B31" s="26"/>
      <c r="C31" s="27"/>
      <c r="D31" s="28"/>
      <c r="E31" s="29"/>
      <c r="F31" s="30"/>
      <c r="G31" s="31"/>
      <c r="H31" s="187"/>
      <c r="I31" s="30"/>
      <c r="J31" s="8"/>
      <c r="K31" s="18"/>
      <c r="L31" s="17"/>
      <c r="M31" s="186"/>
      <c r="N31" s="44"/>
      <c r="O31" s="44"/>
      <c r="P31" s="1"/>
      <c r="Q31" s="1"/>
    </row>
    <row r="32" spans="1:17" ht="12.75">
      <c r="A32" s="7" t="s">
        <v>22</v>
      </c>
      <c r="B32" s="50">
        <f>'2012'!B26</f>
        <v>741.2</v>
      </c>
      <c r="C32" s="50">
        <f>'2012'!C26</f>
        <v>6337.260000000001</v>
      </c>
      <c r="D32" s="15">
        <f>'2012'!D26</f>
        <v>93.942</v>
      </c>
      <c r="E32" s="8">
        <f>'2012'!H26</f>
        <v>6591.780000000001</v>
      </c>
      <c r="F32" s="16">
        <f>'2012'!L26</f>
        <v>6663.59</v>
      </c>
      <c r="G32" s="16">
        <f>'2012'!M26</f>
        <v>6757.532</v>
      </c>
      <c r="H32" s="16">
        <f>'2012'!N26</f>
        <v>0</v>
      </c>
      <c r="I32" s="16">
        <f>'2012'!O26+'2012'!P26</f>
        <v>644.844</v>
      </c>
      <c r="J32" s="8">
        <f>'2012'!Q26+'2012'!R26</f>
        <v>3290.9280000000003</v>
      </c>
      <c r="K32" s="18">
        <f>'2012'!U26+'2012'!V26+'2012'!W26</f>
        <v>0</v>
      </c>
      <c r="L32" s="17">
        <f>'2012'!Z26</f>
        <v>3935.7720000000004</v>
      </c>
      <c r="M32" s="186">
        <f>'2012'!AA26</f>
        <v>0</v>
      </c>
      <c r="N32" s="44">
        <f>'2012'!AB26</f>
        <v>2821.7599999999998</v>
      </c>
      <c r="O32" s="44">
        <f>'2012'!AC26</f>
        <v>71.80999999999949</v>
      </c>
      <c r="P32" s="1"/>
      <c r="Q32" s="1"/>
    </row>
    <row r="33" spans="1:17" ht="12.75">
      <c r="A33" s="7" t="s">
        <v>23</v>
      </c>
      <c r="B33" s="50">
        <f>'2012'!B27</f>
        <v>741.2</v>
      </c>
      <c r="C33" s="50">
        <f>'2012'!C27</f>
        <v>6337.260000000001</v>
      </c>
      <c r="D33" s="15">
        <f>'2012'!D27</f>
        <v>93.942</v>
      </c>
      <c r="E33" s="8">
        <f>'2012'!H27</f>
        <v>6594.88</v>
      </c>
      <c r="F33" s="16">
        <f>'2012'!L27</f>
        <v>5722.61</v>
      </c>
      <c r="G33" s="16">
        <f>'2012'!M27</f>
        <v>5816.552</v>
      </c>
      <c r="H33" s="16">
        <f>'2012'!N27</f>
        <v>0</v>
      </c>
      <c r="I33" s="16">
        <f>'2012'!O27+'2012'!P27</f>
        <v>644.844</v>
      </c>
      <c r="J33" s="8">
        <f>'2012'!Q27+'2012'!R27</f>
        <v>3290.9280000000003</v>
      </c>
      <c r="K33" s="18">
        <f>'2012'!U27+'2012'!V27+'2012'!W27</f>
        <v>201.7</v>
      </c>
      <c r="L33" s="17">
        <f>'2012'!Z27</f>
        <v>4137.472000000001</v>
      </c>
      <c r="M33" s="186">
        <f>'2012'!AA27</f>
        <v>0</v>
      </c>
      <c r="N33" s="44">
        <f>'2012'!AB27</f>
        <v>1679.079999999999</v>
      </c>
      <c r="O33" s="44">
        <f>'2012'!AC27</f>
        <v>-872.2700000000004</v>
      </c>
      <c r="P33" s="1"/>
      <c r="Q33" s="1"/>
    </row>
    <row r="34" spans="1:17" ht="12.75">
      <c r="A34" s="7" t="s">
        <v>24</v>
      </c>
      <c r="B34" s="50">
        <f>'2012'!B28</f>
        <v>741.2</v>
      </c>
      <c r="C34" s="50">
        <f>'2012'!C28</f>
        <v>6337.260000000001</v>
      </c>
      <c r="D34" s="15">
        <f>'2012'!D28</f>
        <v>93.942</v>
      </c>
      <c r="E34" s="8">
        <f>'2012'!H28</f>
        <v>6595.87</v>
      </c>
      <c r="F34" s="16">
        <f>'2012'!L28</f>
        <v>8783.96</v>
      </c>
      <c r="G34" s="16">
        <f>'2012'!M28</f>
        <v>8877.901999999998</v>
      </c>
      <c r="H34" s="16">
        <f>'2012'!N28</f>
        <v>0</v>
      </c>
      <c r="I34" s="16">
        <f>'2012'!O28+'2012'!P28</f>
        <v>644.844</v>
      </c>
      <c r="J34" s="8">
        <f>'2012'!Q28+'2012'!R28</f>
        <v>3290.9280000000003</v>
      </c>
      <c r="K34" s="18">
        <f>'2012'!U28+'2012'!V28+'2012'!W28</f>
        <v>18</v>
      </c>
      <c r="L34" s="17">
        <f>'2012'!Z28</f>
        <v>3953.7720000000004</v>
      </c>
      <c r="M34" s="186">
        <f>'2012'!AA28</f>
        <v>0</v>
      </c>
      <c r="N34" s="44">
        <f>'2012'!AB28</f>
        <v>4924.129999999997</v>
      </c>
      <c r="O34" s="44">
        <f>'2012'!AC28</f>
        <v>2188.0899999999992</v>
      </c>
      <c r="P34" s="1"/>
      <c r="Q34" s="1"/>
    </row>
    <row r="35" spans="1:17" ht="12.75">
      <c r="A35" s="7" t="s">
        <v>25</v>
      </c>
      <c r="B35" s="50">
        <f>'2012'!B29</f>
        <v>741.2</v>
      </c>
      <c r="C35" s="50">
        <f>'2012'!C29</f>
        <v>6337.260000000001</v>
      </c>
      <c r="D35" s="15">
        <f>'2012'!D29</f>
        <v>93.942</v>
      </c>
      <c r="E35" s="8">
        <f>'2012'!H29</f>
        <v>6595.87</v>
      </c>
      <c r="F35" s="16">
        <f>'2012'!L29</f>
        <v>5444.36</v>
      </c>
      <c r="G35" s="16">
        <f>'2012'!M29</f>
        <v>5538.302</v>
      </c>
      <c r="H35" s="16">
        <f>'2012'!N29</f>
        <v>0</v>
      </c>
      <c r="I35" s="16">
        <f>'2012'!O29+'2012'!P29</f>
        <v>644.844</v>
      </c>
      <c r="J35" s="8">
        <f>'2012'!Q29+'2012'!R29</f>
        <v>3290.9280000000003</v>
      </c>
      <c r="K35" s="18">
        <f>'2012'!U29+'2012'!V29+'2012'!W29</f>
        <v>394.29</v>
      </c>
      <c r="L35" s="17">
        <f>'2012'!Z29</f>
        <v>4330.062000000001</v>
      </c>
      <c r="M35" s="186">
        <f>'2012'!AA29</f>
        <v>0</v>
      </c>
      <c r="N35" s="44">
        <f>'2012'!AB29</f>
        <v>1208.2399999999989</v>
      </c>
      <c r="O35" s="44">
        <f>'2012'!AC29</f>
        <v>-1151.5100000000002</v>
      </c>
      <c r="P35" s="1"/>
      <c r="Q35" s="1"/>
    </row>
    <row r="36" spans="1:17" ht="12.75">
      <c r="A36" s="7" t="s">
        <v>26</v>
      </c>
      <c r="B36" s="50">
        <f>'2012'!B30</f>
        <v>741.2</v>
      </c>
      <c r="C36" s="50">
        <f>'2012'!C30</f>
        <v>6337.260000000001</v>
      </c>
      <c r="D36" s="15">
        <f>'2012'!D30</f>
        <v>93.942</v>
      </c>
      <c r="E36" s="8">
        <f>'2012'!H30</f>
        <v>6595.87</v>
      </c>
      <c r="F36" s="16">
        <f>'2012'!L30</f>
        <v>4954.66</v>
      </c>
      <c r="G36" s="16">
        <f>'2012'!M30</f>
        <v>5048.602</v>
      </c>
      <c r="H36" s="16">
        <f>'2012'!N30</f>
        <v>0</v>
      </c>
      <c r="I36" s="16">
        <f>'2012'!O30+'2012'!P30</f>
        <v>644.844</v>
      </c>
      <c r="J36" s="8">
        <f>'2012'!Q30+'2012'!R30</f>
        <v>3290.9280000000003</v>
      </c>
      <c r="K36" s="18">
        <f>'2012'!U30+'2012'!V30+'2012'!W30</f>
        <v>0</v>
      </c>
      <c r="L36" s="17">
        <f>'2012'!Z30</f>
        <v>3935.7720000000004</v>
      </c>
      <c r="M36" s="186">
        <f>'2012'!AA30</f>
        <v>0</v>
      </c>
      <c r="N36" s="44">
        <f>'2012'!AB30</f>
        <v>1112.8299999999995</v>
      </c>
      <c r="O36" s="44">
        <f>'2012'!AC30</f>
        <v>-1641.21</v>
      </c>
      <c r="P36" s="1"/>
      <c r="Q36" s="1"/>
    </row>
    <row r="37" spans="1:17" ht="12.75">
      <c r="A37" s="7" t="s">
        <v>27</v>
      </c>
      <c r="B37" s="50">
        <f>'2012'!B31</f>
        <v>741.2</v>
      </c>
      <c r="C37" s="50">
        <f>'2012'!C31</f>
        <v>6337.260000000001</v>
      </c>
      <c r="D37" s="15">
        <f>'2012'!D31</f>
        <v>93.942</v>
      </c>
      <c r="E37" s="8">
        <f>'2012'!H31</f>
        <v>6595.87</v>
      </c>
      <c r="F37" s="16">
        <f>'2012'!L31</f>
        <v>7778.21</v>
      </c>
      <c r="G37" s="16">
        <f>'2012'!M31</f>
        <v>7872.152</v>
      </c>
      <c r="H37" s="16">
        <f>'2012'!N31</f>
        <v>0</v>
      </c>
      <c r="I37" s="16">
        <f>'2012'!O31+'2012'!P31</f>
        <v>644.844</v>
      </c>
      <c r="J37" s="8">
        <f>'2012'!Q31+'2012'!R31</f>
        <v>3290.9280000000003</v>
      </c>
      <c r="K37" s="18">
        <f>'2012'!U31+'2012'!V31+'2012'!W31</f>
        <v>0</v>
      </c>
      <c r="L37" s="17">
        <f>'2012'!Z31</f>
        <v>3935.7720000000004</v>
      </c>
      <c r="M37" s="186">
        <f>'2012'!AA31</f>
        <v>0</v>
      </c>
      <c r="N37" s="44">
        <f>'2012'!AB31</f>
        <v>3936.3799999999997</v>
      </c>
      <c r="O37" s="44">
        <f>'2012'!AC31</f>
        <v>1182.3400000000001</v>
      </c>
      <c r="P37" s="1"/>
      <c r="Q37" s="1"/>
    </row>
    <row r="38" spans="1:17" ht="12.75">
      <c r="A38" s="7" t="s">
        <v>28</v>
      </c>
      <c r="B38" s="50">
        <f>'2012'!B32</f>
        <v>741.2</v>
      </c>
      <c r="C38" s="50">
        <f>'2012'!C32</f>
        <v>7048.812</v>
      </c>
      <c r="D38" s="15">
        <f>'2012'!D32</f>
        <v>125.7165</v>
      </c>
      <c r="E38" s="8">
        <f>'2012'!H32</f>
        <v>7048.81</v>
      </c>
      <c r="F38" s="16">
        <f>'2012'!L32</f>
        <v>3930.41</v>
      </c>
      <c r="G38" s="16">
        <f>'2012'!M32</f>
        <v>4056.1265</v>
      </c>
      <c r="H38" s="16">
        <f>'2012'!N32</f>
        <v>0</v>
      </c>
      <c r="I38" s="16">
        <f>'2012'!O32+'2012'!P32</f>
        <v>644.844</v>
      </c>
      <c r="J38" s="8">
        <f>'2012'!Q32+'2012'!R32</f>
        <v>3290.9280000000003</v>
      </c>
      <c r="K38" s="18">
        <f>'2012'!U32+'2012'!V32+'2012'!W32</f>
        <v>0</v>
      </c>
      <c r="L38" s="17">
        <f>'2012'!Z32</f>
        <v>3935.7720000000004</v>
      </c>
      <c r="M38" s="186">
        <f>'2012'!AA32</f>
        <v>0</v>
      </c>
      <c r="N38" s="44">
        <f>'2012'!AB32</f>
        <v>120.35449999999946</v>
      </c>
      <c r="O38" s="44">
        <f>'2012'!AC32</f>
        <v>-3118.4000000000005</v>
      </c>
      <c r="P38" s="1"/>
      <c r="Q38" s="1"/>
    </row>
    <row r="39" spans="1:17" ht="12.75">
      <c r="A39" s="7" t="s">
        <v>29</v>
      </c>
      <c r="B39" s="50">
        <f>'2012'!B33</f>
        <v>741.2</v>
      </c>
      <c r="C39" s="50">
        <f>'2012'!C33</f>
        <v>7048.812</v>
      </c>
      <c r="D39" s="15">
        <f>'2012'!D33</f>
        <v>0</v>
      </c>
      <c r="E39" s="8">
        <f>'2012'!H33</f>
        <v>7048.81</v>
      </c>
      <c r="F39" s="16">
        <f>'2012'!L33</f>
        <v>6692.5599999999995</v>
      </c>
      <c r="G39" s="16">
        <f>'2012'!M33</f>
        <v>6692.5599999999995</v>
      </c>
      <c r="H39" s="16">
        <f>'2012'!N33</f>
        <v>0</v>
      </c>
      <c r="I39" s="16">
        <f>'2012'!O33+'2012'!P33</f>
        <v>644.844</v>
      </c>
      <c r="J39" s="8">
        <f>'2012'!Q33+'2012'!R33</f>
        <v>3290.9280000000003</v>
      </c>
      <c r="K39" s="18">
        <f>'2012'!U33+'2012'!V33+'2012'!W33</f>
        <v>0</v>
      </c>
      <c r="L39" s="17">
        <f>'2012'!Z33</f>
        <v>3935.7720000000004</v>
      </c>
      <c r="M39" s="186">
        <f>'2012'!AA33</f>
        <v>0</v>
      </c>
      <c r="N39" s="44">
        <f>'2012'!AB33</f>
        <v>2756.787999999999</v>
      </c>
      <c r="O39" s="44">
        <f>'2012'!AC33</f>
        <v>-356.2500000000009</v>
      </c>
      <c r="P39" s="1"/>
      <c r="Q39" s="1"/>
    </row>
    <row r="40" spans="1:17" ht="12.75">
      <c r="A40" s="7" t="s">
        <v>30</v>
      </c>
      <c r="B40" s="50">
        <f>'2012'!B34</f>
        <v>741.2</v>
      </c>
      <c r="C40" s="50">
        <f>'2012'!C34</f>
        <v>7048.812</v>
      </c>
      <c r="D40" s="15">
        <f>'2012'!D34</f>
        <v>0</v>
      </c>
      <c r="E40" s="8">
        <f>'2012'!H34</f>
        <v>7048.81</v>
      </c>
      <c r="F40" s="16">
        <f>'2012'!L34</f>
        <v>-3150.7400000000002</v>
      </c>
      <c r="G40" s="16">
        <f>'2012'!M34</f>
        <v>-3150.7400000000002</v>
      </c>
      <c r="H40" s="16">
        <f>'2012'!N34</f>
        <v>0</v>
      </c>
      <c r="I40" s="16">
        <f>'2012'!O34+'2012'!P34</f>
        <v>644.844</v>
      </c>
      <c r="J40" s="8">
        <f>'2012'!Q34+'2012'!R34</f>
        <v>3290.9280000000003</v>
      </c>
      <c r="K40" s="18">
        <f>'2012'!U34+'2012'!V34+'2012'!W34</f>
        <v>299</v>
      </c>
      <c r="L40" s="17">
        <f>'2012'!Z34</f>
        <v>4234.772000000001</v>
      </c>
      <c r="M40" s="186">
        <f>'2012'!AA34</f>
        <v>0</v>
      </c>
      <c r="N40" s="44">
        <f>'2012'!AB34</f>
        <v>-7385.512000000001</v>
      </c>
      <c r="O40" s="44">
        <f>'2012'!AC34</f>
        <v>-10199.550000000001</v>
      </c>
      <c r="P40" s="1"/>
      <c r="Q40" s="1"/>
    </row>
    <row r="41" spans="1:17" ht="12.75">
      <c r="A41" s="7" t="s">
        <v>19</v>
      </c>
      <c r="B41" s="50">
        <f>'2012'!B35</f>
        <v>741.2</v>
      </c>
      <c r="C41" s="50">
        <f>'2012'!C35</f>
        <v>7048.812</v>
      </c>
      <c r="D41" s="15">
        <f>'2012'!D35</f>
        <v>0</v>
      </c>
      <c r="E41" s="8">
        <f>'2012'!H35</f>
        <v>7048.81</v>
      </c>
      <c r="F41" s="16">
        <f>'2012'!L35</f>
        <v>4499.45</v>
      </c>
      <c r="G41" s="16">
        <f>'2012'!M35</f>
        <v>4499.45</v>
      </c>
      <c r="H41" s="16">
        <f>'2012'!N35</f>
        <v>0</v>
      </c>
      <c r="I41" s="16">
        <f>'2012'!O35+'2012'!P35</f>
        <v>644.844</v>
      </c>
      <c r="J41" s="8">
        <f>'2012'!Q35+'2012'!R35</f>
        <v>3290.9280000000003</v>
      </c>
      <c r="K41" s="18">
        <f>'2012'!U35+'2012'!V35+'2012'!W35</f>
        <v>12661</v>
      </c>
      <c r="L41" s="17">
        <f>'2012'!Z35</f>
        <v>16596.772</v>
      </c>
      <c r="M41" s="186">
        <f>'2012'!AA35</f>
        <v>0</v>
      </c>
      <c r="N41" s="44">
        <f>'2012'!AB35</f>
        <v>-12097.322</v>
      </c>
      <c r="O41" s="44">
        <f>'2012'!AC35</f>
        <v>-2549.3600000000006</v>
      </c>
      <c r="P41" s="1"/>
      <c r="Q41" s="1"/>
    </row>
    <row r="42" spans="1:17" ht="12.75">
      <c r="A42" s="7" t="s">
        <v>20</v>
      </c>
      <c r="B42" s="50">
        <f>'2012'!B36</f>
        <v>741.2</v>
      </c>
      <c r="C42" s="50">
        <f>'2012'!C36</f>
        <v>7048.812</v>
      </c>
      <c r="D42" s="15">
        <f>'2012'!D36</f>
        <v>0</v>
      </c>
      <c r="E42" s="8">
        <f>'2012'!H36</f>
        <v>7048.81</v>
      </c>
      <c r="F42" s="16">
        <f>'2012'!L36</f>
        <v>9764.2</v>
      </c>
      <c r="G42" s="16">
        <f>'2012'!M36</f>
        <v>9764.2</v>
      </c>
      <c r="H42" s="16">
        <f>'2012'!N36</f>
        <v>114</v>
      </c>
      <c r="I42" s="16">
        <f>'2012'!O36+'2012'!P36</f>
        <v>644.844</v>
      </c>
      <c r="J42" s="8">
        <f>'2012'!Q36+'2012'!R36</f>
        <v>3290.9280000000003</v>
      </c>
      <c r="K42" s="18">
        <f>'2012'!U36+'2012'!V36+'2012'!W36</f>
        <v>801.99</v>
      </c>
      <c r="L42" s="17">
        <f>'2012'!Z36</f>
        <v>4737.762000000001</v>
      </c>
      <c r="M42" s="186">
        <f>'2012'!AA36</f>
        <v>28.5</v>
      </c>
      <c r="N42" s="44">
        <f>'2012'!AB36</f>
        <v>5111.938</v>
      </c>
      <c r="O42" s="44">
        <f>'2012'!AC36</f>
        <v>2715.3900000000003</v>
      </c>
      <c r="P42" s="1"/>
      <c r="Q42" s="1"/>
    </row>
    <row r="43" spans="1:17" ht="13.5" thickBot="1">
      <c r="A43" s="19" t="s">
        <v>21</v>
      </c>
      <c r="B43" s="50">
        <f>'2012'!B37</f>
        <v>741.2</v>
      </c>
      <c r="C43" s="50">
        <f>'2012'!C37</f>
        <v>7048.812</v>
      </c>
      <c r="D43" s="15">
        <f>'2012'!D37</f>
        <v>0</v>
      </c>
      <c r="E43" s="8">
        <f>'2012'!H37</f>
        <v>7048.81</v>
      </c>
      <c r="F43" s="16">
        <f>'2012'!L37</f>
        <v>5466.999999999999</v>
      </c>
      <c r="G43" s="16">
        <f>'2012'!M37</f>
        <v>5466.999999999999</v>
      </c>
      <c r="H43" s="16">
        <f>'2012'!N37</f>
        <v>114</v>
      </c>
      <c r="I43" s="16">
        <f>'2012'!O37+'2012'!P37</f>
        <v>644.844</v>
      </c>
      <c r="J43" s="8">
        <f>'2012'!Q37+'2012'!R37</f>
        <v>3290.9280000000003</v>
      </c>
      <c r="K43" s="18">
        <f>'2012'!U37+'2012'!V37+'2012'!W37</f>
        <v>0</v>
      </c>
      <c r="L43" s="17">
        <f>'2012'!Z37</f>
        <v>3935.7720000000004</v>
      </c>
      <c r="M43" s="186">
        <f>'2012'!AA37</f>
        <v>28.5</v>
      </c>
      <c r="N43" s="44">
        <f>'2012'!AB37</f>
        <v>1616.7279999999987</v>
      </c>
      <c r="O43" s="44">
        <f>'2012'!AC37</f>
        <v>-1581.8100000000013</v>
      </c>
      <c r="P43" s="1"/>
      <c r="Q43" s="1"/>
    </row>
    <row r="44" spans="1:17" s="10" customFormat="1" ht="13.5" thickBot="1">
      <c r="A44" s="20" t="s">
        <v>4</v>
      </c>
      <c r="B44" s="21"/>
      <c r="C44" s="22">
        <f aca="true" t="shared" si="2" ref="C44:O44">SUM(C32:C43)</f>
        <v>80316.43200000002</v>
      </c>
      <c r="D44" s="22">
        <f t="shared" si="2"/>
        <v>689.3684999999999</v>
      </c>
      <c r="E44" s="22">
        <f t="shared" si="2"/>
        <v>81862.99999999999</v>
      </c>
      <c r="F44" s="22">
        <f t="shared" si="2"/>
        <v>66550.27</v>
      </c>
      <c r="G44" s="22">
        <f t="shared" si="2"/>
        <v>67239.63849999999</v>
      </c>
      <c r="H44" s="22">
        <f t="shared" si="2"/>
        <v>228</v>
      </c>
      <c r="I44" s="22">
        <f t="shared" si="2"/>
        <v>7738.128000000001</v>
      </c>
      <c r="J44" s="22">
        <f t="shared" si="2"/>
        <v>39491.136000000006</v>
      </c>
      <c r="K44" s="22">
        <f t="shared" si="2"/>
        <v>14375.98</v>
      </c>
      <c r="L44" s="22">
        <f t="shared" si="2"/>
        <v>61605.244000000006</v>
      </c>
      <c r="M44" s="22">
        <f t="shared" si="2"/>
        <v>57</v>
      </c>
      <c r="N44" s="22">
        <f t="shared" si="2"/>
        <v>5805.394499999991</v>
      </c>
      <c r="O44" s="22">
        <f t="shared" si="2"/>
        <v>-15312.730000000007</v>
      </c>
      <c r="P44" s="42"/>
      <c r="Q44" s="42"/>
    </row>
    <row r="45" spans="1:17" ht="13.5" thickBot="1">
      <c r="A45" s="290" t="s">
        <v>41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47"/>
      <c r="P45" s="1"/>
      <c r="Q45" s="1"/>
    </row>
    <row r="46" spans="1:17" s="10" customFormat="1" ht="13.5" thickBot="1">
      <c r="A46" s="48" t="s">
        <v>31</v>
      </c>
      <c r="B46" s="24"/>
      <c r="C46" s="45">
        <f aca="true" t="shared" si="3" ref="C46:O46">C30+C44</f>
        <v>275296.592</v>
      </c>
      <c r="D46" s="45">
        <f t="shared" si="3"/>
        <v>20177.190235090016</v>
      </c>
      <c r="E46" s="45">
        <f t="shared" si="3"/>
        <v>260882.08000000002</v>
      </c>
      <c r="F46" s="45">
        <f t="shared" si="3"/>
        <v>216497.87</v>
      </c>
      <c r="G46" s="45">
        <f t="shared" si="3"/>
        <v>253757.32023508998</v>
      </c>
      <c r="H46" s="45">
        <f t="shared" si="3"/>
        <v>228</v>
      </c>
      <c r="I46" s="45">
        <f t="shared" si="3"/>
        <v>26769.366334400005</v>
      </c>
      <c r="J46" s="45">
        <f t="shared" si="3"/>
        <v>139579.50902635042</v>
      </c>
      <c r="K46" s="45">
        <f t="shared" si="3"/>
        <v>77962.0024</v>
      </c>
      <c r="L46" s="45">
        <f t="shared" si="3"/>
        <v>244310.87776075042</v>
      </c>
      <c r="M46" s="45">
        <f t="shared" si="3"/>
        <v>57</v>
      </c>
      <c r="N46" s="45">
        <f t="shared" si="3"/>
        <v>9626.0464743396</v>
      </c>
      <c r="O46" s="45">
        <f t="shared" si="3"/>
        <v>-44384.21000000002</v>
      </c>
      <c r="P46" s="43"/>
      <c r="Q46" s="42"/>
    </row>
    <row r="48" spans="1:17" ht="12.75">
      <c r="A48" s="10" t="s">
        <v>51</v>
      </c>
      <c r="D48" s="51" t="s">
        <v>70</v>
      </c>
      <c r="P48" s="1"/>
      <c r="Q48" s="1"/>
    </row>
    <row r="49" spans="1:17" ht="12.75">
      <c r="A49" s="11" t="s">
        <v>42</v>
      </c>
      <c r="B49" s="11" t="s">
        <v>43</v>
      </c>
      <c r="C49" s="316" t="s">
        <v>44</v>
      </c>
      <c r="D49" s="316"/>
      <c r="P49" s="1"/>
      <c r="Q49" s="1"/>
    </row>
    <row r="50" spans="1:17" ht="12.75">
      <c r="A50" s="99">
        <v>69497.89</v>
      </c>
      <c r="B50" s="98">
        <v>80025.88</v>
      </c>
      <c r="C50" s="314">
        <f>A50-B50</f>
        <v>-10527.990000000005</v>
      </c>
      <c r="D50" s="315"/>
      <c r="P50" s="1"/>
      <c r="Q50" s="1"/>
    </row>
    <row r="51" spans="16:17" ht="12.75">
      <c r="P51" s="1"/>
      <c r="Q51" s="1"/>
    </row>
    <row r="52" spans="1:17" ht="12.75">
      <c r="A52" s="2" t="s">
        <v>47</v>
      </c>
      <c r="F52" s="2" t="s">
        <v>48</v>
      </c>
      <c r="P52" s="1"/>
      <c r="Q52" s="1"/>
    </row>
    <row r="53" ht="12.75">
      <c r="A53" s="1"/>
    </row>
    <row r="54" ht="12.75">
      <c r="A54" s="2" t="s">
        <v>50</v>
      </c>
    </row>
    <row r="55" ht="12.75">
      <c r="A55" s="2" t="s">
        <v>49</v>
      </c>
    </row>
  </sheetData>
  <sheetProtection/>
  <mergeCells count="25">
    <mergeCell ref="C50:D50"/>
    <mergeCell ref="L11:L12"/>
    <mergeCell ref="C49:D49"/>
    <mergeCell ref="N9:N12"/>
    <mergeCell ref="A9:A12"/>
    <mergeCell ref="B9:B12"/>
    <mergeCell ref="C9:C12"/>
    <mergeCell ref="D9:D12"/>
    <mergeCell ref="E9:E12"/>
    <mergeCell ref="O9:O12"/>
    <mergeCell ref="G11:G12"/>
    <mergeCell ref="I11:I12"/>
    <mergeCell ref="J11:J12"/>
    <mergeCell ref="K11:K12"/>
    <mergeCell ref="F9:G10"/>
    <mergeCell ref="I9:L10"/>
    <mergeCell ref="B1:G1"/>
    <mergeCell ref="B2:G2"/>
    <mergeCell ref="A8:D8"/>
    <mergeCell ref="A5:N5"/>
    <mergeCell ref="A6:F6"/>
    <mergeCell ref="A45:N45"/>
    <mergeCell ref="H9:H12"/>
    <mergeCell ref="M9:M12"/>
    <mergeCell ref="A29:N29"/>
  </mergeCells>
  <printOptions/>
  <pageMargins left="0.25" right="0.17" top="0.17" bottom="0.16" header="0.17" footer="0.16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2012-04-24T11:46:00Z</cp:lastPrinted>
  <dcterms:created xsi:type="dcterms:W3CDTF">2010-04-02T05:03:24Z</dcterms:created>
  <dcterms:modified xsi:type="dcterms:W3CDTF">2013-07-17T15:44:23Z</dcterms:modified>
  <cp:category/>
  <cp:version/>
  <cp:contentType/>
  <cp:contentStatus/>
</cp:coreProperties>
</file>