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firstSheet="3" activeTab="3"/>
  </bookViews>
  <sheets>
    <sheet name="Лист1" sheetId="1" state="hidden" r:id="rId1"/>
    <sheet name="Лист2" sheetId="2" state="hidden" r:id="rId2"/>
    <sheet name="2012 полн" sheetId="3" state="hidden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<sst xmlns="http://schemas.openxmlformats.org/spreadsheetml/2006/main" count="336" uniqueCount="129">
  <si>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</si>
  <si>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</si>
  <si>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</si>
  <si>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</si>
  <si>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</si>
  <si>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</si>
  <si>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</si>
  <si>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</si>
  <si>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</si>
  <si>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</si>
  <si>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</si>
  <si>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</si>
  <si>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</si>
  <si>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</si>
  <si>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</si>
  <si>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</si>
  <si>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</si>
  <si>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</si>
  <si>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</si>
  <si>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</si>
  <si>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</si>
  <si>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</si>
  <si>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</si>
  <si>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</si>
  <si>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</si>
  <si>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</si>
  <si>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</si>
  <si>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</si>
  <si>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</si>
  <si>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</si>
  <si>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</si>
  <si>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</si>
  <si>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</si>
  <si>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</si>
  <si>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</si>
  <si>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</si>
  <si>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</si>
  <si>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</si>
  <si>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</si>
  <si>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</si>
  <si>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</si>
  <si>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</si>
  <si>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</si>
  <si>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</si>
  <si>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</si>
  <si>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</si>
  <si>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</si>
  <si>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</si>
  <si>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</si>
  <si>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</si>
  <si>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</si>
  <si>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</si>
  <si>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</si>
  <si>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</si>
  <si>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</si>
  <si>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</si>
  <si>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</si>
  <si>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</si>
  <si>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</si>
  <si>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</si>
  <si>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</si>
  <si>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</si>
  <si>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</si>
  <si>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</si>
  <si>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</si>
  <si>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</si>
  <si>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</si>
  <si>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</si>
  <si>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</si>
  <si>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</si>
  <si>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</si>
  <si>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</si>
  <si>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</si>
  <si>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</si>
  <si>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</si>
  <si>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</si>
  <si>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</si>
  <si>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</si>
  <si>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</si>
  <si>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</si>
  <si>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</si>
  <si>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</si>
  <si>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</si>
  <si>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</si>
  <si>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</si>
  <si>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</si>
  <si>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</si>
  <si>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</si>
  <si>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</si>
  <si>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Выписка по лицевому счету по адресу г. Таштагол ул. Ноградская, д. 5</t>
  </si>
  <si>
    <t>Лицевой счет по адресу г. Таштагол, ул. Ноградская, д. 5</t>
  </si>
  <si>
    <t>2010 год</t>
  </si>
  <si>
    <t>*по состоянию на 01.01.2011 г.</t>
  </si>
  <si>
    <t>на начало отчетного периода</t>
  </si>
  <si>
    <t>на 01.01.2011г.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</si>
  <si>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</si>
  <si>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</si>
  <si>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</si>
  <si>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</si>
  <si>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</si>
  <si>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</si>
  <si>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</si>
  <si>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</si>
  <si>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</si>
  <si>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</si>
  <si>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</si>
  <si>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</si>
  <si>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</si>
  <si>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</si>
  <si>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</si>
  <si>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</si>
  <si>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</si>
  <si>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</si>
  <si>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</si>
  <si>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</si>
  <si>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</si>
  <si>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</si>
  <si>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 xml:space="preserve">Доходы от нежилых помещений </t>
  </si>
  <si>
    <t>Услуга начисления</t>
  </si>
  <si>
    <t>Расходы по нежилым помещениям</t>
  </si>
  <si>
    <t>Исп. В.В. Колмогорова</t>
  </si>
  <si>
    <t>Выписка по лицевому счету по адресу г. Таштагол ул. Ноградская, д.5</t>
  </si>
  <si>
    <t>Долг ИП Вершкова Т.В.</t>
  </si>
  <si>
    <t>Лицевой счет по адресу г. Таштагол, ул. Ноградская, д.5</t>
  </si>
  <si>
    <t>2012 год</t>
  </si>
  <si>
    <t>тариф на содержание и текущий ремонт 9,51 руб./м.кв.</t>
  </si>
  <si>
    <t>на 01.01.2013 г.</t>
  </si>
  <si>
    <t>Тариф по содержанию и тек.ремонту 100 %     (9,51 руб.*площадь)</t>
  </si>
  <si>
    <t>*по состоянию на 01.05.2013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</si>
</sst>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8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0" fillId="35" borderId="38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/>
    </xf>
    <xf numFmtId="4" fontId="2" fillId="38" borderId="11" xfId="34" applyNumberFormat="1" applyFont="1" applyFill="1" applyBorder="1" applyAlignment="1">
      <alignment horizontal="center" vertical="center" wrapText="1"/>
      <protection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4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11" fillId="0" borderId="38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4" fontId="0" fillId="34" borderId="37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7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4" fontId="0" fillId="0" borderId="43" xfId="0" applyNumberFormat="1" applyFont="1" applyFill="1" applyBorder="1" applyAlignment="1">
      <alignment horizontal="right" wrapText="1"/>
    </xf>
    <xf numFmtId="4" fontId="2" fillId="0" borderId="44" xfId="34" applyNumberFormat="1" applyFont="1" applyFill="1" applyBorder="1" applyAlignment="1">
      <alignment horizontal="right" vertical="center" wrapText="1"/>
      <protection/>
    </xf>
    <xf numFmtId="4" fontId="2" fillId="0" borderId="53" xfId="34" applyNumberFormat="1" applyFont="1" applyFill="1" applyBorder="1" applyAlignment="1">
      <alignment horizontal="right" vertical="center" wrapText="1"/>
      <protection/>
    </xf>
    <xf numFmtId="4" fontId="0" fillId="0" borderId="43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2" fontId="0" fillId="0" borderId="55" xfId="0" applyNumberFormat="1" applyBorder="1" applyAlignment="1">
      <alignment horizontal="center"/>
    </xf>
    <xf numFmtId="4" fontId="2" fillId="0" borderId="56" xfId="34" applyNumberFormat="1" applyFont="1" applyFill="1" applyBorder="1" applyAlignment="1">
      <alignment horizontal="right" vertical="center" wrapText="1"/>
      <protection/>
    </xf>
    <xf numFmtId="4" fontId="2" fillId="0" borderId="47" xfId="34" applyNumberFormat="1" applyFont="1" applyFill="1" applyBorder="1" applyAlignment="1">
      <alignment horizontal="right" vertical="center" wrapText="1"/>
      <protection/>
    </xf>
    <xf numFmtId="4" fontId="0" fillId="0" borderId="57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 horizontal="right" vertical="center" wrapText="1"/>
    </xf>
    <xf numFmtId="4" fontId="0" fillId="0" borderId="56" xfId="0" applyNumberFormat="1" applyFont="1" applyFill="1" applyBorder="1" applyAlignment="1">
      <alignment horizontal="right" vertical="center" wrapText="1"/>
    </xf>
    <xf numFmtId="4" fontId="0" fillId="0" borderId="55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39" borderId="0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1" fillId="0" borderId="41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11" xfId="0" applyNumberFormat="1" applyFont="1" applyFill="1" applyBorder="1" applyAlignment="1">
      <alignment/>
    </xf>
    <xf numFmtId="4" fontId="1" fillId="39" borderId="26" xfId="0" applyNumberFormat="1" applyFont="1" applyFill="1" applyBorder="1" applyAlignment="1">
      <alignment/>
    </xf>
    <xf numFmtId="4" fontId="1" fillId="39" borderId="50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0" borderId="15" xfId="0" applyNumberFormat="1" applyFont="1" applyFill="1" applyBorder="1" applyAlignment="1">
      <alignment horizontal="center" wrapText="1"/>
    </xf>
    <xf numFmtId="0" fontId="0" fillId="39" borderId="11" xfId="0" applyFont="1" applyFill="1" applyBorder="1" applyAlignment="1">
      <alignment/>
    </xf>
    <xf numFmtId="0" fontId="0" fillId="39" borderId="11" xfId="0" applyFont="1" applyFill="1" applyBorder="1" applyAlignment="1">
      <alignment horizontal="center"/>
    </xf>
    <xf numFmtId="0" fontId="1" fillId="39" borderId="48" xfId="0" applyFont="1" applyFill="1" applyBorder="1" applyAlignment="1">
      <alignment/>
    </xf>
    <xf numFmtId="4" fontId="1" fillId="39" borderId="48" xfId="0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59" xfId="0" applyNumberFormat="1" applyFont="1" applyFill="1" applyBorder="1" applyAlignment="1">
      <alignment horizontal="center" vertical="center" wrapText="1"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62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 textRotation="90" wrapText="1"/>
    </xf>
    <xf numFmtId="0" fontId="1" fillId="0" borderId="64" xfId="0" applyFont="1" applyFill="1" applyBorder="1" applyAlignment="1">
      <alignment horizontal="center" textRotation="90" wrapText="1"/>
    </xf>
    <xf numFmtId="0" fontId="1" fillId="0" borderId="65" xfId="0" applyFont="1" applyFill="1" applyBorder="1" applyAlignment="1">
      <alignment horizontal="center" textRotation="90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74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41" borderId="70" xfId="0" applyFont="1" applyFill="1" applyBorder="1" applyAlignment="1">
      <alignment horizontal="center" vertical="center" wrapText="1"/>
    </xf>
    <xf numFmtId="0" fontId="1" fillId="41" borderId="0" xfId="0" applyFont="1" applyFill="1" applyBorder="1" applyAlignment="1">
      <alignment horizontal="center" vertical="center" wrapText="1"/>
    </xf>
    <xf numFmtId="0" fontId="1" fillId="41" borderId="51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 wrapText="1"/>
    </xf>
    <xf numFmtId="2" fontId="7" fillId="0" borderId="62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73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0" fontId="1" fillId="41" borderId="69" xfId="0" applyFont="1" applyFill="1" applyBorder="1" applyAlignment="1">
      <alignment horizontal="center" vertical="center" wrapText="1"/>
    </xf>
    <xf numFmtId="0" fontId="1" fillId="41" borderId="42" xfId="0" applyFont="1" applyFill="1" applyBorder="1" applyAlignment="1">
      <alignment horizontal="center" vertical="center" wrapText="1"/>
    </xf>
    <xf numFmtId="0" fontId="1" fillId="41" borderId="73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 textRotation="90"/>
    </xf>
    <xf numFmtId="0" fontId="1" fillId="0" borderId="42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4" fontId="1" fillId="34" borderId="6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left"/>
    </xf>
    <xf numFmtId="2" fontId="0" fillId="0" borderId="38" xfId="0" applyNumberFormat="1" applyFont="1" applyFill="1" applyBorder="1" applyAlignment="1">
      <alignment horizontal="left"/>
    </xf>
    <xf numFmtId="0" fontId="1" fillId="0" borderId="41" xfId="0" applyFont="1" applyFill="1" applyBorder="1" applyAlignment="1">
      <alignment horizontal="center" textRotation="90" wrapText="1"/>
    </xf>
    <xf numFmtId="0" fontId="1" fillId="0" borderId="62" xfId="0" applyFont="1" applyFill="1" applyBorder="1" applyAlignment="1">
      <alignment horizontal="center" textRotation="90" wrapText="1"/>
    </xf>
    <xf numFmtId="0" fontId="1" fillId="0" borderId="40" xfId="0" applyFont="1" applyFill="1" applyBorder="1" applyAlignment="1">
      <alignment horizontal="center" textRotation="90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9%20&#1089;%202011%20&#1075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82">
          <cell r="I82">
            <v>3928.5320800000004</v>
          </cell>
        </row>
      </sheetData>
      <sheetData sheetId="1">
        <row r="82">
          <cell r="I82">
            <v>982.13052</v>
          </cell>
          <cell r="O82">
            <v>468.1162800000001</v>
          </cell>
        </row>
      </sheetData>
      <sheetData sheetId="2">
        <row r="83">
          <cell r="I83">
            <v>982.13052</v>
          </cell>
          <cell r="O83">
            <v>468.1162800000001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76">
          <cell r="I76">
            <v>981.6120000000001</v>
          </cell>
          <cell r="R76">
            <v>707.154</v>
          </cell>
        </row>
        <row r="179">
          <cell r="I179">
            <v>114</v>
          </cell>
          <cell r="R179">
            <v>28.5</v>
          </cell>
        </row>
      </sheetData>
      <sheetData sheetId="1">
        <row r="76">
          <cell r="J76">
            <v>981.6120000000001</v>
          </cell>
          <cell r="S76">
            <v>707.154</v>
          </cell>
        </row>
        <row r="180">
          <cell r="S180">
            <v>28.5</v>
          </cell>
        </row>
        <row r="181">
          <cell r="J181">
            <v>114</v>
          </cell>
        </row>
      </sheetData>
      <sheetData sheetId="2">
        <row r="76">
          <cell r="J76">
            <v>981.6120000000001</v>
          </cell>
          <cell r="S76">
            <v>707.154</v>
          </cell>
        </row>
        <row r="181">
          <cell r="J181">
            <v>114</v>
          </cell>
          <cell r="S181">
            <v>28.5</v>
          </cell>
        </row>
      </sheetData>
      <sheetData sheetId="3">
        <row r="77">
          <cell r="S77">
            <v>707.154</v>
          </cell>
        </row>
        <row r="183">
          <cell r="S183">
            <v>28.5</v>
          </cell>
        </row>
      </sheetData>
      <sheetData sheetId="4">
        <row r="75">
          <cell r="J75">
            <v>981.6120000000001</v>
          </cell>
          <cell r="S75">
            <v>707.154</v>
          </cell>
        </row>
        <row r="181">
          <cell r="J181">
            <v>114</v>
          </cell>
          <cell r="S181">
            <v>28.5</v>
          </cell>
        </row>
      </sheetData>
      <sheetData sheetId="5">
        <row r="75">
          <cell r="J75">
            <v>981.6120000000001</v>
          </cell>
          <cell r="S75">
            <v>707.154</v>
          </cell>
        </row>
        <row r="181">
          <cell r="J181">
            <v>114</v>
          </cell>
          <cell r="S181">
            <v>28.5</v>
          </cell>
        </row>
      </sheetData>
      <sheetData sheetId="6">
        <row r="75">
          <cell r="J75">
            <v>981.6120000000001</v>
          </cell>
          <cell r="S75">
            <v>707.154</v>
          </cell>
        </row>
        <row r="185">
          <cell r="J185">
            <v>114</v>
          </cell>
          <cell r="S185">
            <v>28.5</v>
          </cell>
        </row>
      </sheetData>
      <sheetData sheetId="7">
        <row r="75">
          <cell r="J75">
            <v>981.6120000000001</v>
          </cell>
          <cell r="S75">
            <v>707.154</v>
          </cell>
        </row>
        <row r="189">
          <cell r="J189">
            <v>114</v>
          </cell>
          <cell r="S189">
            <v>28.5</v>
          </cell>
        </row>
      </sheetData>
      <sheetData sheetId="8">
        <row r="75">
          <cell r="J75">
            <v>981.6120000000001</v>
          </cell>
        </row>
        <row r="189">
          <cell r="J189">
            <v>114</v>
          </cell>
        </row>
      </sheetData>
      <sheetData sheetId="9">
        <row r="75">
          <cell r="S75">
            <v>707.154</v>
          </cell>
        </row>
        <row r="189">
          <cell r="S189">
            <v>28.5</v>
          </cell>
        </row>
      </sheetData>
      <sheetData sheetId="10">
        <row r="75">
          <cell r="J75">
            <v>981.6120000000001</v>
          </cell>
          <cell r="S75">
            <v>707.154</v>
          </cell>
        </row>
        <row r="189">
          <cell r="J189">
            <v>114</v>
          </cell>
          <cell r="S189">
            <v>28.5</v>
          </cell>
        </row>
      </sheetData>
      <sheetData sheetId="11">
        <row r="75">
          <cell r="J75">
            <v>981.6120000000001</v>
          </cell>
          <cell r="S75">
            <v>707.154</v>
          </cell>
        </row>
        <row r="209">
          <cell r="J209">
            <v>114</v>
          </cell>
          <cell r="S209">
            <v>28.5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77">
          <cell r="J77">
            <v>981.6120000000001</v>
          </cell>
        </row>
        <row r="183">
          <cell r="J183">
            <v>114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75">
          <cell r="J75">
            <v>981.6120000000001</v>
          </cell>
        </row>
        <row r="189">
          <cell r="J189">
            <v>114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62">
          <cell r="F62">
            <v>79.66</v>
          </cell>
        </row>
        <row r="82">
          <cell r="F82">
            <v>62.400000000000006</v>
          </cell>
        </row>
        <row r="106">
          <cell r="F106">
            <v>27</v>
          </cell>
        </row>
        <row r="113">
          <cell r="F113">
            <v>18</v>
          </cell>
        </row>
        <row r="119">
          <cell r="F119">
            <v>94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50">
          <cell r="J50">
            <v>1256.0700000000002</v>
          </cell>
          <cell r="S50">
            <v>707.154</v>
          </cell>
        </row>
        <row r="211">
          <cell r="J211">
            <v>114</v>
          </cell>
          <cell r="S211">
            <v>28.5</v>
          </cell>
        </row>
      </sheetData>
      <sheetData sheetId="4">
        <row r="47">
          <cell r="J47">
            <v>1256.0700000000002</v>
          </cell>
          <cell r="S47">
            <v>707.154</v>
          </cell>
        </row>
        <row r="218">
          <cell r="J218">
            <v>114</v>
          </cell>
          <cell r="S218">
            <v>28.5</v>
          </cell>
        </row>
      </sheetData>
      <sheetData sheetId="5">
        <row r="47">
          <cell r="J47">
            <v>1256.0700000000002</v>
          </cell>
          <cell r="S47">
            <v>707.154</v>
          </cell>
        </row>
        <row r="174">
          <cell r="J174">
            <v>100</v>
          </cell>
          <cell r="S174">
            <v>25</v>
          </cell>
        </row>
        <row r="249">
          <cell r="J249">
            <v>114</v>
          </cell>
          <cell r="S249">
            <v>28.5</v>
          </cell>
        </row>
      </sheetData>
      <sheetData sheetId="6">
        <row r="47">
          <cell r="J47">
            <v>1256.0700000000002</v>
          </cell>
          <cell r="S47">
            <v>707.154</v>
          </cell>
        </row>
        <row r="176">
          <cell r="J176">
            <v>100</v>
          </cell>
          <cell r="S176">
            <v>25</v>
          </cell>
        </row>
        <row r="251">
          <cell r="J251">
            <v>114</v>
          </cell>
          <cell r="S251">
            <v>28.5</v>
          </cell>
        </row>
      </sheetData>
      <sheetData sheetId="7">
        <row r="47">
          <cell r="J47">
            <v>1256.0700000000002</v>
          </cell>
          <cell r="S47">
            <v>707.154</v>
          </cell>
        </row>
        <row r="176">
          <cell r="J176">
            <v>100</v>
          </cell>
          <cell r="S176">
            <v>25</v>
          </cell>
        </row>
        <row r="251">
          <cell r="J251">
            <v>114</v>
          </cell>
          <cell r="S251">
            <v>28.5</v>
          </cell>
        </row>
        <row r="298">
          <cell r="J298">
            <v>600</v>
          </cell>
          <cell r="S298">
            <v>150</v>
          </cell>
        </row>
      </sheetData>
      <sheetData sheetId="8">
        <row r="47">
          <cell r="J47">
            <v>1256.0700000000002</v>
          </cell>
          <cell r="S47">
            <v>707.154</v>
          </cell>
        </row>
        <row r="179">
          <cell r="J179">
            <v>100</v>
          </cell>
          <cell r="S179">
            <v>25</v>
          </cell>
        </row>
        <row r="251">
          <cell r="J251">
            <v>114</v>
          </cell>
          <cell r="S251">
            <v>28.5</v>
          </cell>
        </row>
        <row r="298">
          <cell r="J298">
            <v>200</v>
          </cell>
          <cell r="S298">
            <v>50</v>
          </cell>
        </row>
      </sheetData>
      <sheetData sheetId="9">
        <row r="47">
          <cell r="J47">
            <v>1256.0700000000002</v>
          </cell>
          <cell r="S47">
            <v>707.154</v>
          </cell>
        </row>
        <row r="178">
          <cell r="J178">
            <v>100</v>
          </cell>
          <cell r="S178">
            <v>25</v>
          </cell>
        </row>
        <row r="250">
          <cell r="J250">
            <v>114</v>
          </cell>
          <cell r="S250">
            <v>28.5</v>
          </cell>
        </row>
        <row r="297">
          <cell r="J297">
            <v>200</v>
          </cell>
          <cell r="S297">
            <v>50</v>
          </cell>
        </row>
      </sheetData>
      <sheetData sheetId="10">
        <row r="47">
          <cell r="J47">
            <v>1256.0700000000002</v>
          </cell>
          <cell r="S47">
            <v>707.154</v>
          </cell>
        </row>
        <row r="180">
          <cell r="J180">
            <v>100</v>
          </cell>
          <cell r="S180">
            <v>25</v>
          </cell>
        </row>
        <row r="252">
          <cell r="J252">
            <v>114</v>
          </cell>
          <cell r="S252">
            <v>28.5</v>
          </cell>
        </row>
        <row r="299">
          <cell r="J299">
            <v>200</v>
          </cell>
          <cell r="S299">
            <v>50</v>
          </cell>
        </row>
      </sheetData>
      <sheetData sheetId="11">
        <row r="47">
          <cell r="J47">
            <v>1256.0700000000002</v>
          </cell>
          <cell r="S47">
            <v>707.154</v>
          </cell>
        </row>
        <row r="182">
          <cell r="J182">
            <v>100</v>
          </cell>
          <cell r="S182">
            <v>25</v>
          </cell>
        </row>
        <row r="254">
          <cell r="J254">
            <v>114</v>
          </cell>
          <cell r="S254">
            <v>28.5</v>
          </cell>
        </row>
        <row r="301">
          <cell r="J301">
            <v>200</v>
          </cell>
          <cell r="S301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82">
          <cell r="O82">
            <v>735.6665240000001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80">
          <cell r="I80">
            <v>982.14052</v>
          </cell>
        </row>
      </sheetData>
      <sheetData sheetId="2">
        <row r="81">
          <cell r="M81">
            <v>467.562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81">
          <cell r="I81">
            <v>982.14052</v>
          </cell>
          <cell r="M81">
            <v>467.562</v>
          </cell>
        </row>
      </sheetData>
      <sheetData sheetId="5">
        <row r="79">
          <cell r="M79">
            <v>467.562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78">
          <cell r="I78">
            <v>982.13052</v>
          </cell>
        </row>
      </sheetData>
      <sheetData sheetId="8">
        <row r="78">
          <cell r="I78">
            <v>982.14052</v>
          </cell>
        </row>
      </sheetData>
      <sheetData sheetId="9">
        <row r="78">
          <cell r="I78">
            <v>982.13052</v>
          </cell>
          <cell r="M78">
            <v>467.562</v>
          </cell>
        </row>
      </sheetData>
      <sheetData sheetId="10">
        <row r="78">
          <cell r="I78">
            <v>982.14052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9">
        <row r="78">
          <cell r="M78">
            <v>467.562</v>
          </cell>
        </row>
      </sheetData>
      <sheetData sheetId="10">
        <row r="78">
          <cell r="I78">
            <v>982.14052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B44">
            <v>440391.95999999996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44" sqref="AG44:BA4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98" t="s">
        <v>90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99" t="s">
        <v>0</v>
      </c>
      <c r="B3" s="302" t="s">
        <v>1</v>
      </c>
      <c r="C3" s="302" t="s">
        <v>2</v>
      </c>
      <c r="D3" s="302" t="s">
        <v>3</v>
      </c>
      <c r="E3" s="305" t="s">
        <v>4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20" t="s">
        <v>5</v>
      </c>
      <c r="T3" s="320"/>
      <c r="U3" s="321" t="s">
        <v>6</v>
      </c>
      <c r="V3" s="321"/>
      <c r="W3" s="321"/>
      <c r="X3" s="321"/>
      <c r="Y3" s="321"/>
      <c r="Z3" s="321"/>
      <c r="AA3" s="321"/>
      <c r="AB3" s="321"/>
      <c r="AC3" s="323" t="s">
        <v>87</v>
      </c>
      <c r="AD3" s="323" t="s">
        <v>8</v>
      </c>
      <c r="AE3" s="326" t="s">
        <v>9</v>
      </c>
      <c r="AF3" s="335" t="s">
        <v>75</v>
      </c>
      <c r="AG3" s="338" t="s">
        <v>10</v>
      </c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14" t="s">
        <v>76</v>
      </c>
      <c r="BD3" s="317" t="s">
        <v>11</v>
      </c>
      <c r="BE3" s="307" t="s">
        <v>12</v>
      </c>
    </row>
    <row r="4" spans="1:57" ht="36" customHeight="1" thickBot="1">
      <c r="A4" s="300"/>
      <c r="B4" s="303"/>
      <c r="C4" s="303"/>
      <c r="D4" s="303"/>
      <c r="E4" s="306" t="s">
        <v>13</v>
      </c>
      <c r="F4" s="306"/>
      <c r="G4" s="306" t="s">
        <v>14</v>
      </c>
      <c r="H4" s="306"/>
      <c r="I4" s="306" t="s">
        <v>15</v>
      </c>
      <c r="J4" s="306"/>
      <c r="K4" s="306" t="s">
        <v>16</v>
      </c>
      <c r="L4" s="306"/>
      <c r="M4" s="306" t="s">
        <v>17</v>
      </c>
      <c r="N4" s="306"/>
      <c r="O4" s="306" t="s">
        <v>18</v>
      </c>
      <c r="P4" s="306"/>
      <c r="Q4" s="306" t="s">
        <v>19</v>
      </c>
      <c r="R4" s="306"/>
      <c r="S4" s="306"/>
      <c r="T4" s="306"/>
      <c r="U4" s="322"/>
      <c r="V4" s="322"/>
      <c r="W4" s="322"/>
      <c r="X4" s="322"/>
      <c r="Y4" s="322"/>
      <c r="Z4" s="322"/>
      <c r="AA4" s="322"/>
      <c r="AB4" s="322"/>
      <c r="AC4" s="324"/>
      <c r="AD4" s="324"/>
      <c r="AE4" s="327"/>
      <c r="AF4" s="336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5"/>
      <c r="BD4" s="318"/>
      <c r="BE4" s="308"/>
    </row>
    <row r="5" spans="1:57" ht="29.25" customHeight="1" thickBot="1">
      <c r="A5" s="300"/>
      <c r="B5" s="303"/>
      <c r="C5" s="303"/>
      <c r="D5" s="303"/>
      <c r="E5" s="329" t="s">
        <v>20</v>
      </c>
      <c r="F5" s="329" t="s">
        <v>21</v>
      </c>
      <c r="G5" s="329" t="s">
        <v>20</v>
      </c>
      <c r="H5" s="329" t="s">
        <v>21</v>
      </c>
      <c r="I5" s="329" t="s">
        <v>20</v>
      </c>
      <c r="J5" s="329" t="s">
        <v>21</v>
      </c>
      <c r="K5" s="329" t="s">
        <v>20</v>
      </c>
      <c r="L5" s="329" t="s">
        <v>21</v>
      </c>
      <c r="M5" s="329" t="s">
        <v>20</v>
      </c>
      <c r="N5" s="329" t="s">
        <v>21</v>
      </c>
      <c r="O5" s="329" t="s">
        <v>20</v>
      </c>
      <c r="P5" s="329" t="s">
        <v>21</v>
      </c>
      <c r="Q5" s="329" t="s">
        <v>20</v>
      </c>
      <c r="R5" s="329" t="s">
        <v>21</v>
      </c>
      <c r="S5" s="329" t="s">
        <v>20</v>
      </c>
      <c r="T5" s="329" t="s">
        <v>21</v>
      </c>
      <c r="U5" s="331" t="s">
        <v>22</v>
      </c>
      <c r="V5" s="331" t="s">
        <v>23</v>
      </c>
      <c r="W5" s="331" t="s">
        <v>24</v>
      </c>
      <c r="X5" s="331" t="s">
        <v>25</v>
      </c>
      <c r="Y5" s="331" t="s">
        <v>26</v>
      </c>
      <c r="Z5" s="331" t="s">
        <v>27</v>
      </c>
      <c r="AA5" s="331" t="s">
        <v>28</v>
      </c>
      <c r="AB5" s="331" t="s">
        <v>29</v>
      </c>
      <c r="AC5" s="324"/>
      <c r="AD5" s="324"/>
      <c r="AE5" s="327"/>
      <c r="AF5" s="336"/>
      <c r="AG5" s="310" t="s">
        <v>30</v>
      </c>
      <c r="AH5" s="310" t="s">
        <v>31</v>
      </c>
      <c r="AI5" s="310" t="s">
        <v>32</v>
      </c>
      <c r="AJ5" s="310" t="s">
        <v>33</v>
      </c>
      <c r="AK5" s="310" t="s">
        <v>34</v>
      </c>
      <c r="AL5" s="310" t="s">
        <v>33</v>
      </c>
      <c r="AM5" s="310" t="s">
        <v>35</v>
      </c>
      <c r="AN5" s="310" t="s">
        <v>33</v>
      </c>
      <c r="AO5" s="310" t="s">
        <v>36</v>
      </c>
      <c r="AP5" s="310" t="s">
        <v>33</v>
      </c>
      <c r="AQ5" s="342" t="s">
        <v>80</v>
      </c>
      <c r="AR5" s="344" t="s">
        <v>33</v>
      </c>
      <c r="AS5" s="312" t="s">
        <v>81</v>
      </c>
      <c r="AT5" s="333" t="s">
        <v>82</v>
      </c>
      <c r="AU5" s="333" t="s">
        <v>33</v>
      </c>
      <c r="AV5" s="339" t="s">
        <v>83</v>
      </c>
      <c r="AW5" s="340"/>
      <c r="AX5" s="341"/>
      <c r="AY5" s="310" t="s">
        <v>19</v>
      </c>
      <c r="AZ5" s="310" t="s">
        <v>38</v>
      </c>
      <c r="BA5" s="310" t="s">
        <v>33</v>
      </c>
      <c r="BB5" s="310" t="s">
        <v>39</v>
      </c>
      <c r="BC5" s="315"/>
      <c r="BD5" s="318"/>
      <c r="BE5" s="308"/>
    </row>
    <row r="6" spans="1:57" ht="54" customHeight="1" thickBot="1">
      <c r="A6" s="301"/>
      <c r="B6" s="304"/>
      <c r="C6" s="304"/>
      <c r="D6" s="304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2"/>
      <c r="V6" s="332"/>
      <c r="W6" s="332"/>
      <c r="X6" s="332"/>
      <c r="Y6" s="332"/>
      <c r="Z6" s="332"/>
      <c r="AA6" s="332"/>
      <c r="AB6" s="332"/>
      <c r="AC6" s="325"/>
      <c r="AD6" s="325"/>
      <c r="AE6" s="328"/>
      <c r="AF6" s="337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43"/>
      <c r="AR6" s="345"/>
      <c r="AS6" s="313"/>
      <c r="AT6" s="334"/>
      <c r="AU6" s="334"/>
      <c r="AV6" s="122" t="s">
        <v>84</v>
      </c>
      <c r="AW6" s="122" t="s">
        <v>85</v>
      </c>
      <c r="AX6" s="122" t="s">
        <v>86</v>
      </c>
      <c r="AY6" s="311"/>
      <c r="AZ6" s="311"/>
      <c r="BA6" s="311"/>
      <c r="BB6" s="311"/>
      <c r="BC6" s="316"/>
      <c r="BD6" s="319"/>
      <c r="BE6" s="309"/>
    </row>
    <row r="7" spans="1:57" ht="12.75">
      <c r="A7" s="7">
        <v>1</v>
      </c>
      <c r="B7" s="8">
        <v>3</v>
      </c>
      <c r="C7" s="8">
        <v>4</v>
      </c>
      <c r="D7" s="8">
        <v>5</v>
      </c>
      <c r="E7" s="48">
        <v>6</v>
      </c>
      <c r="F7" s="48">
        <v>7</v>
      </c>
      <c r="G7" s="48">
        <v>8</v>
      </c>
      <c r="H7" s="48">
        <v>9</v>
      </c>
      <c r="I7" s="48">
        <v>10</v>
      </c>
      <c r="J7" s="48">
        <v>11</v>
      </c>
      <c r="K7" s="48">
        <v>12</v>
      </c>
      <c r="L7" s="48">
        <v>13</v>
      </c>
      <c r="M7" s="48">
        <v>14</v>
      </c>
      <c r="N7" s="48">
        <v>15</v>
      </c>
      <c r="O7" s="48">
        <v>16</v>
      </c>
      <c r="P7" s="48">
        <v>17</v>
      </c>
      <c r="Q7" s="48">
        <v>18</v>
      </c>
      <c r="R7" s="48">
        <v>19</v>
      </c>
      <c r="S7" s="48">
        <v>20</v>
      </c>
      <c r="T7" s="48">
        <v>21</v>
      </c>
      <c r="U7" s="52">
        <v>22</v>
      </c>
      <c r="V7" s="52">
        <v>23</v>
      </c>
      <c r="W7" s="52">
        <v>24</v>
      </c>
      <c r="X7" s="52">
        <v>25</v>
      </c>
      <c r="Y7" s="52">
        <v>26</v>
      </c>
      <c r="Z7" s="52">
        <v>27</v>
      </c>
      <c r="AA7" s="52">
        <v>28</v>
      </c>
      <c r="AB7" s="52">
        <v>29</v>
      </c>
      <c r="AC7" s="52">
        <v>30</v>
      </c>
      <c r="AD7" s="52"/>
      <c r="AE7" s="52">
        <v>31</v>
      </c>
      <c r="AF7" s="52">
        <v>32</v>
      </c>
      <c r="AG7" s="8">
        <v>33</v>
      </c>
      <c r="AH7" s="8">
        <v>34</v>
      </c>
      <c r="AI7" s="8">
        <v>35</v>
      </c>
      <c r="AJ7" s="8">
        <v>36</v>
      </c>
      <c r="AK7" s="8">
        <v>37</v>
      </c>
      <c r="AL7" s="8">
        <v>38</v>
      </c>
      <c r="AM7" s="8">
        <v>39</v>
      </c>
      <c r="AN7" s="8">
        <v>40</v>
      </c>
      <c r="AO7" s="8">
        <v>41</v>
      </c>
      <c r="AP7" s="8">
        <v>42</v>
      </c>
      <c r="AQ7" s="8"/>
      <c r="AR7" s="8"/>
      <c r="AS7" s="48">
        <v>43</v>
      </c>
      <c r="AT7" s="48"/>
      <c r="AU7" s="48">
        <v>44</v>
      </c>
      <c r="AV7" s="48"/>
      <c r="AW7" s="48"/>
      <c r="AX7" s="8">
        <v>45</v>
      </c>
      <c r="AY7" s="8">
        <v>46</v>
      </c>
      <c r="AZ7" s="8">
        <v>47</v>
      </c>
      <c r="BA7" s="8">
        <v>48</v>
      </c>
      <c r="BB7" s="8">
        <v>49</v>
      </c>
      <c r="BC7" s="8"/>
      <c r="BD7" s="8">
        <v>50</v>
      </c>
      <c r="BE7" s="9">
        <v>51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106">
        <v>2678.8</v>
      </c>
      <c r="C9" s="107">
        <f>B9*8.65</f>
        <v>23171.620000000003</v>
      </c>
      <c r="D9" s="108">
        <f>C9*0.24088</f>
        <v>5581.579825600001</v>
      </c>
      <c r="E9" s="109">
        <v>1739.8</v>
      </c>
      <c r="F9" s="109">
        <v>458.83</v>
      </c>
      <c r="G9" s="109">
        <v>2348.79</v>
      </c>
      <c r="H9" s="109">
        <v>619.4</v>
      </c>
      <c r="I9" s="109">
        <v>5654.38</v>
      </c>
      <c r="J9" s="109">
        <v>1491.19</v>
      </c>
      <c r="K9" s="109">
        <v>3914.58</v>
      </c>
      <c r="L9" s="109">
        <v>1032.36</v>
      </c>
      <c r="M9" s="109">
        <v>1391.85</v>
      </c>
      <c r="N9" s="109">
        <v>367.05</v>
      </c>
      <c r="O9" s="109">
        <v>0</v>
      </c>
      <c r="P9" s="109">
        <v>0</v>
      </c>
      <c r="Q9" s="109">
        <v>0</v>
      </c>
      <c r="R9" s="109">
        <v>0</v>
      </c>
      <c r="S9" s="93">
        <f>E9+G9+I9+K9+M9+O9+Q9</f>
        <v>15049.400000000001</v>
      </c>
      <c r="T9" s="110">
        <f>P9+N9+L9+J9+H9+F9+R9</f>
        <v>3968.83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111">
        <v>0</v>
      </c>
      <c r="AA9" s="111">
        <v>0</v>
      </c>
      <c r="AB9" s="111">
        <f>SUM(U9:AA9)</f>
        <v>0</v>
      </c>
      <c r="AC9" s="112">
        <f>D9+T9+AB9</f>
        <v>9550.4098256</v>
      </c>
      <c r="AD9" s="113">
        <f>P9+Z9</f>
        <v>0</v>
      </c>
      <c r="AE9" s="104">
        <f>R9+AA9</f>
        <v>0</v>
      </c>
      <c r="AF9" s="104"/>
      <c r="AG9" s="16">
        <f>0.6*B9</f>
        <v>1607.28</v>
      </c>
      <c r="AH9" s="16">
        <f>B9*0.2*1.05826</f>
        <v>566.9733776</v>
      </c>
      <c r="AI9" s="16">
        <f>0.8518*B9</f>
        <v>2281.80184</v>
      </c>
      <c r="AJ9" s="16">
        <f>AI9*0.18</f>
        <v>410.7243312</v>
      </c>
      <c r="AK9" s="16">
        <f>1.04*B9*0.9531</f>
        <v>2655.2908512</v>
      </c>
      <c r="AL9" s="16">
        <f>AK9*0.18</f>
        <v>477.95235321599995</v>
      </c>
      <c r="AM9" s="16">
        <f>(1.91)*B9*0.9531</f>
        <v>4876.5437747999995</v>
      </c>
      <c r="AN9" s="16">
        <f>AM9*0.18</f>
        <v>877.7778794639999</v>
      </c>
      <c r="AO9" s="16"/>
      <c r="AP9" s="16">
        <f>AO9*0.18</f>
        <v>0</v>
      </c>
      <c r="AQ9" s="16"/>
      <c r="AR9" s="16"/>
      <c r="AS9" s="99">
        <v>7899.24</v>
      </c>
      <c r="AT9" s="99"/>
      <c r="AU9" s="49">
        <f>AS9*0.18</f>
        <v>1421.8632</v>
      </c>
      <c r="AV9" s="49"/>
      <c r="AW9" s="49"/>
      <c r="AX9" s="31">
        <v>0</v>
      </c>
      <c r="AY9" s="31">
        <v>0</v>
      </c>
      <c r="AZ9" s="31">
        <v>0</v>
      </c>
      <c r="BA9" s="14">
        <f aca="true" t="shared" si="0" ref="BA9:BA25">AZ9*0.18</f>
        <v>0</v>
      </c>
      <c r="BB9" s="14">
        <f>SUM(AG9:BA9)</f>
        <v>23075.447607479997</v>
      </c>
      <c r="BC9" s="14">
        <v>0</v>
      </c>
      <c r="BD9" s="14">
        <f>AC9-BB9</f>
        <v>-13525.037781879997</v>
      </c>
      <c r="BE9" s="30">
        <f>AB9-S9</f>
        <v>-15049.400000000001</v>
      </c>
    </row>
    <row r="10" spans="1:57" ht="12.75" hidden="1">
      <c r="A10" s="11" t="s">
        <v>42</v>
      </c>
      <c r="B10" s="106">
        <v>2678.8</v>
      </c>
      <c r="C10" s="107">
        <f>B10*8.65</f>
        <v>23171.620000000003</v>
      </c>
      <c r="D10" s="108">
        <f>C10*0.24088</f>
        <v>5581.579825600001</v>
      </c>
      <c r="E10" s="109">
        <v>1632.48</v>
      </c>
      <c r="F10" s="109">
        <v>457.43</v>
      </c>
      <c r="G10" s="109">
        <v>2203.9</v>
      </c>
      <c r="H10" s="109">
        <v>617.5</v>
      </c>
      <c r="I10" s="109">
        <v>5305.65</v>
      </c>
      <c r="J10" s="109">
        <v>1486.61</v>
      </c>
      <c r="K10" s="109">
        <v>3673.17</v>
      </c>
      <c r="L10" s="109">
        <v>1029.18</v>
      </c>
      <c r="M10" s="109">
        <v>1305.96</v>
      </c>
      <c r="N10" s="109">
        <v>365.95</v>
      </c>
      <c r="O10" s="109">
        <v>0</v>
      </c>
      <c r="P10" s="109">
        <v>0</v>
      </c>
      <c r="Q10" s="109">
        <v>0</v>
      </c>
      <c r="R10" s="109">
        <v>0</v>
      </c>
      <c r="S10" s="93">
        <f>E10+G10+I10+K10+M10+O10+Q10</f>
        <v>14121.16</v>
      </c>
      <c r="T10" s="110">
        <f>P10+N10+L10+J10+H10+F10+R10</f>
        <v>3956.6699999999996</v>
      </c>
      <c r="U10" s="93">
        <v>1192.77</v>
      </c>
      <c r="V10" s="93">
        <v>1610.27</v>
      </c>
      <c r="W10" s="93">
        <v>3876.48</v>
      </c>
      <c r="X10" s="93">
        <v>2683.78</v>
      </c>
      <c r="Y10" s="93">
        <v>954.22</v>
      </c>
      <c r="Z10" s="111">
        <v>0</v>
      </c>
      <c r="AA10" s="111">
        <v>0</v>
      </c>
      <c r="AB10" s="114">
        <f>SUM(U10:AA10)</f>
        <v>10317.52</v>
      </c>
      <c r="AC10" s="115">
        <f>D10+T10+AB10</f>
        <v>19855.7698256</v>
      </c>
      <c r="AD10" s="104">
        <f>P10+Z10</f>
        <v>0</v>
      </c>
      <c r="AE10" s="104">
        <f>R10+AA10</f>
        <v>0</v>
      </c>
      <c r="AF10" s="104"/>
      <c r="AG10" s="16">
        <f>0.6*B10</f>
        <v>1607.28</v>
      </c>
      <c r="AH10" s="16">
        <f>B10*0.201</f>
        <v>538.4388</v>
      </c>
      <c r="AI10" s="16">
        <f>0.8518*B10</f>
        <v>2281.80184</v>
      </c>
      <c r="AJ10" s="16">
        <f>AI10*0.18</f>
        <v>410.7243312</v>
      </c>
      <c r="AK10" s="16">
        <f>1.04*B10*0.9531</f>
        <v>2655.2908512</v>
      </c>
      <c r="AL10" s="16">
        <f>AK10*0.18</f>
        <v>477.95235321599995</v>
      </c>
      <c r="AM10" s="16">
        <f>(1.91)*B10*0.9531</f>
        <v>4876.5437747999995</v>
      </c>
      <c r="AN10" s="16">
        <f>AM10*0.18</f>
        <v>877.7778794639999</v>
      </c>
      <c r="AO10" s="16"/>
      <c r="AP10" s="16">
        <f>AO10*0.18</f>
        <v>0</v>
      </c>
      <c r="AQ10" s="16"/>
      <c r="AR10" s="16"/>
      <c r="AS10" s="99">
        <v>2440</v>
      </c>
      <c r="AT10" s="99"/>
      <c r="AU10" s="49">
        <f>AS10*0.18</f>
        <v>439.2</v>
      </c>
      <c r="AV10" s="49"/>
      <c r="AW10" s="49"/>
      <c r="AX10" s="31">
        <v>0</v>
      </c>
      <c r="AY10" s="31">
        <v>0</v>
      </c>
      <c r="AZ10" s="31">
        <v>0</v>
      </c>
      <c r="BA10" s="14">
        <f t="shared" si="0"/>
        <v>0</v>
      </c>
      <c r="BB10" s="14">
        <f>SUM(AG10:BA10)</f>
        <v>16605.00982988</v>
      </c>
      <c r="BC10" s="14">
        <v>0</v>
      </c>
      <c r="BD10" s="14">
        <f>AC10-BB10</f>
        <v>3250.75999572</v>
      </c>
      <c r="BE10" s="30">
        <f>AB10-S10</f>
        <v>-3803.6399999999994</v>
      </c>
    </row>
    <row r="11" spans="1:57" ht="12.75" hidden="1">
      <c r="A11" s="11" t="s">
        <v>43</v>
      </c>
      <c r="B11" s="106">
        <v>2678.8</v>
      </c>
      <c r="C11" s="107">
        <f>B11*8.65</f>
        <v>23171.620000000003</v>
      </c>
      <c r="D11" s="108">
        <f>C11*0.24035</f>
        <v>5569.298867</v>
      </c>
      <c r="E11" s="109">
        <v>1711.72</v>
      </c>
      <c r="F11" s="109">
        <v>450.89</v>
      </c>
      <c r="G11" s="109">
        <v>2310.88</v>
      </c>
      <c r="H11" s="109">
        <v>608.69</v>
      </c>
      <c r="I11" s="109">
        <v>5563.19</v>
      </c>
      <c r="J11" s="109">
        <v>1465.37</v>
      </c>
      <c r="K11" s="109">
        <v>3851.47</v>
      </c>
      <c r="L11" s="109">
        <v>1014.48</v>
      </c>
      <c r="M11" s="109">
        <v>1369.38</v>
      </c>
      <c r="N11" s="109">
        <v>360.71</v>
      </c>
      <c r="O11" s="109">
        <v>0</v>
      </c>
      <c r="P11" s="116">
        <v>0</v>
      </c>
      <c r="Q11" s="109">
        <v>0</v>
      </c>
      <c r="R11" s="116">
        <v>0</v>
      </c>
      <c r="S11" s="93">
        <f>E11+G11+I11+K11+M11+O11+Q11</f>
        <v>14806.64</v>
      </c>
      <c r="T11" s="110">
        <f>P11+N11+L11+J11+H11+F11+R11</f>
        <v>3900.14</v>
      </c>
      <c r="U11" s="93">
        <v>1649.33</v>
      </c>
      <c r="V11" s="93">
        <v>2226.67</v>
      </c>
      <c r="W11" s="93">
        <v>5360.47</v>
      </c>
      <c r="X11" s="93">
        <v>3711.07</v>
      </c>
      <c r="Y11" s="93">
        <v>1319.48</v>
      </c>
      <c r="Z11" s="111">
        <v>0</v>
      </c>
      <c r="AA11" s="111">
        <v>0</v>
      </c>
      <c r="AB11" s="114">
        <f>SUM(U11:AA11)</f>
        <v>14267.02</v>
      </c>
      <c r="AC11" s="115">
        <f>D11+T11+AB11</f>
        <v>23736.458867</v>
      </c>
      <c r="AD11" s="104">
        <f>P11+Z11</f>
        <v>0</v>
      </c>
      <c r="AE11" s="104">
        <f>R11+AA11</f>
        <v>0</v>
      </c>
      <c r="AF11" s="104"/>
      <c r="AG11" s="16">
        <f>0.6*B11</f>
        <v>1607.28</v>
      </c>
      <c r="AH11" s="16">
        <f>B11*0.2*1.02524</f>
        <v>549.2825824</v>
      </c>
      <c r="AI11" s="16">
        <f>0.84932*B11</f>
        <v>2275.158416</v>
      </c>
      <c r="AJ11" s="16">
        <f>AI11*0.18</f>
        <v>409.52851488000005</v>
      </c>
      <c r="AK11" s="16">
        <f>1.04*B11*0.95033</f>
        <v>2647.5737641600003</v>
      </c>
      <c r="AL11" s="16">
        <f>AK11*0.18</f>
        <v>476.56327754880004</v>
      </c>
      <c r="AM11" s="16">
        <f>(1.91)*B11*0.95033</f>
        <v>4862.37104764</v>
      </c>
      <c r="AN11" s="16">
        <f>AM11*0.18</f>
        <v>875.2267885752</v>
      </c>
      <c r="AO11" s="16"/>
      <c r="AP11" s="16">
        <f>AO11*0.18</f>
        <v>0</v>
      </c>
      <c r="AQ11" s="16"/>
      <c r="AR11" s="16"/>
      <c r="AS11" s="99">
        <v>13200</v>
      </c>
      <c r="AT11" s="99"/>
      <c r="AU11" s="49">
        <f>AS11*0.18</f>
        <v>2376</v>
      </c>
      <c r="AV11" s="49"/>
      <c r="AW11" s="49"/>
      <c r="AX11" s="31">
        <v>0</v>
      </c>
      <c r="AY11" s="31">
        <v>0</v>
      </c>
      <c r="AZ11" s="31">
        <v>0</v>
      </c>
      <c r="BA11" s="14">
        <f t="shared" si="0"/>
        <v>0</v>
      </c>
      <c r="BB11" s="14">
        <f>SUM(AG11:BA11)</f>
        <v>29278.984391204</v>
      </c>
      <c r="BC11" s="14">
        <v>0</v>
      </c>
      <c r="BD11" s="14">
        <f>AC11-BB11</f>
        <v>-5542.525524204</v>
      </c>
      <c r="BE11" s="30">
        <f>AB11-S11</f>
        <v>-539.619999999999</v>
      </c>
    </row>
    <row r="12" spans="1:57" s="20" customFormat="1" ht="15" customHeight="1" hidden="1">
      <c r="A12" s="17" t="s">
        <v>5</v>
      </c>
      <c r="B12" s="62"/>
      <c r="C12" s="62">
        <f aca="true" t="shared" si="1" ref="C12:BE12">SUM(C9:C11)</f>
        <v>69514.86000000002</v>
      </c>
      <c r="D12" s="62">
        <f t="shared" si="1"/>
        <v>16732.4585182</v>
      </c>
      <c r="E12" s="59">
        <f>SUM(E9:E11)</f>
        <v>5084</v>
      </c>
      <c r="F12" s="59">
        <f t="shared" si="1"/>
        <v>1367.15</v>
      </c>
      <c r="G12" s="59">
        <f t="shared" si="1"/>
        <v>6863.570000000001</v>
      </c>
      <c r="H12" s="59">
        <f t="shared" si="1"/>
        <v>1845.5900000000001</v>
      </c>
      <c r="I12" s="59">
        <f t="shared" si="1"/>
        <v>16523.219999999998</v>
      </c>
      <c r="J12" s="59">
        <f t="shared" si="1"/>
        <v>4443.17</v>
      </c>
      <c r="K12" s="59">
        <f t="shared" si="1"/>
        <v>11439.22</v>
      </c>
      <c r="L12" s="59">
        <f t="shared" si="1"/>
        <v>3076.02</v>
      </c>
      <c r="M12" s="59">
        <f t="shared" si="1"/>
        <v>4067.19</v>
      </c>
      <c r="N12" s="59">
        <f t="shared" si="1"/>
        <v>1093.71</v>
      </c>
      <c r="O12" s="59">
        <f t="shared" si="1"/>
        <v>0</v>
      </c>
      <c r="P12" s="59">
        <f t="shared" si="1"/>
        <v>0</v>
      </c>
      <c r="Q12" s="59">
        <f t="shared" si="1"/>
        <v>0</v>
      </c>
      <c r="R12" s="59">
        <f t="shared" si="1"/>
        <v>0</v>
      </c>
      <c r="S12" s="59">
        <f t="shared" si="1"/>
        <v>43977.2</v>
      </c>
      <c r="T12" s="59">
        <f t="shared" si="1"/>
        <v>11825.64</v>
      </c>
      <c r="U12" s="63">
        <f t="shared" si="1"/>
        <v>2842.1</v>
      </c>
      <c r="V12" s="63">
        <f t="shared" si="1"/>
        <v>3836.94</v>
      </c>
      <c r="W12" s="63">
        <f t="shared" si="1"/>
        <v>9236.95</v>
      </c>
      <c r="X12" s="63">
        <f t="shared" si="1"/>
        <v>6394.85</v>
      </c>
      <c r="Y12" s="63">
        <f t="shared" si="1"/>
        <v>2273.7</v>
      </c>
      <c r="Z12" s="63">
        <f t="shared" si="1"/>
        <v>0</v>
      </c>
      <c r="AA12" s="63">
        <f t="shared" si="1"/>
        <v>0</v>
      </c>
      <c r="AB12" s="63">
        <f t="shared" si="1"/>
        <v>24584.54</v>
      </c>
      <c r="AC12" s="63">
        <f t="shared" si="1"/>
        <v>53142.6385182</v>
      </c>
      <c r="AD12" s="63">
        <f>SUM(AD9:AD11)</f>
        <v>0</v>
      </c>
      <c r="AE12" s="102">
        <f t="shared" si="1"/>
        <v>0</v>
      </c>
      <c r="AF12" s="102">
        <f t="shared" si="1"/>
        <v>0</v>
      </c>
      <c r="AG12" s="18">
        <f t="shared" si="1"/>
        <v>4821.84</v>
      </c>
      <c r="AH12" s="18">
        <f t="shared" si="1"/>
        <v>1654.6947600000003</v>
      </c>
      <c r="AI12" s="18">
        <f t="shared" si="1"/>
        <v>6838.762096</v>
      </c>
      <c r="AJ12" s="18">
        <f t="shared" si="1"/>
        <v>1230.97717728</v>
      </c>
      <c r="AK12" s="18">
        <f t="shared" si="1"/>
        <v>7958.15546656</v>
      </c>
      <c r="AL12" s="18">
        <f t="shared" si="1"/>
        <v>1432.4679839808</v>
      </c>
      <c r="AM12" s="18">
        <f>SUM(AM9:AM11)</f>
        <v>14615.458597239998</v>
      </c>
      <c r="AN12" s="18">
        <f>SUM(AN9:AN11)</f>
        <v>2630.7825475031996</v>
      </c>
      <c r="AO12" s="18">
        <f t="shared" si="1"/>
        <v>0</v>
      </c>
      <c r="AP12" s="18">
        <f t="shared" si="1"/>
        <v>0</v>
      </c>
      <c r="AQ12" s="18">
        <f>SUM(AQ9:AQ11)</f>
        <v>0</v>
      </c>
      <c r="AR12" s="18">
        <f>SUM(AR9:AR11)</f>
        <v>0</v>
      </c>
      <c r="AS12" s="18">
        <f>SUM(AS9:AS11)</f>
        <v>23539.239999999998</v>
      </c>
      <c r="AT12" s="18">
        <f>SUM(AT9:AT11)</f>
        <v>0</v>
      </c>
      <c r="AU12" s="18">
        <f>SUM(AU9:AU11)</f>
        <v>4237.0632000000005</v>
      </c>
      <c r="AV12" s="18"/>
      <c r="AW12" s="18"/>
      <c r="AX12" s="18">
        <f t="shared" si="1"/>
        <v>0</v>
      </c>
      <c r="AY12" s="18">
        <f t="shared" si="1"/>
        <v>0</v>
      </c>
      <c r="AZ12" s="18">
        <f t="shared" si="1"/>
        <v>0</v>
      </c>
      <c r="BA12" s="18">
        <f t="shared" si="1"/>
        <v>0</v>
      </c>
      <c r="BB12" s="18">
        <f t="shared" si="1"/>
        <v>68959.441828564</v>
      </c>
      <c r="BC12" s="18">
        <f t="shared" si="1"/>
        <v>0</v>
      </c>
      <c r="BD12" s="18">
        <f t="shared" si="1"/>
        <v>-15816.803310363997</v>
      </c>
      <c r="BE12" s="19">
        <f t="shared" si="1"/>
        <v>-19392.66</v>
      </c>
    </row>
    <row r="13" spans="1:57" ht="15" customHeight="1" hidden="1">
      <c r="A13" s="5" t="s">
        <v>44</v>
      </c>
      <c r="B13" s="60"/>
      <c r="C13" s="61"/>
      <c r="D13" s="61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7"/>
      <c r="R13" s="57"/>
      <c r="S13" s="57"/>
      <c r="T13" s="57"/>
      <c r="U13" s="64"/>
      <c r="V13" s="64"/>
      <c r="W13" s="64"/>
      <c r="X13" s="64"/>
      <c r="Y13" s="64"/>
      <c r="Z13" s="64"/>
      <c r="AA13" s="56"/>
      <c r="AB13" s="56"/>
      <c r="AC13" s="100"/>
      <c r="AD13" s="100"/>
      <c r="AE13" s="101"/>
      <c r="AF13" s="101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7"/>
      <c r="AT13" s="97"/>
      <c r="AU13" s="49"/>
      <c r="AV13" s="49"/>
      <c r="AW13" s="49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17">
        <v>2678.8</v>
      </c>
      <c r="C14" s="107">
        <f>B14*8.65</f>
        <v>23171.620000000003</v>
      </c>
      <c r="D14" s="108">
        <f>C14*0.125</f>
        <v>2896.4525000000003</v>
      </c>
      <c r="E14" s="109">
        <v>1731.77</v>
      </c>
      <c r="F14" s="109">
        <v>444.93</v>
      </c>
      <c r="G14" s="109">
        <v>2337.95</v>
      </c>
      <c r="H14" s="109">
        <v>600.63</v>
      </c>
      <c r="I14" s="109">
        <v>5628.31</v>
      </c>
      <c r="J14" s="109">
        <v>1446</v>
      </c>
      <c r="K14" s="109">
        <v>3896.56</v>
      </c>
      <c r="L14" s="109">
        <v>1001.07</v>
      </c>
      <c r="M14" s="109">
        <v>1385.4</v>
      </c>
      <c r="N14" s="109">
        <v>355.94</v>
      </c>
      <c r="O14" s="109">
        <v>0</v>
      </c>
      <c r="P14" s="116">
        <v>0</v>
      </c>
      <c r="Q14" s="109">
        <v>0</v>
      </c>
      <c r="R14" s="116">
        <v>0</v>
      </c>
      <c r="S14" s="93">
        <f>E14+G14+I14+K14+M14+O14+Q14</f>
        <v>14979.99</v>
      </c>
      <c r="T14" s="110">
        <f>P14+N14+L14+J14+H14+F14+R14</f>
        <v>3848.57</v>
      </c>
      <c r="U14" s="93">
        <v>2634.93</v>
      </c>
      <c r="V14" s="93">
        <v>3567.47</v>
      </c>
      <c r="W14" s="93">
        <v>8572.97</v>
      </c>
      <c r="X14" s="93">
        <v>5938.62</v>
      </c>
      <c r="Y14" s="93">
        <v>2114.25</v>
      </c>
      <c r="Z14" s="111">
        <v>0</v>
      </c>
      <c r="AA14" s="111">
        <v>0</v>
      </c>
      <c r="AB14" s="118">
        <f aca="true" t="shared" si="2" ref="AB14:AB22">SUM(U14:AA14)</f>
        <v>22828.239999999998</v>
      </c>
      <c r="AC14" s="115">
        <f aca="true" t="shared" si="3" ref="AC14:AC22">D14+T14+AB14</f>
        <v>29573.262499999997</v>
      </c>
      <c r="AD14" s="104">
        <f>P14+Z14</f>
        <v>0</v>
      </c>
      <c r="AE14" s="104">
        <f>R14+AA14</f>
        <v>0</v>
      </c>
      <c r="AF14" s="104"/>
      <c r="AG14" s="16">
        <f>0.6*B14*0.9</f>
        <v>1446.552</v>
      </c>
      <c r="AH14" s="16">
        <f>B14*0.2*0.891</f>
        <v>477.3621600000001</v>
      </c>
      <c r="AI14" s="16">
        <f>0.85*B14*0.867-0.02</f>
        <v>1974.12166</v>
      </c>
      <c r="AJ14" s="16">
        <f>AI14*0.18</f>
        <v>355.34189879999997</v>
      </c>
      <c r="AK14" s="16">
        <f>0.83*B14*0.8685</f>
        <v>1931.026374</v>
      </c>
      <c r="AL14" s="16">
        <f>AK14*0.18</f>
        <v>347.58474732</v>
      </c>
      <c r="AM14" s="16">
        <f>1.91*B14*0.8686</f>
        <v>4444.1988488</v>
      </c>
      <c r="AN14" s="16">
        <f>AM14*0.18</f>
        <v>799.9557927839999</v>
      </c>
      <c r="AO14" s="16">
        <v>805</v>
      </c>
      <c r="AP14" s="16">
        <f>AO14*0.18</f>
        <v>144.9</v>
      </c>
      <c r="AQ14" s="119"/>
      <c r="AR14" s="119">
        <f>AQ14*0.18</f>
        <v>0</v>
      </c>
      <c r="AS14" s="99">
        <v>608</v>
      </c>
      <c r="AT14" s="99"/>
      <c r="AU14" s="99">
        <f>(AS14+AT14)*0.18+0.01</f>
        <v>109.45</v>
      </c>
      <c r="AV14" s="120"/>
      <c r="AW14" s="137">
        <v>404</v>
      </c>
      <c r="AX14" s="16">
        <f aca="true" t="shared" si="4" ref="AX14:AX22">AW14*1.12*1.18</f>
        <v>533.9264</v>
      </c>
      <c r="AY14" s="123"/>
      <c r="AZ14" s="124"/>
      <c r="BA14" s="124">
        <f>AZ14*0.18</f>
        <v>0</v>
      </c>
      <c r="BB14" s="124">
        <f>SUM(AG14:AU14)</f>
        <v>13443.493481704</v>
      </c>
      <c r="BC14" s="135"/>
      <c r="BD14" s="14">
        <f>AC14+AF14-BB14-BC14</f>
        <v>16129.769018295998</v>
      </c>
      <c r="BE14" s="30">
        <f>AB14-S14</f>
        <v>7848.249999999998</v>
      </c>
    </row>
    <row r="15" spans="1:57" ht="12.75" hidden="1">
      <c r="A15" s="11" t="s">
        <v>46</v>
      </c>
      <c r="B15" s="117">
        <v>2678.8</v>
      </c>
      <c r="C15" s="107">
        <f>B15*8.65</f>
        <v>23171.620000000003</v>
      </c>
      <c r="D15" s="108">
        <f>C15*0.125</f>
        <v>2896.4525000000003</v>
      </c>
      <c r="E15" s="109">
        <v>1659.99</v>
      </c>
      <c r="F15" s="109">
        <v>444.93</v>
      </c>
      <c r="G15" s="109">
        <v>2235.66</v>
      </c>
      <c r="H15" s="109">
        <v>600.63</v>
      </c>
      <c r="I15" s="109">
        <v>5382.05</v>
      </c>
      <c r="J15" s="109">
        <v>1446</v>
      </c>
      <c r="K15" s="109">
        <v>3726.06</v>
      </c>
      <c r="L15" s="109">
        <v>1001.07</v>
      </c>
      <c r="M15" s="109">
        <v>1324.83</v>
      </c>
      <c r="N15" s="109">
        <v>355.94</v>
      </c>
      <c r="O15" s="109">
        <v>0</v>
      </c>
      <c r="P15" s="116">
        <v>0</v>
      </c>
      <c r="Q15" s="109">
        <v>0</v>
      </c>
      <c r="R15" s="116">
        <v>0</v>
      </c>
      <c r="S15" s="93">
        <f>E15+G15+I15+K15+M15+O15+Q15</f>
        <v>14328.59</v>
      </c>
      <c r="T15" s="110">
        <f>P15+N15+L15+J15+H15+F15+R15</f>
        <v>3848.57</v>
      </c>
      <c r="U15" s="93">
        <v>1108.02</v>
      </c>
      <c r="V15" s="93">
        <v>1495.85</v>
      </c>
      <c r="W15" s="93">
        <v>3601.15</v>
      </c>
      <c r="X15" s="93">
        <v>2493.09</v>
      </c>
      <c r="Y15" s="93">
        <v>886.43</v>
      </c>
      <c r="Z15" s="111">
        <v>0</v>
      </c>
      <c r="AA15" s="111">
        <v>0</v>
      </c>
      <c r="AB15" s="114">
        <f t="shared" si="2"/>
        <v>9584.54</v>
      </c>
      <c r="AC15" s="115">
        <f t="shared" si="3"/>
        <v>16329.562500000002</v>
      </c>
      <c r="AD15" s="104">
        <f>P15+Z15</f>
        <v>0</v>
      </c>
      <c r="AE15" s="104">
        <f>R15+AA15</f>
        <v>0</v>
      </c>
      <c r="AF15" s="104"/>
      <c r="AG15" s="16">
        <f>0.6*B15*0.9</f>
        <v>1446.552</v>
      </c>
      <c r="AH15" s="16">
        <f>B15*0.2*0.9153</f>
        <v>490.3811280000001</v>
      </c>
      <c r="AI15" s="16">
        <f>0.85*B15*0.866</f>
        <v>1971.86468</v>
      </c>
      <c r="AJ15" s="16">
        <f>AI15*0.18</f>
        <v>354.93564239999995</v>
      </c>
      <c r="AK15" s="16">
        <f>0.83*B15*0.8684</f>
        <v>1930.8040336</v>
      </c>
      <c r="AL15" s="16">
        <f>AK15*0.18</f>
        <v>347.544726048</v>
      </c>
      <c r="AM15" s="16">
        <f>(1.91)*B15*0.8684</f>
        <v>4443.1755471999995</v>
      </c>
      <c r="AN15" s="16">
        <f>AM15*0.18</f>
        <v>799.7715984959999</v>
      </c>
      <c r="AO15" s="16"/>
      <c r="AP15" s="16">
        <f>AO15*0.18</f>
        <v>0</v>
      </c>
      <c r="AQ15" s="119"/>
      <c r="AR15" s="119">
        <f>AQ15*0.18</f>
        <v>0</v>
      </c>
      <c r="AS15" s="99">
        <v>48726</v>
      </c>
      <c r="AT15" s="99"/>
      <c r="AU15" s="99">
        <f>(AS15+AT15)*0.18</f>
        <v>8770.68</v>
      </c>
      <c r="AV15" s="120"/>
      <c r="AW15" s="138">
        <v>422</v>
      </c>
      <c r="AX15" s="16">
        <f t="shared" si="4"/>
        <v>557.7152</v>
      </c>
      <c r="AY15" s="123"/>
      <c r="AZ15" s="124"/>
      <c r="BA15" s="124">
        <f>AZ15*0.18</f>
        <v>0</v>
      </c>
      <c r="BB15" s="124">
        <f>SUM(AG15:AU15)+AY15</f>
        <v>69281.70935574401</v>
      </c>
      <c r="BC15" s="131"/>
      <c r="BD15" s="14">
        <f aca="true" t="shared" si="5" ref="BD15:BD24">AC15+AF15-BB15-BC15</f>
        <v>-52952.14685574401</v>
      </c>
      <c r="BE15" s="30">
        <f aca="true" t="shared" si="6" ref="BE15:BE24">AB15-S15</f>
        <v>-4744.049999999999</v>
      </c>
    </row>
    <row r="16" spans="1:57" ht="12.75" hidden="1">
      <c r="A16" s="11" t="s">
        <v>47</v>
      </c>
      <c r="B16" s="125">
        <v>2678.8</v>
      </c>
      <c r="C16" s="107">
        <f>B16*8.65</f>
        <v>23171.620000000003</v>
      </c>
      <c r="D16" s="108">
        <f>C16*0.125</f>
        <v>2896.4525000000003</v>
      </c>
      <c r="E16" s="109">
        <v>1731.77</v>
      </c>
      <c r="F16" s="109">
        <v>444.93</v>
      </c>
      <c r="G16" s="109">
        <v>2337.95</v>
      </c>
      <c r="H16" s="109">
        <v>600.63</v>
      </c>
      <c r="I16" s="109">
        <v>5628.31</v>
      </c>
      <c r="J16" s="109">
        <v>1446</v>
      </c>
      <c r="K16" s="109">
        <v>3896.56</v>
      </c>
      <c r="L16" s="109">
        <v>1001.07</v>
      </c>
      <c r="M16" s="109">
        <v>1385.4</v>
      </c>
      <c r="N16" s="109">
        <v>355.94</v>
      </c>
      <c r="O16" s="109">
        <v>0</v>
      </c>
      <c r="P16" s="116">
        <v>0</v>
      </c>
      <c r="Q16" s="109">
        <v>0</v>
      </c>
      <c r="R16" s="116">
        <v>0</v>
      </c>
      <c r="S16" s="93">
        <f>E16+G16+I16+K16+M16+O16+Q16</f>
        <v>14979.99</v>
      </c>
      <c r="T16" s="110">
        <f>P16+N16+L16+J16+H16+F16+R16</f>
        <v>3848.57</v>
      </c>
      <c r="U16" s="94">
        <v>1685.99</v>
      </c>
      <c r="V16" s="94">
        <v>2276.19</v>
      </c>
      <c r="W16" s="94">
        <v>5480.62</v>
      </c>
      <c r="X16" s="94">
        <v>3793.63</v>
      </c>
      <c r="Y16" s="94">
        <v>1332.79</v>
      </c>
      <c r="Z16" s="126">
        <v>0</v>
      </c>
      <c r="AA16" s="126">
        <v>0</v>
      </c>
      <c r="AB16" s="118">
        <f t="shared" si="2"/>
        <v>14569.220000000001</v>
      </c>
      <c r="AC16" s="115">
        <f t="shared" si="3"/>
        <v>21314.2425</v>
      </c>
      <c r="AD16" s="104">
        <f>P16+Z16</f>
        <v>0</v>
      </c>
      <c r="AE16" s="104">
        <f>R16+AA16</f>
        <v>0</v>
      </c>
      <c r="AF16" s="104"/>
      <c r="AG16" s="16">
        <f>0.6*B16*0.9</f>
        <v>1446.552</v>
      </c>
      <c r="AH16" s="127">
        <f>B16*0.2*0.9082-0.01</f>
        <v>486.5672320000001</v>
      </c>
      <c r="AI16" s="16">
        <f>0.85*B16*0.8675</f>
        <v>1975.28015</v>
      </c>
      <c r="AJ16" s="16">
        <f>AI16*0.18</f>
        <v>355.550427</v>
      </c>
      <c r="AK16" s="127">
        <f>0.83*B16*0.838</f>
        <v>1863.212552</v>
      </c>
      <c r="AL16" s="16">
        <f>AK16*0.18</f>
        <v>335.37825935999996</v>
      </c>
      <c r="AM16" s="16">
        <f>1.91*B16*0.8381</f>
        <v>4288.1453548</v>
      </c>
      <c r="AN16" s="16">
        <f>AM16*0.18</f>
        <v>771.866163864</v>
      </c>
      <c r="AO16" s="16">
        <v>2884.82</v>
      </c>
      <c r="AP16" s="16">
        <f>AO16*0.18</f>
        <v>519.2676</v>
      </c>
      <c r="AQ16" s="119">
        <v>3407.51</v>
      </c>
      <c r="AR16" s="119">
        <f>AQ16*0.18</f>
        <v>613.3518</v>
      </c>
      <c r="AS16" s="99">
        <v>5837</v>
      </c>
      <c r="AT16" s="99"/>
      <c r="AU16" s="99">
        <f>(AS16+AT16)*0.18</f>
        <v>1050.6599999999999</v>
      </c>
      <c r="AV16" s="120"/>
      <c r="AW16" s="139">
        <v>260</v>
      </c>
      <c r="AX16" s="16">
        <f t="shared" si="4"/>
        <v>343.61600000000004</v>
      </c>
      <c r="AY16" s="123"/>
      <c r="AZ16" s="124"/>
      <c r="BA16" s="124">
        <f>AZ16*0.18</f>
        <v>0</v>
      </c>
      <c r="BB16" s="124">
        <f>SUM(AG16:AU16)</f>
        <v>25835.161539023997</v>
      </c>
      <c r="BC16" s="131"/>
      <c r="BD16" s="14">
        <f t="shared" si="5"/>
        <v>-4520.919039023996</v>
      </c>
      <c r="BE16" s="30">
        <f t="shared" si="6"/>
        <v>-410.7699999999986</v>
      </c>
    </row>
    <row r="17" spans="1:57" ht="12.75" hidden="1">
      <c r="A17" s="11" t="s">
        <v>48</v>
      </c>
      <c r="B17" s="128">
        <v>2678.8</v>
      </c>
      <c r="C17" s="107">
        <f>B17*8.65</f>
        <v>23171.620000000003</v>
      </c>
      <c r="D17" s="108">
        <f>C17*0.125</f>
        <v>2896.4525000000003</v>
      </c>
      <c r="E17" s="129">
        <v>1756.29</v>
      </c>
      <c r="F17" s="129">
        <v>444.93</v>
      </c>
      <c r="G17" s="129">
        <v>2371.04</v>
      </c>
      <c r="H17" s="129">
        <v>600.63</v>
      </c>
      <c r="I17" s="129">
        <v>5707.99</v>
      </c>
      <c r="J17" s="129">
        <v>1446</v>
      </c>
      <c r="K17" s="129">
        <v>3951.73</v>
      </c>
      <c r="L17" s="129">
        <v>1001.07</v>
      </c>
      <c r="M17" s="129">
        <v>1405.01</v>
      </c>
      <c r="N17" s="129">
        <v>355.94</v>
      </c>
      <c r="O17" s="129">
        <v>0</v>
      </c>
      <c r="P17" s="130">
        <v>0</v>
      </c>
      <c r="Q17" s="129">
        <v>0</v>
      </c>
      <c r="R17" s="130">
        <v>0</v>
      </c>
      <c r="S17" s="93">
        <f>E17+G17+I17+K17+M17+O17+Q17</f>
        <v>15192.06</v>
      </c>
      <c r="T17" s="110">
        <f>P17+N17+L17+J17+H17+F17+R17</f>
        <v>3848.57</v>
      </c>
      <c r="U17" s="93">
        <v>1858.32</v>
      </c>
      <c r="V17" s="93">
        <v>2508.27</v>
      </c>
      <c r="W17" s="93">
        <v>6039.99</v>
      </c>
      <c r="X17" s="93">
        <v>4180.72</v>
      </c>
      <c r="Y17" s="93">
        <v>1486.67</v>
      </c>
      <c r="Z17" s="93">
        <v>0</v>
      </c>
      <c r="AA17" s="93">
        <v>0</v>
      </c>
      <c r="AB17" s="118">
        <f t="shared" si="2"/>
        <v>16073.97</v>
      </c>
      <c r="AC17" s="115">
        <f t="shared" si="3"/>
        <v>22818.9925</v>
      </c>
      <c r="AD17" s="104">
        <f>P17+Z17</f>
        <v>0</v>
      </c>
      <c r="AE17" s="104">
        <f>R17+AA17</f>
        <v>0</v>
      </c>
      <c r="AF17" s="104"/>
      <c r="AG17" s="16">
        <f>0.6*B17*0.9</f>
        <v>1446.552</v>
      </c>
      <c r="AH17" s="127">
        <f>B17*0.2*0.9234</f>
        <v>494.7207840000001</v>
      </c>
      <c r="AI17" s="16">
        <f>0.85*B17*0.8934</f>
        <v>2034.2539319999998</v>
      </c>
      <c r="AJ17" s="16">
        <f>AI17*0.18</f>
        <v>366.16570776</v>
      </c>
      <c r="AK17" s="16">
        <f>0.83*B17*0.8498</f>
        <v>1889.4487192</v>
      </c>
      <c r="AL17" s="16">
        <f>AK17*0.18</f>
        <v>340.10076945599997</v>
      </c>
      <c r="AM17" s="16">
        <f>(1.91)*B17*0.8498</f>
        <v>4348.0084984</v>
      </c>
      <c r="AN17" s="16">
        <f>AM17*0.18</f>
        <v>782.6415297119999</v>
      </c>
      <c r="AO17" s="16"/>
      <c r="AP17" s="16">
        <f>AO17*0.18</f>
        <v>0</v>
      </c>
      <c r="AQ17" s="119">
        <v>6815.02</v>
      </c>
      <c r="AR17" s="119">
        <f>AQ17*0.18</f>
        <v>1226.7036</v>
      </c>
      <c r="AS17" s="99">
        <v>7037.73</v>
      </c>
      <c r="AT17" s="99"/>
      <c r="AU17" s="99">
        <f>(AS17+AT17)*0.18</f>
        <v>1266.7913999999998</v>
      </c>
      <c r="AV17" s="120"/>
      <c r="AW17" s="121">
        <v>486</v>
      </c>
      <c r="AX17" s="16">
        <f t="shared" si="4"/>
        <v>642.2976</v>
      </c>
      <c r="AY17" s="31">
        <v>0</v>
      </c>
      <c r="AZ17" s="31">
        <v>0</v>
      </c>
      <c r="BA17" s="14">
        <f t="shared" si="0"/>
        <v>0</v>
      </c>
      <c r="BB17" s="14">
        <f>SUM(AG17:BA17)-AV17-AW17+AX14+AX15+AX16</f>
        <v>30125.692140528</v>
      </c>
      <c r="BC17" s="131"/>
      <c r="BD17" s="14">
        <f t="shared" si="5"/>
        <v>-7306.699640528001</v>
      </c>
      <c r="BE17" s="30">
        <f t="shared" si="6"/>
        <v>881.9099999999999</v>
      </c>
    </row>
    <row r="18" spans="1:57" ht="12.75" hidden="1">
      <c r="A18" s="11" t="s">
        <v>49</v>
      </c>
      <c r="B18" s="132">
        <v>2678.8</v>
      </c>
      <c r="C18" s="107">
        <f>B18*8.65</f>
        <v>23171.620000000003</v>
      </c>
      <c r="D18" s="133">
        <f aca="true" t="shared" si="7" ref="D18:D25">C18-E18-F18-G18-H18-I18-J18-K18-L18-M18-N18</f>
        <v>2314.4000000000024</v>
      </c>
      <c r="E18" s="129">
        <v>1913.71</v>
      </c>
      <c r="F18" s="129">
        <v>493.53</v>
      </c>
      <c r="G18" s="129">
        <v>2592.34</v>
      </c>
      <c r="H18" s="129">
        <v>668.9</v>
      </c>
      <c r="I18" s="129">
        <v>6228.51</v>
      </c>
      <c r="J18" s="129">
        <v>1606.59</v>
      </c>
      <c r="K18" s="129">
        <v>4314.71</v>
      </c>
      <c r="L18" s="129">
        <v>1113.14</v>
      </c>
      <c r="M18" s="129">
        <v>1530.98</v>
      </c>
      <c r="N18" s="129">
        <v>394.81</v>
      </c>
      <c r="O18" s="129">
        <v>0</v>
      </c>
      <c r="P18" s="130">
        <v>0</v>
      </c>
      <c r="Q18" s="129">
        <v>0</v>
      </c>
      <c r="R18" s="130">
        <v>0</v>
      </c>
      <c r="S18" s="93">
        <f>E18+G18+I18+K18+M18+O18+Q18</f>
        <v>16580.25</v>
      </c>
      <c r="T18" s="110">
        <f>P18+N18+L18+J18+H18+F18+R18</f>
        <v>4276.97</v>
      </c>
      <c r="U18" s="94">
        <v>1608.18</v>
      </c>
      <c r="V18" s="94">
        <v>2171.58</v>
      </c>
      <c r="W18" s="94">
        <v>5227.19</v>
      </c>
      <c r="X18" s="94">
        <v>3620.03</v>
      </c>
      <c r="Y18" s="94">
        <v>1286.52</v>
      </c>
      <c r="Z18" s="126">
        <v>0</v>
      </c>
      <c r="AA18" s="126">
        <v>0</v>
      </c>
      <c r="AB18" s="118">
        <f t="shared" si="2"/>
        <v>13913.500000000002</v>
      </c>
      <c r="AC18" s="115">
        <f t="shared" si="3"/>
        <v>20504.870000000003</v>
      </c>
      <c r="AD18" s="104">
        <f>P18+Z18</f>
        <v>0</v>
      </c>
      <c r="AE18" s="104">
        <f>R18+AA18</f>
        <v>0</v>
      </c>
      <c r="AF18" s="104"/>
      <c r="AG18" s="16">
        <f aca="true" t="shared" si="8" ref="AG18:AG25">0.6*B18</f>
        <v>1607.28</v>
      </c>
      <c r="AH18" s="16">
        <f>B18*0.2*1.01</f>
        <v>541.1176000000002</v>
      </c>
      <c r="AI18" s="16">
        <f>0.85*B18</f>
        <v>2276.98</v>
      </c>
      <c r="AJ18" s="16">
        <f>AI18*0.18</f>
        <v>409.8564</v>
      </c>
      <c r="AK18" s="16">
        <f>0.83*B18</f>
        <v>2223.404</v>
      </c>
      <c r="AL18" s="16">
        <f>AK18*0.18</f>
        <v>400.21272</v>
      </c>
      <c r="AM18" s="16">
        <f>(1.91)*B18</f>
        <v>5116.508</v>
      </c>
      <c r="AN18" s="16">
        <f>AM18*0.18</f>
        <v>920.9714399999999</v>
      </c>
      <c r="AO18" s="16"/>
      <c r="AP18" s="16">
        <f>AO18*0.18</f>
        <v>0</v>
      </c>
      <c r="AQ18" s="119">
        <v>255</v>
      </c>
      <c r="AR18" s="119">
        <f>AQ18*0.18</f>
        <v>45.9</v>
      </c>
      <c r="AS18" s="99">
        <f>2381.31</f>
        <v>2381.31</v>
      </c>
      <c r="AT18" s="99"/>
      <c r="AU18" s="99">
        <f>(AS18+AT18)*0.18</f>
        <v>428.63579999999996</v>
      </c>
      <c r="AV18" s="120"/>
      <c r="AW18" s="140">
        <v>438</v>
      </c>
      <c r="AX18" s="16">
        <f t="shared" si="4"/>
        <v>578.8608</v>
      </c>
      <c r="AY18" s="31">
        <v>0</v>
      </c>
      <c r="AZ18" s="31">
        <v>0</v>
      </c>
      <c r="BA18" s="14">
        <f t="shared" si="0"/>
        <v>0</v>
      </c>
      <c r="BB18" s="14">
        <f>SUM(AG18:BA18)-AV18-AW18</f>
        <v>17186.036759999995</v>
      </c>
      <c r="BC18" s="131"/>
      <c r="BD18" s="14">
        <f>AC18+AF18-BB18-BC18</f>
        <v>3318.833240000007</v>
      </c>
      <c r="BE18" s="30">
        <f>AB18-S18</f>
        <v>-2666.749999999998</v>
      </c>
    </row>
    <row r="19" spans="1:57" ht="12.75" hidden="1">
      <c r="A19" s="11" t="s">
        <v>50</v>
      </c>
      <c r="B19" s="132">
        <v>2678.8</v>
      </c>
      <c r="C19" s="107">
        <f aca="true" t="shared" si="9" ref="C19:C25">B19*8.65</f>
        <v>23171.620000000003</v>
      </c>
      <c r="D19" s="133">
        <f t="shared" si="7"/>
        <v>1451.5800000000056</v>
      </c>
      <c r="E19" s="129">
        <v>2012.26</v>
      </c>
      <c r="F19" s="129">
        <v>494.76</v>
      </c>
      <c r="G19" s="129">
        <v>2725.24</v>
      </c>
      <c r="H19" s="129">
        <v>670.66</v>
      </c>
      <c r="I19" s="129">
        <v>6548.63</v>
      </c>
      <c r="J19" s="129">
        <v>1610.63</v>
      </c>
      <c r="K19" s="129">
        <v>4536.3</v>
      </c>
      <c r="L19" s="129">
        <v>1115.93</v>
      </c>
      <c r="M19" s="129">
        <v>1609.83</v>
      </c>
      <c r="N19" s="129">
        <v>395.8</v>
      </c>
      <c r="O19" s="129">
        <v>0</v>
      </c>
      <c r="P19" s="130">
        <v>0</v>
      </c>
      <c r="Q19" s="129">
        <v>0</v>
      </c>
      <c r="R19" s="130">
        <v>0</v>
      </c>
      <c r="S19" s="93">
        <f aca="true" t="shared" si="10" ref="S19:S25">E19+G19+I19+K19+M19+O19+Q19</f>
        <v>17432.260000000002</v>
      </c>
      <c r="T19" s="110">
        <f aca="true" t="shared" si="11" ref="T19:T25">P19+N19+L19+J19+H19+F19+R19</f>
        <v>4287.78</v>
      </c>
      <c r="U19" s="94">
        <v>1695.24</v>
      </c>
      <c r="V19" s="94">
        <v>2294.39</v>
      </c>
      <c r="W19" s="94">
        <v>5515.43</v>
      </c>
      <c r="X19" s="94">
        <v>3819.96</v>
      </c>
      <c r="Y19" s="94">
        <v>1356.2</v>
      </c>
      <c r="Z19" s="126">
        <v>0</v>
      </c>
      <c r="AA19" s="126">
        <v>0</v>
      </c>
      <c r="AB19" s="118">
        <f t="shared" si="2"/>
        <v>14681.220000000001</v>
      </c>
      <c r="AC19" s="115">
        <f t="shared" si="3"/>
        <v>20420.580000000005</v>
      </c>
      <c r="AD19" s="104">
        <f aca="true" t="shared" si="12" ref="AD19:AD25">P19+Z19</f>
        <v>0</v>
      </c>
      <c r="AE19" s="104">
        <f aca="true" t="shared" si="13" ref="AE19:AE25">R19+AA19</f>
        <v>0</v>
      </c>
      <c r="AF19" s="104"/>
      <c r="AG19" s="16">
        <f t="shared" si="8"/>
        <v>1607.28</v>
      </c>
      <c r="AH19" s="16">
        <f>B19*0.2*1.01045-0.01</f>
        <v>541.3486920000001</v>
      </c>
      <c r="AI19" s="16">
        <f>0.85*B19</f>
        <v>2276.98</v>
      </c>
      <c r="AJ19" s="16">
        <f aca="true" t="shared" si="14" ref="AJ19:AJ25">AI19*0.18</f>
        <v>409.8564</v>
      </c>
      <c r="AK19" s="16">
        <f>0.83*B19</f>
        <v>2223.404</v>
      </c>
      <c r="AL19" s="16">
        <f aca="true" t="shared" si="15" ref="AL19:AL25">AK19*0.18</f>
        <v>400.21272</v>
      </c>
      <c r="AM19" s="16">
        <f>(1.91)*B19+0.01</f>
        <v>5116.518</v>
      </c>
      <c r="AN19" s="16">
        <f aca="true" t="shared" si="16" ref="AN19:AN25">AM19*0.18</f>
        <v>920.9732399999999</v>
      </c>
      <c r="AO19" s="16"/>
      <c r="AP19" s="16">
        <f aca="true" t="shared" si="17" ref="AP19:AP25">AO19*0.18</f>
        <v>0</v>
      </c>
      <c r="AQ19" s="119"/>
      <c r="AR19" s="119">
        <f aca="true" t="shared" si="18" ref="AR19:AR25">AQ19*0.18</f>
        <v>0</v>
      </c>
      <c r="AS19" s="99">
        <v>14567.4</v>
      </c>
      <c r="AT19" s="99"/>
      <c r="AU19" s="99">
        <f aca="true" t="shared" si="19" ref="AU19:AU25">(AS19+AT19)*0.18</f>
        <v>2622.132</v>
      </c>
      <c r="AV19" s="120"/>
      <c r="AW19" s="140">
        <v>524</v>
      </c>
      <c r="AX19" s="16">
        <f t="shared" si="4"/>
        <v>692.5184</v>
      </c>
      <c r="AY19" s="31">
        <v>0</v>
      </c>
      <c r="AZ19" s="31">
        <v>0</v>
      </c>
      <c r="BA19" s="14">
        <f t="shared" si="0"/>
        <v>0</v>
      </c>
      <c r="BB19" s="14">
        <f>SUM(AG19:BA19)-AV19-AW19</f>
        <v>31378.623452</v>
      </c>
      <c r="BC19" s="131"/>
      <c r="BD19" s="14">
        <f t="shared" si="5"/>
        <v>-10958.043451999994</v>
      </c>
      <c r="BE19" s="30">
        <f t="shared" si="6"/>
        <v>-2751.040000000001</v>
      </c>
    </row>
    <row r="20" spans="1:57" ht="12.75" hidden="1">
      <c r="A20" s="11" t="s">
        <v>51</v>
      </c>
      <c r="B20" s="117">
        <v>2678.8</v>
      </c>
      <c r="C20" s="107">
        <f t="shared" si="9"/>
        <v>23171.620000000003</v>
      </c>
      <c r="D20" s="133">
        <f t="shared" si="7"/>
        <v>2272.7400000000043</v>
      </c>
      <c r="E20" s="129">
        <v>1917.37</v>
      </c>
      <c r="F20" s="129">
        <v>494.76</v>
      </c>
      <c r="G20" s="129">
        <v>2597.02</v>
      </c>
      <c r="H20" s="129">
        <v>670.66</v>
      </c>
      <c r="I20" s="129">
        <v>6240.12</v>
      </c>
      <c r="J20" s="129">
        <v>1610.63</v>
      </c>
      <c r="K20" s="129">
        <v>4322.68</v>
      </c>
      <c r="L20" s="129">
        <v>1115.93</v>
      </c>
      <c r="M20" s="129">
        <v>1533.91</v>
      </c>
      <c r="N20" s="129">
        <v>395.8</v>
      </c>
      <c r="O20" s="129">
        <v>0</v>
      </c>
      <c r="P20" s="130">
        <v>0</v>
      </c>
      <c r="Q20" s="129">
        <v>0</v>
      </c>
      <c r="R20" s="130">
        <v>0</v>
      </c>
      <c r="S20" s="93">
        <f t="shared" si="10"/>
        <v>16611.1</v>
      </c>
      <c r="T20" s="110">
        <f t="shared" si="11"/>
        <v>4287.78</v>
      </c>
      <c r="U20" s="94">
        <v>2537.72</v>
      </c>
      <c r="V20" s="94">
        <v>3436.71</v>
      </c>
      <c r="W20" s="94">
        <v>8259.56</v>
      </c>
      <c r="X20" s="94">
        <v>5720.73</v>
      </c>
      <c r="Y20" s="94">
        <v>2030.13</v>
      </c>
      <c r="Z20" s="126">
        <v>0</v>
      </c>
      <c r="AA20" s="126">
        <v>0</v>
      </c>
      <c r="AB20" s="118">
        <f t="shared" si="2"/>
        <v>21984.850000000002</v>
      </c>
      <c r="AC20" s="115">
        <f t="shared" si="3"/>
        <v>28545.370000000006</v>
      </c>
      <c r="AD20" s="104">
        <f t="shared" si="12"/>
        <v>0</v>
      </c>
      <c r="AE20" s="104">
        <f t="shared" si="13"/>
        <v>0</v>
      </c>
      <c r="AF20" s="104"/>
      <c r="AG20" s="16">
        <f t="shared" si="8"/>
        <v>1607.28</v>
      </c>
      <c r="AH20" s="16">
        <f>B20*0.2*0.99425</f>
        <v>532.67938</v>
      </c>
      <c r="AI20" s="16">
        <f>0.85*B20*0.9857</f>
        <v>2244.419186</v>
      </c>
      <c r="AJ20" s="16">
        <f t="shared" si="14"/>
        <v>403.99545348</v>
      </c>
      <c r="AK20" s="16">
        <f>0.83*B20*0.9905</f>
        <v>2202.2816620000003</v>
      </c>
      <c r="AL20" s="16">
        <f t="shared" si="15"/>
        <v>396.41069916000004</v>
      </c>
      <c r="AM20" s="16">
        <f>(1.91)*B20*0.9904</f>
        <v>5067.3895231999995</v>
      </c>
      <c r="AN20" s="16">
        <f t="shared" si="16"/>
        <v>912.1301141759999</v>
      </c>
      <c r="AO20" s="16"/>
      <c r="AP20" s="16">
        <f t="shared" si="17"/>
        <v>0</v>
      </c>
      <c r="AQ20" s="119"/>
      <c r="AR20" s="119">
        <f t="shared" si="18"/>
        <v>0</v>
      </c>
      <c r="AS20" s="99">
        <v>55332.92</v>
      </c>
      <c r="AT20" s="99"/>
      <c r="AU20" s="99">
        <f t="shared" si="19"/>
        <v>9959.925599999999</v>
      </c>
      <c r="AV20" s="120"/>
      <c r="AW20" s="140">
        <v>357</v>
      </c>
      <c r="AX20" s="16">
        <f t="shared" si="4"/>
        <v>471.8112</v>
      </c>
      <c r="AY20" s="31">
        <v>0</v>
      </c>
      <c r="AZ20" s="31">
        <v>0</v>
      </c>
      <c r="BA20" s="14">
        <f t="shared" si="0"/>
        <v>0</v>
      </c>
      <c r="BB20" s="14">
        <f>SUM(AG20:BA20)-AV20-AW20</f>
        <v>79131.24281801599</v>
      </c>
      <c r="BC20" s="131"/>
      <c r="BD20" s="14">
        <f t="shared" si="5"/>
        <v>-50585.87281801598</v>
      </c>
      <c r="BE20" s="30">
        <f t="shared" si="6"/>
        <v>5373.750000000004</v>
      </c>
    </row>
    <row r="21" spans="1:57" ht="12.75" hidden="1">
      <c r="A21" s="11" t="s">
        <v>52</v>
      </c>
      <c r="B21" s="117">
        <v>2678.8</v>
      </c>
      <c r="C21" s="107">
        <f t="shared" si="9"/>
        <v>23171.620000000003</v>
      </c>
      <c r="D21" s="133">
        <f t="shared" si="7"/>
        <v>2172.7300000000014</v>
      </c>
      <c r="E21" s="129">
        <v>1893.13</v>
      </c>
      <c r="F21" s="129">
        <v>519</v>
      </c>
      <c r="G21" s="129">
        <v>2564.16</v>
      </c>
      <c r="H21" s="129">
        <v>703.52</v>
      </c>
      <c r="I21" s="129">
        <v>6104.98</v>
      </c>
      <c r="J21" s="129">
        <v>1745.78</v>
      </c>
      <c r="K21" s="129">
        <v>4368.03</v>
      </c>
      <c r="L21" s="129">
        <v>1170.58</v>
      </c>
      <c r="M21" s="129">
        <v>1514.52</v>
      </c>
      <c r="N21" s="129">
        <v>415.19</v>
      </c>
      <c r="O21" s="129">
        <v>0</v>
      </c>
      <c r="P21" s="130">
        <v>0</v>
      </c>
      <c r="Q21" s="94">
        <v>0</v>
      </c>
      <c r="R21" s="94">
        <v>0</v>
      </c>
      <c r="S21" s="93">
        <f t="shared" si="10"/>
        <v>16444.82</v>
      </c>
      <c r="T21" s="110">
        <f t="shared" si="11"/>
        <v>4554.07</v>
      </c>
      <c r="U21" s="94">
        <v>1281.33</v>
      </c>
      <c r="V21" s="94">
        <v>1735.57</v>
      </c>
      <c r="W21" s="94">
        <v>4170.11</v>
      </c>
      <c r="X21" s="94">
        <v>2888.79</v>
      </c>
      <c r="Y21" s="94">
        <v>1025.06</v>
      </c>
      <c r="Z21" s="126">
        <v>0</v>
      </c>
      <c r="AA21" s="126">
        <v>0</v>
      </c>
      <c r="AB21" s="118">
        <f t="shared" si="2"/>
        <v>11100.859999999999</v>
      </c>
      <c r="AC21" s="115">
        <f t="shared" si="3"/>
        <v>17827.66</v>
      </c>
      <c r="AD21" s="104">
        <f t="shared" si="12"/>
        <v>0</v>
      </c>
      <c r="AE21" s="104">
        <f t="shared" si="13"/>
        <v>0</v>
      </c>
      <c r="AF21" s="104"/>
      <c r="AG21" s="16">
        <f t="shared" si="8"/>
        <v>1607.28</v>
      </c>
      <c r="AH21" s="16">
        <f>B21*0.2*0.99875</f>
        <v>535.0903000000001</v>
      </c>
      <c r="AI21" s="16">
        <f>0.85*B21*0.98526</f>
        <v>2243.4173148</v>
      </c>
      <c r="AJ21" s="16">
        <f t="shared" si="14"/>
        <v>403.81511666399996</v>
      </c>
      <c r="AK21" s="16">
        <f>0.83*B21*0.99</f>
        <v>2201.16996</v>
      </c>
      <c r="AL21" s="16">
        <f t="shared" si="15"/>
        <v>396.21059280000003</v>
      </c>
      <c r="AM21" s="16">
        <f>(1.91)*B21*0.99</f>
        <v>5065.34292</v>
      </c>
      <c r="AN21" s="16">
        <f t="shared" si="16"/>
        <v>911.7617256</v>
      </c>
      <c r="AO21" s="16"/>
      <c r="AP21" s="16">
        <f t="shared" si="17"/>
        <v>0</v>
      </c>
      <c r="AQ21" s="119"/>
      <c r="AR21" s="119">
        <f t="shared" si="18"/>
        <v>0</v>
      </c>
      <c r="AS21" s="99">
        <v>1153</v>
      </c>
      <c r="AT21" s="99"/>
      <c r="AU21" s="99">
        <f t="shared" si="19"/>
        <v>207.54</v>
      </c>
      <c r="AV21" s="120"/>
      <c r="AW21" s="140">
        <v>379</v>
      </c>
      <c r="AX21" s="16">
        <f t="shared" si="4"/>
        <v>500.8864</v>
      </c>
      <c r="AY21" s="31">
        <v>0</v>
      </c>
      <c r="AZ21" s="31">
        <v>0</v>
      </c>
      <c r="BA21" s="14">
        <f t="shared" si="0"/>
        <v>0</v>
      </c>
      <c r="BB21" s="14">
        <f>SUM(AG21:BA21)-AV21-AW21</f>
        <v>15225.514329864</v>
      </c>
      <c r="BC21" s="131"/>
      <c r="BD21" s="14">
        <f t="shared" si="5"/>
        <v>2602.1456701360003</v>
      </c>
      <c r="BE21" s="30">
        <f t="shared" si="6"/>
        <v>-5343.960000000001</v>
      </c>
    </row>
    <row r="22" spans="1:57" ht="12.75" hidden="1">
      <c r="A22" s="11" t="s">
        <v>53</v>
      </c>
      <c r="B22" s="106">
        <v>2678.8</v>
      </c>
      <c r="C22" s="107">
        <f t="shared" si="9"/>
        <v>23171.620000000003</v>
      </c>
      <c r="D22" s="133">
        <f t="shared" si="7"/>
        <v>2272.779999999998</v>
      </c>
      <c r="E22" s="109">
        <v>1890.81</v>
      </c>
      <c r="F22" s="109">
        <v>521.31</v>
      </c>
      <c r="G22" s="109">
        <v>2561.01</v>
      </c>
      <c r="H22" s="109">
        <v>706.66</v>
      </c>
      <c r="I22" s="109">
        <v>6153.68</v>
      </c>
      <c r="J22" s="109">
        <v>1697.06</v>
      </c>
      <c r="K22" s="109">
        <v>4262.8</v>
      </c>
      <c r="L22" s="109">
        <v>1175.81</v>
      </c>
      <c r="M22" s="109">
        <v>1512.66</v>
      </c>
      <c r="N22" s="109">
        <v>417.04</v>
      </c>
      <c r="O22" s="109">
        <v>0</v>
      </c>
      <c r="P22" s="116">
        <v>0</v>
      </c>
      <c r="Q22" s="109">
        <v>0</v>
      </c>
      <c r="R22" s="116">
        <v>0</v>
      </c>
      <c r="S22" s="93">
        <f t="shared" si="10"/>
        <v>16380.96</v>
      </c>
      <c r="T22" s="110">
        <f t="shared" si="11"/>
        <v>4517.879999999999</v>
      </c>
      <c r="U22" s="93">
        <v>1550.94</v>
      </c>
      <c r="V22" s="93">
        <v>2100.65</v>
      </c>
      <c r="W22" s="93">
        <v>4990.46</v>
      </c>
      <c r="X22" s="93">
        <v>3496.16</v>
      </c>
      <c r="Y22" s="93">
        <v>1245.32</v>
      </c>
      <c r="Z22" s="111">
        <v>0</v>
      </c>
      <c r="AA22" s="111">
        <v>0</v>
      </c>
      <c r="AB22" s="118">
        <f t="shared" si="2"/>
        <v>13383.529999999999</v>
      </c>
      <c r="AC22" s="115">
        <f t="shared" si="3"/>
        <v>20174.189999999995</v>
      </c>
      <c r="AD22" s="104">
        <f t="shared" si="12"/>
        <v>0</v>
      </c>
      <c r="AE22" s="104">
        <f t="shared" si="13"/>
        <v>0</v>
      </c>
      <c r="AF22" s="104"/>
      <c r="AG22" s="16">
        <f t="shared" si="8"/>
        <v>1607.28</v>
      </c>
      <c r="AH22" s="16">
        <f>B22*0.2*0.9997</f>
        <v>535.5992720000002</v>
      </c>
      <c r="AI22" s="16">
        <f>0.85*B22*0.98509</f>
        <v>2243.0302282000002</v>
      </c>
      <c r="AJ22" s="16">
        <f t="shared" si="14"/>
        <v>403.745441076</v>
      </c>
      <c r="AK22" s="16">
        <f>0.83*B22*0.98981</f>
        <v>2200.74751324</v>
      </c>
      <c r="AL22" s="16">
        <f t="shared" si="15"/>
        <v>396.1345523832</v>
      </c>
      <c r="AM22" s="16">
        <f>(1.91)*B22*0.98981</f>
        <v>5064.37078348</v>
      </c>
      <c r="AN22" s="16">
        <f t="shared" si="16"/>
        <v>911.5867410264</v>
      </c>
      <c r="AO22" s="16"/>
      <c r="AP22" s="16">
        <f t="shared" si="17"/>
        <v>0</v>
      </c>
      <c r="AQ22" s="119"/>
      <c r="AR22" s="119">
        <f t="shared" si="18"/>
        <v>0</v>
      </c>
      <c r="AS22" s="99"/>
      <c r="AT22" s="99"/>
      <c r="AU22" s="99">
        <f t="shared" si="19"/>
        <v>0</v>
      </c>
      <c r="AV22" s="120"/>
      <c r="AW22" s="140">
        <v>504</v>
      </c>
      <c r="AX22" s="16">
        <f t="shared" si="4"/>
        <v>666.0864</v>
      </c>
      <c r="AY22" s="31">
        <v>0</v>
      </c>
      <c r="AZ22" s="31">
        <v>0</v>
      </c>
      <c r="BA22" s="14">
        <f t="shared" si="0"/>
        <v>0</v>
      </c>
      <c r="BB22" s="14">
        <f>SUM(AG22:BA22)-AV22-AW22</f>
        <v>14028.5809314056</v>
      </c>
      <c r="BC22" s="131"/>
      <c r="BD22" s="14">
        <f t="shared" si="5"/>
        <v>6145.609068594395</v>
      </c>
      <c r="BE22" s="30">
        <f>AB22-S22</f>
        <v>-2997.4300000000003</v>
      </c>
    </row>
    <row r="23" spans="1:57" ht="12.75" hidden="1">
      <c r="A23" s="11" t="s">
        <v>41</v>
      </c>
      <c r="B23" s="106">
        <v>2679.2</v>
      </c>
      <c r="C23" s="134">
        <f t="shared" si="9"/>
        <v>23175.079999999998</v>
      </c>
      <c r="D23" s="133">
        <f t="shared" si="7"/>
        <v>2283.78</v>
      </c>
      <c r="E23" s="95">
        <f>1882.99+1.77</f>
        <v>1884.76</v>
      </c>
      <c r="F23" s="93">
        <v>526.51</v>
      </c>
      <c r="G23" s="93">
        <f>2550.4+2.39</f>
        <v>2552.79</v>
      </c>
      <c r="H23" s="93">
        <v>713.73</v>
      </c>
      <c r="I23" s="93">
        <f>6128.16+5.7</f>
        <v>6133.86</v>
      </c>
      <c r="J23" s="93">
        <v>1714.02</v>
      </c>
      <c r="K23" s="93">
        <f>4245.12+3.95</f>
        <v>4249.07</v>
      </c>
      <c r="L23" s="93">
        <v>1187.55</v>
      </c>
      <c r="M23" s="93">
        <f>1506.41+1.42</f>
        <v>1507.8300000000002</v>
      </c>
      <c r="N23" s="93">
        <v>421.18</v>
      </c>
      <c r="O23" s="93">
        <v>0</v>
      </c>
      <c r="P23" s="111">
        <v>0</v>
      </c>
      <c r="Q23" s="93">
        <v>0</v>
      </c>
      <c r="R23" s="93">
        <v>0</v>
      </c>
      <c r="S23" s="93">
        <f t="shared" si="10"/>
        <v>16328.31</v>
      </c>
      <c r="T23" s="110">
        <f t="shared" si="11"/>
        <v>4562.99</v>
      </c>
      <c r="U23" s="96">
        <f>1976.1+118.32</f>
        <v>2094.42</v>
      </c>
      <c r="V23" s="93">
        <f>2675.55+160.39</f>
        <v>2835.94</v>
      </c>
      <c r="W23" s="93">
        <f>6430.27+385.22</f>
        <v>6815.490000000001</v>
      </c>
      <c r="X23" s="93">
        <f>4454.11+266.87</f>
        <v>4720.98</v>
      </c>
      <c r="Y23" s="93">
        <f>1580.92+94.69</f>
        <v>1675.6100000000001</v>
      </c>
      <c r="Z23" s="111">
        <v>0</v>
      </c>
      <c r="AA23" s="111">
        <v>0</v>
      </c>
      <c r="AB23" s="111">
        <f>SUM(U23:AA23)</f>
        <v>18142.440000000002</v>
      </c>
      <c r="AC23" s="115">
        <f>AB23+T23+D23</f>
        <v>24989.21</v>
      </c>
      <c r="AD23" s="104">
        <f t="shared" si="12"/>
        <v>0</v>
      </c>
      <c r="AE23" s="104">
        <f t="shared" si="13"/>
        <v>0</v>
      </c>
      <c r="AF23" s="104">
        <f>'[1]Т10'!$I$82</f>
        <v>3928.5320800000004</v>
      </c>
      <c r="AG23" s="16">
        <f t="shared" si="8"/>
        <v>1607.5199999999998</v>
      </c>
      <c r="AH23" s="16">
        <f>B23*0.2</f>
        <v>535.84</v>
      </c>
      <c r="AI23" s="16">
        <f>0.847*B23</f>
        <v>2269.2823999999996</v>
      </c>
      <c r="AJ23" s="16">
        <f t="shared" si="14"/>
        <v>408.4708319999999</v>
      </c>
      <c r="AK23" s="16">
        <f>0.83*B23</f>
        <v>2223.736</v>
      </c>
      <c r="AL23" s="16">
        <f t="shared" si="15"/>
        <v>400.27248</v>
      </c>
      <c r="AM23" s="16">
        <f>(2.25/1.18)*B23</f>
        <v>5108.64406779661</v>
      </c>
      <c r="AN23" s="16">
        <f t="shared" si="16"/>
        <v>919.5559322033898</v>
      </c>
      <c r="AO23" s="16"/>
      <c r="AP23" s="16">
        <f t="shared" si="17"/>
        <v>0</v>
      </c>
      <c r="AQ23" s="119"/>
      <c r="AR23" s="119">
        <f t="shared" si="18"/>
        <v>0</v>
      </c>
      <c r="AS23" s="99">
        <v>30227.01</v>
      </c>
      <c r="AT23" s="99"/>
      <c r="AU23" s="99">
        <f t="shared" si="19"/>
        <v>5440.8618</v>
      </c>
      <c r="AV23" s="120"/>
      <c r="AW23" s="138">
        <v>511</v>
      </c>
      <c r="AX23" s="16">
        <f>AW23*1.12*1.18</f>
        <v>675.3376000000001</v>
      </c>
      <c r="AY23" s="123"/>
      <c r="AZ23" s="141"/>
      <c r="BA23" s="124">
        <f t="shared" si="0"/>
        <v>0</v>
      </c>
      <c r="BB23" s="124">
        <f>SUM(AG23:AU23)+AX23+AY23+AZ23+BA23</f>
        <v>49816.531112</v>
      </c>
      <c r="BC23" s="131">
        <f>'[2]Т10'!$O$82</f>
        <v>735.6665240000001</v>
      </c>
      <c r="BD23" s="14">
        <f t="shared" si="5"/>
        <v>-21634.455555999997</v>
      </c>
      <c r="BE23" s="30">
        <f>AB23-S23</f>
        <v>1814.1300000000028</v>
      </c>
    </row>
    <row r="24" spans="1:57" ht="12.75" hidden="1">
      <c r="A24" s="11" t="s">
        <v>42</v>
      </c>
      <c r="B24" s="117">
        <v>2679.2</v>
      </c>
      <c r="C24" s="134">
        <f t="shared" si="9"/>
        <v>23175.079999999998</v>
      </c>
      <c r="D24" s="133">
        <f t="shared" si="7"/>
        <v>2273.079999999998</v>
      </c>
      <c r="E24" s="109">
        <v>1882.98</v>
      </c>
      <c r="F24" s="109">
        <v>529.51</v>
      </c>
      <c r="G24" s="109">
        <v>2550.4</v>
      </c>
      <c r="H24" s="109">
        <v>717.77</v>
      </c>
      <c r="I24" s="109">
        <v>6128.18</v>
      </c>
      <c r="J24" s="109">
        <v>1723.74</v>
      </c>
      <c r="K24" s="109">
        <v>4245.13</v>
      </c>
      <c r="L24" s="109">
        <v>1194.29</v>
      </c>
      <c r="M24" s="109">
        <v>1506.4</v>
      </c>
      <c r="N24" s="109">
        <v>423.6</v>
      </c>
      <c r="O24" s="109">
        <v>0</v>
      </c>
      <c r="P24" s="116">
        <v>0</v>
      </c>
      <c r="Q24" s="116">
        <v>0</v>
      </c>
      <c r="R24" s="116">
        <v>0</v>
      </c>
      <c r="S24" s="93">
        <f t="shared" si="10"/>
        <v>16313.090000000002</v>
      </c>
      <c r="T24" s="110">
        <f t="shared" si="11"/>
        <v>4588.91</v>
      </c>
      <c r="U24" s="93">
        <v>2634.93</v>
      </c>
      <c r="V24" s="93">
        <v>3567.47</v>
      </c>
      <c r="W24" s="93">
        <v>8572.97</v>
      </c>
      <c r="X24" s="93">
        <v>5938.62</v>
      </c>
      <c r="Y24" s="93">
        <v>2114.25</v>
      </c>
      <c r="Z24" s="111">
        <v>0</v>
      </c>
      <c r="AA24" s="111">
        <v>0</v>
      </c>
      <c r="AB24" s="111">
        <f>SUM(U24:AA24)</f>
        <v>22828.239999999998</v>
      </c>
      <c r="AC24" s="115">
        <f>D24+T24+AB24</f>
        <v>29690.229999999996</v>
      </c>
      <c r="AD24" s="104">
        <f t="shared" si="12"/>
        <v>0</v>
      </c>
      <c r="AE24" s="104">
        <f t="shared" si="13"/>
        <v>0</v>
      </c>
      <c r="AF24" s="104">
        <f>'[1]Т11'!$I$82</f>
        <v>982.13052</v>
      </c>
      <c r="AG24" s="16">
        <f t="shared" si="8"/>
        <v>1607.5199999999998</v>
      </c>
      <c r="AH24" s="16">
        <f>B24*0.2</f>
        <v>535.84</v>
      </c>
      <c r="AI24" s="16">
        <f>0.85*B24</f>
        <v>2277.3199999999997</v>
      </c>
      <c r="AJ24" s="16">
        <f t="shared" si="14"/>
        <v>409.91759999999994</v>
      </c>
      <c r="AK24" s="16">
        <f>0.83*B24</f>
        <v>2223.736</v>
      </c>
      <c r="AL24" s="16">
        <f t="shared" si="15"/>
        <v>400.27248</v>
      </c>
      <c r="AM24" s="16">
        <f>(1.91)*B24</f>
        <v>5117.271999999999</v>
      </c>
      <c r="AN24" s="16">
        <f t="shared" si="16"/>
        <v>921.1089599999998</v>
      </c>
      <c r="AO24" s="16"/>
      <c r="AP24" s="16">
        <f t="shared" si="17"/>
        <v>0</v>
      </c>
      <c r="AQ24" s="119"/>
      <c r="AR24" s="119">
        <f t="shared" si="18"/>
        <v>0</v>
      </c>
      <c r="AS24" s="99">
        <v>2295</v>
      </c>
      <c r="AT24" s="99"/>
      <c r="AU24" s="99">
        <f t="shared" si="19"/>
        <v>413.09999999999997</v>
      </c>
      <c r="AV24" s="120"/>
      <c r="AW24" s="138">
        <v>679</v>
      </c>
      <c r="AX24" s="16">
        <f>AW24*1.12*1.18</f>
        <v>897.3664</v>
      </c>
      <c r="AY24" s="123"/>
      <c r="AZ24" s="124"/>
      <c r="BA24" s="124">
        <f t="shared" si="0"/>
        <v>0</v>
      </c>
      <c r="BB24" s="124">
        <f>SUM(AG24:AU24)+AX24+AY24+AZ24+BA24</f>
        <v>17098.453439999997</v>
      </c>
      <c r="BC24" s="135">
        <f>'[1]Т11'!$O$82</f>
        <v>468.1162800000001</v>
      </c>
      <c r="BD24" s="14">
        <f t="shared" si="5"/>
        <v>13105.790799999997</v>
      </c>
      <c r="BE24" s="30">
        <f t="shared" si="6"/>
        <v>6515.149999999996</v>
      </c>
    </row>
    <row r="25" spans="1:57" ht="12.75" hidden="1">
      <c r="A25" s="11" t="s">
        <v>43</v>
      </c>
      <c r="B25" s="106">
        <v>2679.2</v>
      </c>
      <c r="C25" s="134">
        <f t="shared" si="9"/>
        <v>23175.079999999998</v>
      </c>
      <c r="D25" s="133">
        <f t="shared" si="7"/>
        <v>3061.4999999999986</v>
      </c>
      <c r="E25" s="109">
        <v>1806.91</v>
      </c>
      <c r="F25" s="109">
        <v>514.63</v>
      </c>
      <c r="G25" s="109">
        <v>2447.26</v>
      </c>
      <c r="H25" s="109">
        <v>697.58</v>
      </c>
      <c r="I25" s="109">
        <v>5880.53</v>
      </c>
      <c r="J25" s="109">
        <v>1675.26</v>
      </c>
      <c r="K25" s="109">
        <v>4073.49</v>
      </c>
      <c r="L25" s="109">
        <v>1160.7</v>
      </c>
      <c r="M25" s="109">
        <v>1445.54</v>
      </c>
      <c r="N25" s="109">
        <v>411.68</v>
      </c>
      <c r="O25" s="109">
        <v>0</v>
      </c>
      <c r="P25" s="116">
        <v>0</v>
      </c>
      <c r="Q25" s="116"/>
      <c r="R25" s="116"/>
      <c r="S25" s="93">
        <f t="shared" si="10"/>
        <v>15653.73</v>
      </c>
      <c r="T25" s="110">
        <f t="shared" si="11"/>
        <v>4459.85</v>
      </c>
      <c r="U25" s="93">
        <v>2413.78</v>
      </c>
      <c r="V25" s="93">
        <v>3269.09</v>
      </c>
      <c r="W25" s="93">
        <v>7855.43</v>
      </c>
      <c r="X25" s="93">
        <v>5441.54</v>
      </c>
      <c r="Y25" s="93">
        <v>1931.04</v>
      </c>
      <c r="Z25" s="111">
        <v>0</v>
      </c>
      <c r="AA25" s="111">
        <v>0</v>
      </c>
      <c r="AB25" s="111">
        <f>SUM(U25:AA25)</f>
        <v>20910.88</v>
      </c>
      <c r="AC25" s="115">
        <f>D25+T25+AB25</f>
        <v>28432.23</v>
      </c>
      <c r="AD25" s="104">
        <f t="shared" si="12"/>
        <v>0</v>
      </c>
      <c r="AE25" s="104">
        <f t="shared" si="13"/>
        <v>0</v>
      </c>
      <c r="AF25" s="104">
        <f>'[1]Т12'!$I$83</f>
        <v>982.13052</v>
      </c>
      <c r="AG25" s="16">
        <f t="shared" si="8"/>
        <v>1607.5199999999998</v>
      </c>
      <c r="AH25" s="16">
        <f>B25*0.2</f>
        <v>535.84</v>
      </c>
      <c r="AI25" s="16">
        <f>0.85*B25</f>
        <v>2277.3199999999997</v>
      </c>
      <c r="AJ25" s="16">
        <f t="shared" si="14"/>
        <v>409.91759999999994</v>
      </c>
      <c r="AK25" s="16">
        <f>0.83*B25</f>
        <v>2223.736</v>
      </c>
      <c r="AL25" s="16">
        <f t="shared" si="15"/>
        <v>400.27248</v>
      </c>
      <c r="AM25" s="16">
        <f>(1.91)*B25</f>
        <v>5117.271999999999</v>
      </c>
      <c r="AN25" s="16">
        <f t="shared" si="16"/>
        <v>921.1089599999998</v>
      </c>
      <c r="AO25" s="16"/>
      <c r="AP25" s="16">
        <f t="shared" si="17"/>
        <v>0</v>
      </c>
      <c r="AQ25" s="119"/>
      <c r="AR25" s="119">
        <f t="shared" si="18"/>
        <v>0</v>
      </c>
      <c r="AS25" s="99">
        <v>19851</v>
      </c>
      <c r="AT25" s="99">
        <f>112.5</f>
        <v>112.5</v>
      </c>
      <c r="AU25" s="99">
        <f t="shared" si="19"/>
        <v>3593.43</v>
      </c>
      <c r="AV25" s="120"/>
      <c r="AW25" s="138">
        <v>982</v>
      </c>
      <c r="AX25" s="16">
        <f>AW25*1.12*1.18</f>
        <v>1297.8112</v>
      </c>
      <c r="AY25" s="123"/>
      <c r="AZ25" s="124"/>
      <c r="BA25" s="124">
        <f t="shared" si="0"/>
        <v>0</v>
      </c>
      <c r="BB25" s="124">
        <f>SUM(AG25:BA25)-AV25-AW25</f>
        <v>38347.72824</v>
      </c>
      <c r="BC25" s="135">
        <f>'[1]Т12'!$O$83</f>
        <v>468.1162800000001</v>
      </c>
      <c r="BD25" s="14">
        <f>AC25+AF25-BB25-BC25</f>
        <v>-9401.483999999999</v>
      </c>
      <c r="BE25" s="30">
        <f>AB25-S25</f>
        <v>5257.1500000000015</v>
      </c>
    </row>
    <row r="26" spans="1:57" s="20" customFormat="1" ht="12.75" hidden="1">
      <c r="A26" s="17" t="s">
        <v>5</v>
      </c>
      <c r="B26" s="62"/>
      <c r="C26" s="62">
        <f aca="true" t="shared" si="20" ref="C26:BC26">SUM(C14:C25)</f>
        <v>278069.81999999995</v>
      </c>
      <c r="D26" s="62">
        <f t="shared" si="20"/>
        <v>29688.400000000012</v>
      </c>
      <c r="E26" s="59">
        <f t="shared" si="20"/>
        <v>22081.75</v>
      </c>
      <c r="F26" s="59">
        <f t="shared" si="20"/>
        <v>5873.7300000000005</v>
      </c>
      <c r="G26" s="59">
        <f t="shared" si="20"/>
        <v>29872.82</v>
      </c>
      <c r="H26" s="59">
        <f t="shared" si="20"/>
        <v>7952</v>
      </c>
      <c r="I26" s="59">
        <f t="shared" si="20"/>
        <v>71765.15000000001</v>
      </c>
      <c r="J26" s="59">
        <f t="shared" si="20"/>
        <v>19167.710000000003</v>
      </c>
      <c r="K26" s="59">
        <f t="shared" si="20"/>
        <v>49843.119999999995</v>
      </c>
      <c r="L26" s="59">
        <f t="shared" si="20"/>
        <v>13238.21</v>
      </c>
      <c r="M26" s="59">
        <f t="shared" si="20"/>
        <v>17662.31</v>
      </c>
      <c r="N26" s="59">
        <f t="shared" si="20"/>
        <v>4698.860000000001</v>
      </c>
      <c r="O26" s="59">
        <f t="shared" si="20"/>
        <v>0</v>
      </c>
      <c r="P26" s="59">
        <f t="shared" si="20"/>
        <v>0</v>
      </c>
      <c r="Q26" s="59">
        <f t="shared" si="20"/>
        <v>0</v>
      </c>
      <c r="R26" s="59">
        <f t="shared" si="20"/>
        <v>0</v>
      </c>
      <c r="S26" s="59">
        <f t="shared" si="20"/>
        <v>191225.15000000002</v>
      </c>
      <c r="T26" s="59">
        <f t="shared" si="20"/>
        <v>50930.50999999999</v>
      </c>
      <c r="U26" s="63">
        <f t="shared" si="20"/>
        <v>23103.799999999996</v>
      </c>
      <c r="V26" s="63">
        <f t="shared" si="20"/>
        <v>31259.18</v>
      </c>
      <c r="W26" s="63">
        <f t="shared" si="20"/>
        <v>75101.37</v>
      </c>
      <c r="X26" s="63">
        <f t="shared" si="20"/>
        <v>52052.869999999995</v>
      </c>
      <c r="Y26" s="63">
        <f t="shared" si="20"/>
        <v>18484.270000000004</v>
      </c>
      <c r="Z26" s="63">
        <f t="shared" si="20"/>
        <v>0</v>
      </c>
      <c r="AA26" s="63">
        <f t="shared" si="20"/>
        <v>0</v>
      </c>
      <c r="AB26" s="63">
        <f t="shared" si="20"/>
        <v>200001.49</v>
      </c>
      <c r="AC26" s="63">
        <f t="shared" si="20"/>
        <v>280620.39999999997</v>
      </c>
      <c r="AD26" s="63">
        <f t="shared" si="20"/>
        <v>0</v>
      </c>
      <c r="AE26" s="102">
        <f t="shared" si="20"/>
        <v>0</v>
      </c>
      <c r="AF26" s="102">
        <f t="shared" si="20"/>
        <v>5892.79312</v>
      </c>
      <c r="AG26" s="18">
        <f t="shared" si="20"/>
        <v>18645.168</v>
      </c>
      <c r="AH26" s="18">
        <f t="shared" si="20"/>
        <v>6242.386548000001</v>
      </c>
      <c r="AI26" s="18">
        <f t="shared" si="20"/>
        <v>26064.269551</v>
      </c>
      <c r="AJ26" s="18">
        <f t="shared" si="20"/>
        <v>4691.568519179999</v>
      </c>
      <c r="AK26" s="18">
        <f t="shared" si="20"/>
        <v>25336.70681404</v>
      </c>
      <c r="AL26" s="18">
        <f t="shared" si="20"/>
        <v>4560.6072265272</v>
      </c>
      <c r="AM26" s="18">
        <f t="shared" si="20"/>
        <v>58296.84554367661</v>
      </c>
      <c r="AN26" s="18">
        <f t="shared" si="20"/>
        <v>10493.432197861788</v>
      </c>
      <c r="AO26" s="18">
        <f t="shared" si="20"/>
        <v>3689.82</v>
      </c>
      <c r="AP26" s="18">
        <f t="shared" si="20"/>
        <v>664.1676</v>
      </c>
      <c r="AQ26" s="18">
        <f>SUM(AQ14:AQ25)</f>
        <v>10477.53</v>
      </c>
      <c r="AR26" s="18">
        <f>SUM(AR14:AR25)</f>
        <v>1885.9554000000003</v>
      </c>
      <c r="AS26" s="18">
        <f>SUM(AS14:AS25)</f>
        <v>188016.37</v>
      </c>
      <c r="AT26" s="18">
        <f>SUM(AT14:AT25)</f>
        <v>112.5</v>
      </c>
      <c r="AU26" s="18">
        <f>SUM(AU14:AU25)</f>
        <v>33863.2066</v>
      </c>
      <c r="AV26" s="18"/>
      <c r="AW26" s="18"/>
      <c r="AX26" s="18">
        <f t="shared" si="20"/>
        <v>7858.2336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400898.7676002856</v>
      </c>
      <c r="BC26" s="18">
        <f t="shared" si="20"/>
        <v>1671.8990840000001</v>
      </c>
      <c r="BD26" s="18">
        <f>SUM(BD14:BD25)</f>
        <v>-116057.47356428558</v>
      </c>
      <c r="BE26" s="19">
        <f>SUM(BE14:BE25)</f>
        <v>8776.340000000004</v>
      </c>
    </row>
    <row r="27" spans="1:57" ht="12.75" hidden="1">
      <c r="A27" s="11"/>
      <c r="B27" s="12"/>
      <c r="C27" s="13"/>
      <c r="D27" s="1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9"/>
      <c r="T27" s="49"/>
      <c r="U27" s="54"/>
      <c r="V27" s="54"/>
      <c r="W27" s="54"/>
      <c r="X27" s="54"/>
      <c r="Y27" s="54"/>
      <c r="Z27" s="54"/>
      <c r="AA27" s="54"/>
      <c r="AB27" s="54"/>
      <c r="AC27" s="103"/>
      <c r="AD27" s="103"/>
      <c r="AE27" s="104"/>
      <c r="AF27" s="104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8"/>
      <c r="AT27" s="98"/>
      <c r="AU27" s="99"/>
      <c r="AV27" s="99"/>
      <c r="AW27" s="99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347584.67999999993</v>
      </c>
      <c r="D28" s="23">
        <f>D12+D26</f>
        <v>46420.85851820001</v>
      </c>
      <c r="E28" s="51">
        <f aca="true" t="shared" si="21" ref="E28:BC28">E12+E26</f>
        <v>27165.75</v>
      </c>
      <c r="F28" s="51">
        <f t="shared" si="21"/>
        <v>7240.880000000001</v>
      </c>
      <c r="G28" s="51">
        <f t="shared" si="21"/>
        <v>36736.39</v>
      </c>
      <c r="H28" s="51">
        <f t="shared" si="21"/>
        <v>9797.59</v>
      </c>
      <c r="I28" s="51">
        <f t="shared" si="21"/>
        <v>88288.37000000001</v>
      </c>
      <c r="J28" s="51">
        <f t="shared" si="21"/>
        <v>23610.880000000005</v>
      </c>
      <c r="K28" s="51">
        <f t="shared" si="21"/>
        <v>61282.34</v>
      </c>
      <c r="L28" s="51">
        <f t="shared" si="21"/>
        <v>16314.23</v>
      </c>
      <c r="M28" s="51">
        <f t="shared" si="21"/>
        <v>21729.5</v>
      </c>
      <c r="N28" s="51">
        <f>N12+N26</f>
        <v>5792.570000000001</v>
      </c>
      <c r="O28" s="51">
        <f t="shared" si="21"/>
        <v>0</v>
      </c>
      <c r="P28" s="51">
        <f t="shared" si="21"/>
        <v>0</v>
      </c>
      <c r="Q28" s="51">
        <f t="shared" si="21"/>
        <v>0</v>
      </c>
      <c r="R28" s="51">
        <f t="shared" si="21"/>
        <v>0</v>
      </c>
      <c r="S28" s="51">
        <f t="shared" si="21"/>
        <v>235202.35000000003</v>
      </c>
      <c r="T28" s="51">
        <f t="shared" si="21"/>
        <v>62756.14999999999</v>
      </c>
      <c r="U28" s="55">
        <f t="shared" si="21"/>
        <v>25945.899999999994</v>
      </c>
      <c r="V28" s="55">
        <f t="shared" si="21"/>
        <v>35096.12</v>
      </c>
      <c r="W28" s="55">
        <f t="shared" si="21"/>
        <v>84338.31999999999</v>
      </c>
      <c r="X28" s="55">
        <f t="shared" si="21"/>
        <v>58447.719999999994</v>
      </c>
      <c r="Y28" s="55">
        <f t="shared" si="21"/>
        <v>20757.970000000005</v>
      </c>
      <c r="Z28" s="55">
        <f t="shared" si="21"/>
        <v>0</v>
      </c>
      <c r="AA28" s="55">
        <f t="shared" si="21"/>
        <v>0</v>
      </c>
      <c r="AB28" s="55">
        <f t="shared" si="21"/>
        <v>224586.03</v>
      </c>
      <c r="AC28" s="55">
        <f t="shared" si="21"/>
        <v>333763.0385182</v>
      </c>
      <c r="AD28" s="55">
        <f t="shared" si="21"/>
        <v>0</v>
      </c>
      <c r="AE28" s="55">
        <f>AE12+AE26</f>
        <v>0</v>
      </c>
      <c r="AF28" s="55">
        <f t="shared" si="21"/>
        <v>5892.79312</v>
      </c>
      <c r="AG28" s="23">
        <f t="shared" si="21"/>
        <v>23467.008</v>
      </c>
      <c r="AH28" s="23">
        <f t="shared" si="21"/>
        <v>7897.081308000002</v>
      </c>
      <c r="AI28" s="23">
        <f t="shared" si="21"/>
        <v>32903.031647</v>
      </c>
      <c r="AJ28" s="23">
        <f t="shared" si="21"/>
        <v>5922.54569646</v>
      </c>
      <c r="AK28" s="23">
        <f t="shared" si="21"/>
        <v>33294.8622806</v>
      </c>
      <c r="AL28" s="23">
        <f t="shared" si="21"/>
        <v>5993.075210507999</v>
      </c>
      <c r="AM28" s="23">
        <f t="shared" si="21"/>
        <v>72912.3041409166</v>
      </c>
      <c r="AN28" s="23">
        <f t="shared" si="21"/>
        <v>13124.214745364989</v>
      </c>
      <c r="AO28" s="23">
        <f t="shared" si="21"/>
        <v>3689.82</v>
      </c>
      <c r="AP28" s="23">
        <f t="shared" si="21"/>
        <v>664.1676</v>
      </c>
      <c r="AQ28" s="23">
        <f t="shared" si="21"/>
        <v>10477.53</v>
      </c>
      <c r="AR28" s="23">
        <f t="shared" si="21"/>
        <v>1885.9554000000003</v>
      </c>
      <c r="AS28" s="23">
        <f t="shared" si="21"/>
        <v>211555.61</v>
      </c>
      <c r="AT28" s="23">
        <f t="shared" si="21"/>
        <v>112.5</v>
      </c>
      <c r="AU28" s="23">
        <f t="shared" si="21"/>
        <v>38100.269799999995</v>
      </c>
      <c r="AV28" s="23"/>
      <c r="AW28" s="23"/>
      <c r="AX28" s="23">
        <f t="shared" si="21"/>
        <v>7858.2336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469858.2094288496</v>
      </c>
      <c r="BC28" s="23">
        <f t="shared" si="21"/>
        <v>1671.8990840000001</v>
      </c>
      <c r="BD28" s="23">
        <f>BD12+BD26</f>
        <v>-131874.27687464957</v>
      </c>
      <c r="BE28" s="24">
        <f>BE12+BE26</f>
        <v>-10616.319999999996</v>
      </c>
    </row>
    <row r="29" spans="1:57" ht="15" customHeight="1" hidden="1">
      <c r="A29" s="5" t="s">
        <v>91</v>
      </c>
      <c r="B29" s="60"/>
      <c r="C29" s="61"/>
      <c r="D29" s="6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7"/>
      <c r="R29" s="57"/>
      <c r="S29" s="57"/>
      <c r="T29" s="57"/>
      <c r="U29" s="64"/>
      <c r="V29" s="64"/>
      <c r="W29" s="64"/>
      <c r="X29" s="64"/>
      <c r="Y29" s="64"/>
      <c r="Z29" s="64"/>
      <c r="AA29" s="56"/>
      <c r="AB29" s="56"/>
      <c r="AC29" s="100"/>
      <c r="AD29" s="100"/>
      <c r="AE29" s="101"/>
      <c r="AF29" s="101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7"/>
      <c r="AT29" s="97"/>
      <c r="AU29" s="49"/>
      <c r="AV29" s="49"/>
      <c r="AW29" s="49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106">
        <v>2679.2</v>
      </c>
      <c r="C30" s="134">
        <f aca="true" t="shared" si="22" ref="C30:C41">B30*8.65</f>
        <v>23175.079999999998</v>
      </c>
      <c r="D30" s="133">
        <f aca="true" t="shared" si="23" ref="D30:D41">C30-E30-F30-G30-H30-I30-J30-K30-L30-M30-N30</f>
        <v>2263.3799999999956</v>
      </c>
      <c r="E30" s="109">
        <v>1912.14</v>
      </c>
      <c r="F30" s="109">
        <v>501.49</v>
      </c>
      <c r="G30" s="109">
        <v>2589.88</v>
      </c>
      <c r="H30" s="109">
        <v>679.78</v>
      </c>
      <c r="I30" s="109">
        <v>6223.06</v>
      </c>
      <c r="J30" s="109">
        <v>1632.51</v>
      </c>
      <c r="K30" s="109">
        <v>4310.85</v>
      </c>
      <c r="L30" s="109">
        <v>1131.08</v>
      </c>
      <c r="M30" s="109">
        <v>1529.73</v>
      </c>
      <c r="N30" s="109">
        <v>401.18</v>
      </c>
      <c r="O30" s="109">
        <v>0</v>
      </c>
      <c r="P30" s="116">
        <v>0</v>
      </c>
      <c r="Q30" s="116"/>
      <c r="R30" s="116"/>
      <c r="S30" s="93">
        <f aca="true" t="shared" si="24" ref="S30:S41">E30+G30+I30+K30+M30+O30+Q30</f>
        <v>16565.660000000003</v>
      </c>
      <c r="T30" s="110">
        <f aca="true" t="shared" si="25" ref="T30:T41">P30+N30+L30+J30+H30+F30+R30</f>
        <v>4346.04</v>
      </c>
      <c r="U30" s="93">
        <v>1072.21</v>
      </c>
      <c r="V30" s="93">
        <v>1452.13</v>
      </c>
      <c r="W30" s="93">
        <v>3489.3</v>
      </c>
      <c r="X30" s="93">
        <v>2417.16</v>
      </c>
      <c r="Y30" s="93">
        <v>857.76</v>
      </c>
      <c r="Z30" s="111">
        <v>0</v>
      </c>
      <c r="AA30" s="111">
        <v>0</v>
      </c>
      <c r="AB30" s="111">
        <f>SUM(U30:AA30)</f>
        <v>9288.56</v>
      </c>
      <c r="AC30" s="115">
        <f aca="true" t="shared" si="26" ref="AC30:AC41">D30+T30+AB30</f>
        <v>15897.979999999996</v>
      </c>
      <c r="AD30" s="104">
        <f aca="true" t="shared" si="27" ref="AD30:AD41">P30+Z30</f>
        <v>0</v>
      </c>
      <c r="AE30" s="104">
        <f aca="true" t="shared" si="28" ref="AE30:AE41">R30+AA30</f>
        <v>0</v>
      </c>
      <c r="AF30" s="104">
        <f>'[3]Т01-10'!$I$80</f>
        <v>982.14052</v>
      </c>
      <c r="AG30" s="16">
        <f aca="true" t="shared" si="29" ref="AG30:AG41">0.6*B30</f>
        <v>1607.5199999999998</v>
      </c>
      <c r="AH30" s="16">
        <f aca="true" t="shared" si="30" ref="AH30:AH41">B30*0.2</f>
        <v>535.84</v>
      </c>
      <c r="AI30" s="16">
        <f aca="true" t="shared" si="31" ref="AI30:AI41">1*B30</f>
        <v>2679.2</v>
      </c>
      <c r="AJ30" s="16">
        <v>0</v>
      </c>
      <c r="AK30" s="16">
        <f aca="true" t="shared" si="32" ref="AK30:AK41">0.98*B30</f>
        <v>2625.616</v>
      </c>
      <c r="AL30" s="16">
        <v>0</v>
      </c>
      <c r="AM30" s="16">
        <f aca="true" t="shared" si="33" ref="AM30:AM41">2.25*B30</f>
        <v>6028.2</v>
      </c>
      <c r="AN30" s="16">
        <v>0</v>
      </c>
      <c r="AO30" s="16"/>
      <c r="AP30" s="16">
        <v>0</v>
      </c>
      <c r="AQ30" s="119"/>
      <c r="AR30" s="119"/>
      <c r="AS30" s="99">
        <v>6649</v>
      </c>
      <c r="AT30" s="99"/>
      <c r="AU30" s="99">
        <f aca="true" t="shared" si="34" ref="AU30:AU40">AT30*0.18</f>
        <v>0</v>
      </c>
      <c r="AV30" s="120"/>
      <c r="AW30" s="138">
        <v>789</v>
      </c>
      <c r="AX30" s="16">
        <f>AW30*1.4</f>
        <v>1104.6</v>
      </c>
      <c r="AY30" s="123"/>
      <c r="AZ30" s="124"/>
      <c r="BA30" s="124">
        <f aca="true" t="shared" si="35" ref="BA30:BA41">AZ30*0.18</f>
        <v>0</v>
      </c>
      <c r="BB30" s="124">
        <f aca="true" t="shared" si="36" ref="BB30:BB41">SUM(AG30:BA30)-AV30-AW30</f>
        <v>21229.976</v>
      </c>
      <c r="BC30" s="135">
        <f>'[3]Т03-10'!$M$81</f>
        <v>467.562</v>
      </c>
      <c r="BD30" s="14">
        <f>AC30+AF30-BB30-BC30</f>
        <v>-4817.417480000002</v>
      </c>
      <c r="BE30" s="30">
        <f>AB30-S30</f>
        <v>-7277.100000000004</v>
      </c>
    </row>
    <row r="31" spans="1:57" ht="12.75" hidden="1">
      <c r="A31" s="11" t="s">
        <v>46</v>
      </c>
      <c r="B31" s="117">
        <v>2679.2</v>
      </c>
      <c r="C31" s="134">
        <f t="shared" si="22"/>
        <v>23175.079999999998</v>
      </c>
      <c r="D31" s="133">
        <f t="shared" si="23"/>
        <v>2263.3899999999994</v>
      </c>
      <c r="E31" s="142">
        <v>1912.87</v>
      </c>
      <c r="F31" s="143">
        <v>500.76</v>
      </c>
      <c r="G31" s="143">
        <v>2590.86</v>
      </c>
      <c r="H31" s="143">
        <v>678.79</v>
      </c>
      <c r="I31" s="143">
        <v>6225.44</v>
      </c>
      <c r="J31" s="143">
        <v>1630.13</v>
      </c>
      <c r="K31" s="143">
        <v>4312.5</v>
      </c>
      <c r="L31" s="143">
        <v>1129.43</v>
      </c>
      <c r="M31" s="143">
        <v>1530.32</v>
      </c>
      <c r="N31" s="143">
        <v>400.59</v>
      </c>
      <c r="O31" s="143">
        <v>0</v>
      </c>
      <c r="P31" s="144">
        <v>0</v>
      </c>
      <c r="Q31" s="144">
        <v>0</v>
      </c>
      <c r="R31" s="144">
        <v>0</v>
      </c>
      <c r="S31" s="93">
        <f t="shared" si="24"/>
        <v>16571.989999999998</v>
      </c>
      <c r="T31" s="110">
        <f t="shared" si="25"/>
        <v>4339.7</v>
      </c>
      <c r="U31" s="93">
        <v>1862.97</v>
      </c>
      <c r="V31" s="93">
        <v>2523.6</v>
      </c>
      <c r="W31" s="93">
        <v>6063.37</v>
      </c>
      <c r="X31" s="93">
        <v>4200.32</v>
      </c>
      <c r="Y31" s="93">
        <v>1490.37</v>
      </c>
      <c r="Z31" s="111">
        <v>0</v>
      </c>
      <c r="AA31" s="111">
        <v>0</v>
      </c>
      <c r="AB31" s="111">
        <f>SUM(U31:AA31)</f>
        <v>16140.629999999997</v>
      </c>
      <c r="AC31" s="115">
        <f t="shared" si="26"/>
        <v>22743.719999999998</v>
      </c>
      <c r="AD31" s="104">
        <f t="shared" si="27"/>
        <v>0</v>
      </c>
      <c r="AE31" s="104">
        <f t="shared" si="28"/>
        <v>0</v>
      </c>
      <c r="AF31" s="104">
        <f>'[3]Т01-10'!$I$80</f>
        <v>982.14052</v>
      </c>
      <c r="AG31" s="16">
        <f t="shared" si="29"/>
        <v>1607.5199999999998</v>
      </c>
      <c r="AH31" s="16">
        <f t="shared" si="30"/>
        <v>535.84</v>
      </c>
      <c r="AI31" s="16">
        <f t="shared" si="31"/>
        <v>2679.2</v>
      </c>
      <c r="AJ31" s="16">
        <v>0</v>
      </c>
      <c r="AK31" s="16">
        <f t="shared" si="32"/>
        <v>2625.616</v>
      </c>
      <c r="AL31" s="16">
        <v>0</v>
      </c>
      <c r="AM31" s="16">
        <f t="shared" si="33"/>
        <v>6028.2</v>
      </c>
      <c r="AN31" s="16">
        <v>0</v>
      </c>
      <c r="AO31" s="16"/>
      <c r="AP31" s="16"/>
      <c r="AQ31" s="119"/>
      <c r="AR31" s="119"/>
      <c r="AS31" s="99">
        <v>7470</v>
      </c>
      <c r="AT31" s="99"/>
      <c r="AU31" s="99">
        <f t="shared" si="34"/>
        <v>0</v>
      </c>
      <c r="AV31" s="120"/>
      <c r="AW31" s="138">
        <v>694</v>
      </c>
      <c r="AX31" s="16">
        <f>AW31*1.4</f>
        <v>971.5999999999999</v>
      </c>
      <c r="AY31" s="123"/>
      <c r="AZ31" s="124"/>
      <c r="BA31" s="124">
        <f t="shared" si="35"/>
        <v>0</v>
      </c>
      <c r="BB31" s="124">
        <f t="shared" si="36"/>
        <v>21917.976</v>
      </c>
      <c r="BC31" s="135">
        <f>'[3]Т03-10'!$M$81</f>
        <v>467.562</v>
      </c>
      <c r="BD31" s="14">
        <f aca="true" t="shared" si="37" ref="BD31:BD41">AC31+AF31-BB31-BC31</f>
        <v>1340.3225199999997</v>
      </c>
      <c r="BE31" s="30">
        <f aca="true" t="shared" si="38" ref="BE31:BE41">AB31-S31</f>
        <v>-431.3600000000006</v>
      </c>
    </row>
    <row r="32" spans="1:57" ht="12.75" hidden="1">
      <c r="A32" s="11" t="s">
        <v>47</v>
      </c>
      <c r="B32" s="106">
        <v>2679.2</v>
      </c>
      <c r="C32" s="134">
        <f t="shared" si="22"/>
        <v>23175.079999999998</v>
      </c>
      <c r="D32" s="133">
        <f t="shared" si="23"/>
        <v>2263.399999999998</v>
      </c>
      <c r="E32" s="109">
        <v>1912.88</v>
      </c>
      <c r="F32" s="109">
        <v>500.75</v>
      </c>
      <c r="G32" s="109">
        <v>2590.87</v>
      </c>
      <c r="H32" s="109">
        <v>678.78</v>
      </c>
      <c r="I32" s="109">
        <v>6225.43</v>
      </c>
      <c r="J32" s="109">
        <v>1630.13</v>
      </c>
      <c r="K32" s="109">
        <v>4312.5</v>
      </c>
      <c r="L32" s="109">
        <v>1129.43</v>
      </c>
      <c r="M32" s="109">
        <v>1530.32</v>
      </c>
      <c r="N32" s="109">
        <v>400.59</v>
      </c>
      <c r="O32" s="109">
        <v>0</v>
      </c>
      <c r="P32" s="116">
        <v>0</v>
      </c>
      <c r="Q32" s="116">
        <v>0</v>
      </c>
      <c r="R32" s="116">
        <v>0</v>
      </c>
      <c r="S32" s="93">
        <f t="shared" si="24"/>
        <v>16572</v>
      </c>
      <c r="T32" s="110">
        <f t="shared" si="25"/>
        <v>4339.68</v>
      </c>
      <c r="U32" s="93">
        <v>1516.3</v>
      </c>
      <c r="V32" s="93">
        <v>2053.9</v>
      </c>
      <c r="W32" s="93">
        <v>4935</v>
      </c>
      <c r="X32" s="93">
        <v>3418.59</v>
      </c>
      <c r="Y32" s="93">
        <v>1213.08</v>
      </c>
      <c r="Z32" s="111">
        <v>0</v>
      </c>
      <c r="AA32" s="111">
        <v>0</v>
      </c>
      <c r="AB32" s="111">
        <f>SUM(U32:AA32)</f>
        <v>13136.87</v>
      </c>
      <c r="AC32" s="115">
        <f t="shared" si="26"/>
        <v>19739.949999999997</v>
      </c>
      <c r="AD32" s="104">
        <f t="shared" si="27"/>
        <v>0</v>
      </c>
      <c r="AE32" s="104">
        <f t="shared" si="28"/>
        <v>0</v>
      </c>
      <c r="AF32" s="104">
        <f>'[3]Т01-10'!$I$80</f>
        <v>982.14052</v>
      </c>
      <c r="AG32" s="16">
        <f t="shared" si="29"/>
        <v>1607.5199999999998</v>
      </c>
      <c r="AH32" s="16">
        <f t="shared" si="30"/>
        <v>535.84</v>
      </c>
      <c r="AI32" s="16">
        <f t="shared" si="31"/>
        <v>2679.2</v>
      </c>
      <c r="AJ32" s="16">
        <v>0</v>
      </c>
      <c r="AK32" s="16">
        <f t="shared" si="32"/>
        <v>2625.616</v>
      </c>
      <c r="AL32" s="16">
        <v>0</v>
      </c>
      <c r="AM32" s="16">
        <f t="shared" si="33"/>
        <v>6028.2</v>
      </c>
      <c r="AN32" s="16">
        <v>0</v>
      </c>
      <c r="AO32" s="16"/>
      <c r="AP32" s="16"/>
      <c r="AQ32" s="119"/>
      <c r="AR32" s="119"/>
      <c r="AS32" s="99">
        <v>2311</v>
      </c>
      <c r="AT32" s="99"/>
      <c r="AU32" s="99">
        <f t="shared" si="34"/>
        <v>0</v>
      </c>
      <c r="AV32" s="120"/>
      <c r="AW32" s="138">
        <v>571</v>
      </c>
      <c r="AX32" s="16">
        <f>AW32*1.4</f>
        <v>799.4</v>
      </c>
      <c r="AY32" s="123"/>
      <c r="AZ32" s="124"/>
      <c r="BA32" s="124">
        <f t="shared" si="35"/>
        <v>0</v>
      </c>
      <c r="BB32" s="124">
        <f t="shared" si="36"/>
        <v>16586.776</v>
      </c>
      <c r="BC32" s="135">
        <f>'[3]Т03-10'!$M$81</f>
        <v>467.562</v>
      </c>
      <c r="BD32" s="14">
        <f t="shared" si="37"/>
        <v>3667.7525199999964</v>
      </c>
      <c r="BE32" s="30">
        <f t="shared" si="38"/>
        <v>-3435.129999999999</v>
      </c>
    </row>
    <row r="33" spans="1:57" ht="12.75" hidden="1">
      <c r="A33" s="11" t="s">
        <v>48</v>
      </c>
      <c r="B33" s="106">
        <v>2679.2</v>
      </c>
      <c r="C33" s="134">
        <f t="shared" si="22"/>
        <v>23175.079999999998</v>
      </c>
      <c r="D33" s="133">
        <f t="shared" si="23"/>
        <v>2266.209999999997</v>
      </c>
      <c r="E33" s="109">
        <v>1912.54</v>
      </c>
      <c r="F33" s="109">
        <v>500.76</v>
      </c>
      <c r="G33" s="109">
        <v>2590.42</v>
      </c>
      <c r="H33" s="109">
        <v>678.79</v>
      </c>
      <c r="I33" s="109">
        <v>6224.38</v>
      </c>
      <c r="J33" s="109">
        <v>1630.13</v>
      </c>
      <c r="K33" s="109">
        <v>4311.77</v>
      </c>
      <c r="L33" s="109">
        <v>1129.43</v>
      </c>
      <c r="M33" s="109">
        <v>1530.06</v>
      </c>
      <c r="N33" s="109">
        <v>400.59</v>
      </c>
      <c r="O33" s="109">
        <v>0</v>
      </c>
      <c r="P33" s="116">
        <v>0</v>
      </c>
      <c r="Q33" s="116"/>
      <c r="R33" s="116"/>
      <c r="S33" s="93">
        <f t="shared" si="24"/>
        <v>16569.170000000002</v>
      </c>
      <c r="T33" s="110">
        <f t="shared" si="25"/>
        <v>4339.7</v>
      </c>
      <c r="U33" s="93">
        <v>1858.32</v>
      </c>
      <c r="V33" s="93">
        <v>2508.27</v>
      </c>
      <c r="W33" s="93">
        <v>6039.99</v>
      </c>
      <c r="X33" s="93">
        <v>4180.72</v>
      </c>
      <c r="Y33" s="93">
        <v>1486.67</v>
      </c>
      <c r="Z33" s="111">
        <v>0</v>
      </c>
      <c r="AA33" s="111">
        <v>0</v>
      </c>
      <c r="AB33" s="111">
        <f>SUM(U33:AA33)</f>
        <v>16073.97</v>
      </c>
      <c r="AC33" s="115">
        <f t="shared" si="26"/>
        <v>22679.879999999997</v>
      </c>
      <c r="AD33" s="104">
        <f t="shared" si="27"/>
        <v>0</v>
      </c>
      <c r="AE33" s="104">
        <f t="shared" si="28"/>
        <v>0</v>
      </c>
      <c r="AF33" s="104">
        <f>'[4]Т04-10'!$I$81</f>
        <v>982.14052</v>
      </c>
      <c r="AG33" s="16">
        <f t="shared" si="29"/>
        <v>1607.5199999999998</v>
      </c>
      <c r="AH33" s="16">
        <f t="shared" si="30"/>
        <v>535.84</v>
      </c>
      <c r="AI33" s="16">
        <f t="shared" si="31"/>
        <v>2679.2</v>
      </c>
      <c r="AJ33" s="16">
        <v>0</v>
      </c>
      <c r="AK33" s="16">
        <f t="shared" si="32"/>
        <v>2625.616</v>
      </c>
      <c r="AL33" s="16">
        <v>0</v>
      </c>
      <c r="AM33" s="16">
        <f t="shared" si="33"/>
        <v>6028.2</v>
      </c>
      <c r="AN33" s="16">
        <v>0</v>
      </c>
      <c r="AO33" s="16"/>
      <c r="AP33" s="16"/>
      <c r="AQ33" s="119"/>
      <c r="AR33" s="119"/>
      <c r="AS33" s="99">
        <v>8634</v>
      </c>
      <c r="AT33" s="99"/>
      <c r="AU33" s="99">
        <f t="shared" si="34"/>
        <v>0</v>
      </c>
      <c r="AV33" s="120"/>
      <c r="AW33" s="138">
        <v>542</v>
      </c>
      <c r="AX33" s="16">
        <f>AW33*1.4</f>
        <v>758.8</v>
      </c>
      <c r="AY33" s="123"/>
      <c r="AZ33" s="124"/>
      <c r="BA33" s="124">
        <f t="shared" si="35"/>
        <v>0</v>
      </c>
      <c r="BB33" s="124">
        <f t="shared" si="36"/>
        <v>22869.176</v>
      </c>
      <c r="BC33" s="135">
        <f>'[4]Т04-10'!$M$81</f>
        <v>467.562</v>
      </c>
      <c r="BD33" s="14">
        <f t="shared" si="37"/>
        <v>325.2825199999987</v>
      </c>
      <c r="BE33" s="30">
        <f t="shared" si="38"/>
        <v>-495.20000000000255</v>
      </c>
    </row>
    <row r="34" spans="1:57" ht="12.75" hidden="1">
      <c r="A34" s="11" t="s">
        <v>49</v>
      </c>
      <c r="B34" s="106">
        <v>2679.2</v>
      </c>
      <c r="C34" s="134">
        <f t="shared" si="22"/>
        <v>23175.079999999998</v>
      </c>
      <c r="D34" s="133">
        <f t="shared" si="23"/>
        <v>2271.209999999997</v>
      </c>
      <c r="E34" s="109">
        <v>1911.97</v>
      </c>
      <c r="F34" s="109">
        <v>500.75</v>
      </c>
      <c r="G34" s="109">
        <v>2589.66</v>
      </c>
      <c r="H34" s="109">
        <v>678.78</v>
      </c>
      <c r="I34" s="109">
        <v>6222.52</v>
      </c>
      <c r="J34" s="109">
        <v>1630.11</v>
      </c>
      <c r="K34" s="109">
        <v>4310.47</v>
      </c>
      <c r="L34" s="109">
        <v>1129.42</v>
      </c>
      <c r="M34" s="109">
        <v>1529.6</v>
      </c>
      <c r="N34" s="109">
        <v>400.59</v>
      </c>
      <c r="O34" s="109">
        <v>0</v>
      </c>
      <c r="P34" s="116">
        <v>0</v>
      </c>
      <c r="Q34" s="116"/>
      <c r="R34" s="116"/>
      <c r="S34" s="93">
        <f t="shared" si="24"/>
        <v>16564.22</v>
      </c>
      <c r="T34" s="110">
        <f t="shared" si="25"/>
        <v>4339.65</v>
      </c>
      <c r="U34" s="145">
        <v>1514.71</v>
      </c>
      <c r="V34" s="145">
        <v>2051.89</v>
      </c>
      <c r="W34" s="145">
        <v>4930.07</v>
      </c>
      <c r="X34" s="145">
        <v>3300.49</v>
      </c>
      <c r="Y34" s="145">
        <v>1211.85</v>
      </c>
      <c r="Z34" s="146">
        <v>0</v>
      </c>
      <c r="AA34" s="146">
        <v>0</v>
      </c>
      <c r="AB34" s="111">
        <f aca="true" t="shared" si="39" ref="AB34:AB41">SUM(U34:AA34)</f>
        <v>13009.01</v>
      </c>
      <c r="AC34" s="115">
        <f t="shared" si="26"/>
        <v>19619.869999999995</v>
      </c>
      <c r="AD34" s="104">
        <f t="shared" si="27"/>
        <v>0</v>
      </c>
      <c r="AE34" s="104">
        <f t="shared" si="28"/>
        <v>0</v>
      </c>
      <c r="AF34" s="104">
        <f>'[4]Т04-10'!$I$81</f>
        <v>982.14052</v>
      </c>
      <c r="AG34" s="16">
        <f t="shared" si="29"/>
        <v>1607.5199999999998</v>
      </c>
      <c r="AH34" s="16">
        <f t="shared" si="30"/>
        <v>535.84</v>
      </c>
      <c r="AI34" s="16">
        <f t="shared" si="31"/>
        <v>2679.2</v>
      </c>
      <c r="AJ34" s="16">
        <v>0</v>
      </c>
      <c r="AK34" s="16">
        <f t="shared" si="32"/>
        <v>2625.616</v>
      </c>
      <c r="AL34" s="16">
        <v>0</v>
      </c>
      <c r="AM34" s="16">
        <f t="shared" si="33"/>
        <v>6028.2</v>
      </c>
      <c r="AN34" s="16">
        <v>0</v>
      </c>
      <c r="AO34" s="16"/>
      <c r="AP34" s="16"/>
      <c r="AQ34" s="119"/>
      <c r="AR34" s="119"/>
      <c r="AS34" s="99">
        <v>1650</v>
      </c>
      <c r="AT34" s="99"/>
      <c r="AU34" s="99">
        <f t="shared" si="34"/>
        <v>0</v>
      </c>
      <c r="AV34" s="120"/>
      <c r="AW34" s="138">
        <v>472</v>
      </c>
      <c r="AX34" s="16">
        <f>AW34*1.4</f>
        <v>660.8</v>
      </c>
      <c r="AY34" s="123"/>
      <c r="AZ34" s="124"/>
      <c r="BA34" s="124">
        <f t="shared" si="35"/>
        <v>0</v>
      </c>
      <c r="BB34" s="124">
        <f t="shared" si="36"/>
        <v>15787.176</v>
      </c>
      <c r="BC34" s="135">
        <f>'[4]Т04-10'!$M$81</f>
        <v>467.562</v>
      </c>
      <c r="BD34" s="14">
        <f t="shared" si="37"/>
        <v>4347.272519999997</v>
      </c>
      <c r="BE34" s="30">
        <f t="shared" si="38"/>
        <v>-3555.210000000001</v>
      </c>
    </row>
    <row r="35" spans="1:57" ht="12.75" hidden="1">
      <c r="A35" s="11" t="s">
        <v>50</v>
      </c>
      <c r="B35" s="106">
        <v>2679.2</v>
      </c>
      <c r="C35" s="134">
        <f t="shared" si="22"/>
        <v>23175.079999999998</v>
      </c>
      <c r="D35" s="133">
        <f t="shared" si="23"/>
        <v>2288.689999999997</v>
      </c>
      <c r="E35" s="109">
        <v>1909.64</v>
      </c>
      <c r="F35" s="109">
        <v>501.02</v>
      </c>
      <c r="G35" s="109">
        <v>2586.63</v>
      </c>
      <c r="H35" s="109">
        <v>679.14</v>
      </c>
      <c r="I35" s="109">
        <v>6215.06</v>
      </c>
      <c r="J35" s="109">
        <v>1630.99</v>
      </c>
      <c r="K35" s="109">
        <v>4305.33</v>
      </c>
      <c r="L35" s="109">
        <v>1130.04</v>
      </c>
      <c r="M35" s="109">
        <v>1527.73</v>
      </c>
      <c r="N35" s="109">
        <v>400.81</v>
      </c>
      <c r="O35" s="109">
        <v>0</v>
      </c>
      <c r="P35" s="116">
        <v>0</v>
      </c>
      <c r="Q35" s="109">
        <v>0</v>
      </c>
      <c r="R35" s="116">
        <v>0</v>
      </c>
      <c r="S35" s="93">
        <f t="shared" si="24"/>
        <v>16544.390000000003</v>
      </c>
      <c r="T35" s="110">
        <f t="shared" si="25"/>
        <v>4342</v>
      </c>
      <c r="U35" s="93">
        <v>1526.16</v>
      </c>
      <c r="V35" s="93">
        <v>2067.22</v>
      </c>
      <c r="W35" s="93">
        <v>4967.05</v>
      </c>
      <c r="X35" s="93">
        <v>3326.03</v>
      </c>
      <c r="Y35" s="93">
        <v>1220.94</v>
      </c>
      <c r="Z35" s="111">
        <v>0</v>
      </c>
      <c r="AA35" s="111">
        <v>0</v>
      </c>
      <c r="AB35" s="111">
        <f t="shared" si="39"/>
        <v>13107.400000000001</v>
      </c>
      <c r="AC35" s="115">
        <f t="shared" si="26"/>
        <v>19738.089999999997</v>
      </c>
      <c r="AD35" s="104">
        <f t="shared" si="27"/>
        <v>0</v>
      </c>
      <c r="AE35" s="104">
        <f t="shared" si="28"/>
        <v>0</v>
      </c>
      <c r="AF35" s="104">
        <f>'[4]Т04-10'!$I$81</f>
        <v>982.14052</v>
      </c>
      <c r="AG35" s="16">
        <f t="shared" si="29"/>
        <v>1607.5199999999998</v>
      </c>
      <c r="AH35" s="16">
        <f t="shared" si="30"/>
        <v>535.84</v>
      </c>
      <c r="AI35" s="16">
        <f t="shared" si="31"/>
        <v>2679.2</v>
      </c>
      <c r="AJ35" s="16">
        <v>0</v>
      </c>
      <c r="AK35" s="16">
        <f t="shared" si="32"/>
        <v>2625.616</v>
      </c>
      <c r="AL35" s="16">
        <v>0</v>
      </c>
      <c r="AM35" s="16">
        <f t="shared" si="33"/>
        <v>6028.2</v>
      </c>
      <c r="AN35" s="16">
        <v>0</v>
      </c>
      <c r="AO35" s="16"/>
      <c r="AP35" s="16"/>
      <c r="AQ35" s="119">
        <f>100+100</f>
        <v>200</v>
      </c>
      <c r="AR35" s="119"/>
      <c r="AS35" s="99">
        <v>285</v>
      </c>
      <c r="AT35" s="99"/>
      <c r="AU35" s="99">
        <f t="shared" si="34"/>
        <v>0</v>
      </c>
      <c r="AV35" s="120"/>
      <c r="AW35" s="138">
        <v>384</v>
      </c>
      <c r="AX35" s="16">
        <f aca="true" t="shared" si="40" ref="AX35:AX41">AW35*1.4</f>
        <v>537.5999999999999</v>
      </c>
      <c r="AY35" s="123"/>
      <c r="AZ35" s="124"/>
      <c r="BA35" s="124">
        <f t="shared" si="35"/>
        <v>0</v>
      </c>
      <c r="BB35" s="124">
        <f t="shared" si="36"/>
        <v>14498.976</v>
      </c>
      <c r="BC35" s="135">
        <f>'[4]Т06-10'!$M$79</f>
        <v>467.562</v>
      </c>
      <c r="BD35" s="14">
        <f t="shared" si="37"/>
        <v>5753.692519999997</v>
      </c>
      <c r="BE35" s="30">
        <f t="shared" si="38"/>
        <v>-3436.9900000000016</v>
      </c>
    </row>
    <row r="36" spans="1:57" ht="12.75" hidden="1">
      <c r="A36" s="11" t="s">
        <v>51</v>
      </c>
      <c r="B36" s="106">
        <v>2679.2</v>
      </c>
      <c r="C36" s="134">
        <f t="shared" si="22"/>
        <v>23175.079999999998</v>
      </c>
      <c r="D36" s="133">
        <f t="shared" si="23"/>
        <v>2275.6999999999985</v>
      </c>
      <c r="E36" s="147">
        <v>2412.19</v>
      </c>
      <c r="F36" s="109">
        <v>0</v>
      </c>
      <c r="G36" s="109">
        <v>3267.77</v>
      </c>
      <c r="H36" s="109">
        <v>0</v>
      </c>
      <c r="I36" s="109">
        <v>7850.93</v>
      </c>
      <c r="J36" s="109">
        <v>0</v>
      </c>
      <c r="K36" s="109">
        <v>5438.72</v>
      </c>
      <c r="L36" s="109">
        <v>0</v>
      </c>
      <c r="M36" s="109">
        <v>1929.77</v>
      </c>
      <c r="N36" s="109">
        <v>0</v>
      </c>
      <c r="O36" s="109">
        <v>0</v>
      </c>
      <c r="P36" s="116">
        <v>0</v>
      </c>
      <c r="Q36" s="116"/>
      <c r="R36" s="116"/>
      <c r="S36" s="93">
        <f t="shared" si="24"/>
        <v>20899.38</v>
      </c>
      <c r="T36" s="110">
        <f t="shared" si="25"/>
        <v>0</v>
      </c>
      <c r="U36" s="95">
        <v>2375.98</v>
      </c>
      <c r="V36" s="93">
        <v>3217.56</v>
      </c>
      <c r="W36" s="93">
        <v>7731.99</v>
      </c>
      <c r="X36" s="93">
        <v>5240.7</v>
      </c>
      <c r="Y36" s="93">
        <v>1900.81</v>
      </c>
      <c r="Z36" s="111">
        <v>0</v>
      </c>
      <c r="AA36" s="111">
        <v>0</v>
      </c>
      <c r="AB36" s="111">
        <f t="shared" si="39"/>
        <v>20467.04</v>
      </c>
      <c r="AC36" s="115">
        <f t="shared" si="26"/>
        <v>22742.739999999998</v>
      </c>
      <c r="AD36" s="104">
        <f t="shared" si="27"/>
        <v>0</v>
      </c>
      <c r="AE36" s="104">
        <f t="shared" si="28"/>
        <v>0</v>
      </c>
      <c r="AF36" s="104">
        <f>'[5]Т07-10'!$I$78</f>
        <v>982.13052</v>
      </c>
      <c r="AG36" s="16">
        <f t="shared" si="29"/>
        <v>1607.5199999999998</v>
      </c>
      <c r="AH36" s="16">
        <f t="shared" si="30"/>
        <v>535.84</v>
      </c>
      <c r="AI36" s="16">
        <f t="shared" si="31"/>
        <v>2679.2</v>
      </c>
      <c r="AJ36" s="16">
        <v>0</v>
      </c>
      <c r="AK36" s="16">
        <f t="shared" si="32"/>
        <v>2625.616</v>
      </c>
      <c r="AL36" s="16">
        <v>0</v>
      </c>
      <c r="AM36" s="16">
        <f t="shared" si="33"/>
        <v>6028.2</v>
      </c>
      <c r="AN36" s="16">
        <v>0</v>
      </c>
      <c r="AO36" s="16"/>
      <c r="AP36" s="16"/>
      <c r="AQ36" s="119"/>
      <c r="AR36" s="119"/>
      <c r="AS36" s="99"/>
      <c r="AT36" s="99">
        <f>2245.76</f>
        <v>2245.76</v>
      </c>
      <c r="AU36" s="99">
        <f t="shared" si="34"/>
        <v>404.2368</v>
      </c>
      <c r="AV36" s="120"/>
      <c r="AW36" s="138">
        <v>420</v>
      </c>
      <c r="AX36" s="16">
        <f t="shared" si="40"/>
        <v>588</v>
      </c>
      <c r="AY36" s="123"/>
      <c r="AZ36" s="124"/>
      <c r="BA36" s="124">
        <f t="shared" si="35"/>
        <v>0</v>
      </c>
      <c r="BB36" s="124">
        <f t="shared" si="36"/>
        <v>16714.3728</v>
      </c>
      <c r="BC36" s="135">
        <f>'[4]Т06-10'!$M$79</f>
        <v>467.562</v>
      </c>
      <c r="BD36" s="14">
        <f t="shared" si="37"/>
        <v>6542.935719999996</v>
      </c>
      <c r="BE36" s="30">
        <f t="shared" si="38"/>
        <v>-432.34000000000015</v>
      </c>
    </row>
    <row r="37" spans="1:57" ht="12.75" hidden="1">
      <c r="A37" s="11" t="s">
        <v>52</v>
      </c>
      <c r="B37" s="106">
        <v>2679.2</v>
      </c>
      <c r="C37" s="134">
        <f t="shared" si="22"/>
        <v>23175.079999999998</v>
      </c>
      <c r="D37" s="133">
        <f t="shared" si="23"/>
        <v>2259.9299999999994</v>
      </c>
      <c r="E37" s="147">
        <v>2414.05</v>
      </c>
      <c r="F37" s="109">
        <v>0</v>
      </c>
      <c r="G37" s="109">
        <v>3270.18</v>
      </c>
      <c r="H37" s="109">
        <v>0</v>
      </c>
      <c r="I37" s="109">
        <v>7856.87</v>
      </c>
      <c r="J37" s="109">
        <v>0</v>
      </c>
      <c r="K37" s="109">
        <v>5442.81</v>
      </c>
      <c r="L37" s="109">
        <v>0</v>
      </c>
      <c r="M37" s="109">
        <v>1931.24</v>
      </c>
      <c r="N37" s="109">
        <v>0</v>
      </c>
      <c r="O37" s="109">
        <v>0</v>
      </c>
      <c r="P37" s="116">
        <v>0</v>
      </c>
      <c r="Q37" s="116"/>
      <c r="R37" s="116"/>
      <c r="S37" s="93">
        <f t="shared" si="24"/>
        <v>20915.15</v>
      </c>
      <c r="T37" s="110">
        <f t="shared" si="25"/>
        <v>0</v>
      </c>
      <c r="U37" s="145">
        <v>2142.27</v>
      </c>
      <c r="V37" s="145">
        <v>2902.23</v>
      </c>
      <c r="W37" s="145">
        <v>6972.63</v>
      </c>
      <c r="X37" s="145">
        <v>4649.62</v>
      </c>
      <c r="Y37" s="145">
        <v>1713.88</v>
      </c>
      <c r="Z37" s="146">
        <v>0</v>
      </c>
      <c r="AA37" s="146">
        <v>0</v>
      </c>
      <c r="AB37" s="111">
        <f t="shared" si="39"/>
        <v>18380.63</v>
      </c>
      <c r="AC37" s="115">
        <f t="shared" si="26"/>
        <v>20640.56</v>
      </c>
      <c r="AD37" s="104">
        <f t="shared" si="27"/>
        <v>0</v>
      </c>
      <c r="AE37" s="104">
        <f t="shared" si="28"/>
        <v>0</v>
      </c>
      <c r="AF37" s="104">
        <f>'[5]Т07-10'!$I$78</f>
        <v>982.13052</v>
      </c>
      <c r="AG37" s="16">
        <f t="shared" si="29"/>
        <v>1607.5199999999998</v>
      </c>
      <c r="AH37" s="16">
        <f t="shared" si="30"/>
        <v>535.84</v>
      </c>
      <c r="AI37" s="16">
        <f t="shared" si="31"/>
        <v>2679.2</v>
      </c>
      <c r="AJ37" s="16">
        <v>0</v>
      </c>
      <c r="AK37" s="16">
        <f t="shared" si="32"/>
        <v>2625.616</v>
      </c>
      <c r="AL37" s="16">
        <v>0</v>
      </c>
      <c r="AM37" s="16">
        <f t="shared" si="33"/>
        <v>6028.2</v>
      </c>
      <c r="AN37" s="16">
        <v>0</v>
      </c>
      <c r="AO37" s="16"/>
      <c r="AP37" s="16"/>
      <c r="AQ37" s="119"/>
      <c r="AR37" s="119"/>
      <c r="AS37" s="99">
        <v>9262</v>
      </c>
      <c r="AT37" s="99">
        <f>47.8+42</f>
        <v>89.8</v>
      </c>
      <c r="AU37" s="99"/>
      <c r="AV37" s="120"/>
      <c r="AW37" s="138">
        <v>398</v>
      </c>
      <c r="AX37" s="16">
        <f t="shared" si="40"/>
        <v>557.1999999999999</v>
      </c>
      <c r="AY37" s="123"/>
      <c r="AZ37" s="124"/>
      <c r="BA37" s="124">
        <f t="shared" si="35"/>
        <v>0</v>
      </c>
      <c r="BB37" s="124">
        <f t="shared" si="36"/>
        <v>23385.376</v>
      </c>
      <c r="BC37" s="135">
        <f>'[4]Т06-10'!$M$79</f>
        <v>467.562</v>
      </c>
      <c r="BD37" s="14">
        <f t="shared" si="37"/>
        <v>-2230.24748</v>
      </c>
      <c r="BE37" s="30">
        <f t="shared" si="38"/>
        <v>-2534.5200000000004</v>
      </c>
    </row>
    <row r="38" spans="1:57" ht="12.75" hidden="1">
      <c r="A38" s="11" t="s">
        <v>53</v>
      </c>
      <c r="B38" s="148">
        <v>2679.2</v>
      </c>
      <c r="C38" s="134">
        <f t="shared" si="22"/>
        <v>23175.079999999998</v>
      </c>
      <c r="D38" s="150">
        <f>C38-E38-F38-G38-H38-I38-J38-K38-L38-M38-N38+80000</f>
        <v>82297.55</v>
      </c>
      <c r="E38" s="109">
        <v>2409.62</v>
      </c>
      <c r="F38" s="109">
        <v>0</v>
      </c>
      <c r="G38" s="109">
        <v>3264.44</v>
      </c>
      <c r="H38" s="109">
        <v>0</v>
      </c>
      <c r="I38" s="109">
        <v>7842.71</v>
      </c>
      <c r="J38" s="109">
        <v>0</v>
      </c>
      <c r="K38" s="109">
        <v>5433.05</v>
      </c>
      <c r="L38" s="109">
        <v>0</v>
      </c>
      <c r="M38" s="109">
        <v>1927.71</v>
      </c>
      <c r="N38" s="109">
        <v>0</v>
      </c>
      <c r="O38" s="109">
        <v>0</v>
      </c>
      <c r="P38" s="116">
        <v>0</v>
      </c>
      <c r="Q38" s="116"/>
      <c r="R38" s="116"/>
      <c r="S38" s="93">
        <f t="shared" si="24"/>
        <v>20877.53</v>
      </c>
      <c r="T38" s="110">
        <f t="shared" si="25"/>
        <v>0</v>
      </c>
      <c r="U38" s="93">
        <v>2568.66</v>
      </c>
      <c r="V38" s="93">
        <v>3478.96</v>
      </c>
      <c r="W38" s="93">
        <v>8359.44</v>
      </c>
      <c r="X38" s="93">
        <v>5790.69</v>
      </c>
      <c r="Y38" s="93">
        <v>2054.9</v>
      </c>
      <c r="Z38" s="111">
        <v>0</v>
      </c>
      <c r="AA38" s="111">
        <v>0</v>
      </c>
      <c r="AB38" s="111">
        <f t="shared" si="39"/>
        <v>22252.65</v>
      </c>
      <c r="AC38" s="115">
        <f t="shared" si="26"/>
        <v>104550.20000000001</v>
      </c>
      <c r="AD38" s="104">
        <f t="shared" si="27"/>
        <v>0</v>
      </c>
      <c r="AE38" s="104">
        <f t="shared" si="28"/>
        <v>0</v>
      </c>
      <c r="AF38" s="104">
        <f>'[5]Т09-10'!$I$78</f>
        <v>982.14052</v>
      </c>
      <c r="AG38" s="16">
        <f t="shared" si="29"/>
        <v>1607.5199999999998</v>
      </c>
      <c r="AH38" s="16">
        <f t="shared" si="30"/>
        <v>535.84</v>
      </c>
      <c r="AI38" s="16">
        <f t="shared" si="31"/>
        <v>2679.2</v>
      </c>
      <c r="AJ38" s="16">
        <v>0</v>
      </c>
      <c r="AK38" s="16">
        <f t="shared" si="32"/>
        <v>2625.616</v>
      </c>
      <c r="AL38" s="16">
        <v>0</v>
      </c>
      <c r="AM38" s="16">
        <f t="shared" si="33"/>
        <v>6028.2</v>
      </c>
      <c r="AN38" s="16">
        <v>0</v>
      </c>
      <c r="AO38" s="16"/>
      <c r="AP38" s="16"/>
      <c r="AQ38" s="119"/>
      <c r="AR38" s="119"/>
      <c r="AS38" s="99">
        <v>483</v>
      </c>
      <c r="AT38" s="99"/>
      <c r="AU38" s="149">
        <f t="shared" si="34"/>
        <v>0</v>
      </c>
      <c r="AV38" s="120"/>
      <c r="AW38" s="138">
        <v>564</v>
      </c>
      <c r="AX38" s="16">
        <f t="shared" si="40"/>
        <v>789.5999999999999</v>
      </c>
      <c r="AY38" s="123"/>
      <c r="AZ38" s="124"/>
      <c r="BA38" s="124">
        <f t="shared" si="35"/>
        <v>0</v>
      </c>
      <c r="BB38" s="124">
        <f t="shared" si="36"/>
        <v>14748.976</v>
      </c>
      <c r="BC38" s="135">
        <f>'[4]Т06-10'!$M$79</f>
        <v>467.562</v>
      </c>
      <c r="BD38" s="14">
        <f t="shared" si="37"/>
        <v>90315.80252000001</v>
      </c>
      <c r="BE38" s="30">
        <f t="shared" si="38"/>
        <v>1375.1200000000026</v>
      </c>
    </row>
    <row r="39" spans="1:57" ht="12.75" hidden="1">
      <c r="A39" s="11" t="s">
        <v>41</v>
      </c>
      <c r="B39" s="106">
        <v>2679.2</v>
      </c>
      <c r="C39" s="134">
        <f t="shared" si="22"/>
        <v>23175.079999999998</v>
      </c>
      <c r="D39" s="133">
        <f t="shared" si="23"/>
        <v>2289.1499999999987</v>
      </c>
      <c r="E39" s="129">
        <v>2410.62</v>
      </c>
      <c r="F39" s="129">
        <v>0</v>
      </c>
      <c r="G39" s="129">
        <v>3265.72</v>
      </c>
      <c r="H39" s="129">
        <v>0</v>
      </c>
      <c r="I39" s="129">
        <v>7845.87</v>
      </c>
      <c r="J39" s="129">
        <v>0</v>
      </c>
      <c r="K39" s="129">
        <v>5435.22</v>
      </c>
      <c r="L39" s="129">
        <v>0</v>
      </c>
      <c r="M39" s="129">
        <v>1928.5</v>
      </c>
      <c r="N39" s="129">
        <v>0</v>
      </c>
      <c r="O39" s="129">
        <v>0</v>
      </c>
      <c r="P39" s="130">
        <v>0</v>
      </c>
      <c r="Q39" s="130"/>
      <c r="R39" s="130"/>
      <c r="S39" s="93">
        <f t="shared" si="24"/>
        <v>20885.93</v>
      </c>
      <c r="T39" s="110">
        <f t="shared" si="25"/>
        <v>0</v>
      </c>
      <c r="U39" s="93">
        <v>1897.47</v>
      </c>
      <c r="V39" s="93">
        <v>2570.45</v>
      </c>
      <c r="W39" s="93">
        <v>6175.45</v>
      </c>
      <c r="X39" s="93">
        <v>4277.95</v>
      </c>
      <c r="Y39" s="93">
        <v>1517.87</v>
      </c>
      <c r="Z39" s="111">
        <v>0</v>
      </c>
      <c r="AA39" s="111">
        <v>0</v>
      </c>
      <c r="AB39" s="111">
        <f t="shared" si="39"/>
        <v>16439.19</v>
      </c>
      <c r="AC39" s="115">
        <f t="shared" si="26"/>
        <v>18728.339999999997</v>
      </c>
      <c r="AD39" s="104">
        <f t="shared" si="27"/>
        <v>0</v>
      </c>
      <c r="AE39" s="104">
        <f t="shared" si="28"/>
        <v>0</v>
      </c>
      <c r="AF39" s="104">
        <f>'[5]Т10-10'!$I$78+150</f>
        <v>1132.1305200000002</v>
      </c>
      <c r="AG39" s="16">
        <f t="shared" si="29"/>
        <v>1607.5199999999998</v>
      </c>
      <c r="AH39" s="16">
        <f t="shared" si="30"/>
        <v>535.84</v>
      </c>
      <c r="AI39" s="16">
        <f t="shared" si="31"/>
        <v>2679.2</v>
      </c>
      <c r="AJ39" s="16">
        <v>0</v>
      </c>
      <c r="AK39" s="16">
        <f t="shared" si="32"/>
        <v>2625.616</v>
      </c>
      <c r="AL39" s="16">
        <v>0</v>
      </c>
      <c r="AM39" s="16">
        <f t="shared" si="33"/>
        <v>6028.2</v>
      </c>
      <c r="AN39" s="16">
        <v>0</v>
      </c>
      <c r="AO39" s="16"/>
      <c r="AP39" s="16"/>
      <c r="AQ39" s="119"/>
      <c r="AR39" s="119"/>
      <c r="AS39" s="99">
        <v>132</v>
      </c>
      <c r="AT39" s="99">
        <v>168</v>
      </c>
      <c r="AU39" s="99"/>
      <c r="AV39" s="120"/>
      <c r="AW39" s="138">
        <v>520</v>
      </c>
      <c r="AX39" s="16">
        <f t="shared" si="40"/>
        <v>728</v>
      </c>
      <c r="AY39" s="123"/>
      <c r="AZ39" s="124"/>
      <c r="BA39" s="124">
        <f t="shared" si="35"/>
        <v>0</v>
      </c>
      <c r="BB39" s="124">
        <f t="shared" si="36"/>
        <v>14504.376</v>
      </c>
      <c r="BC39" s="135">
        <f>'[5]Т10-10'!$M$78+37.5</f>
        <v>505.062</v>
      </c>
      <c r="BD39" s="14">
        <f t="shared" si="37"/>
        <v>4851.032519999995</v>
      </c>
      <c r="BE39" s="30">
        <f t="shared" si="38"/>
        <v>-4446.740000000002</v>
      </c>
    </row>
    <row r="40" spans="1:57" ht="12.75" hidden="1">
      <c r="A40" s="11" t="s">
        <v>42</v>
      </c>
      <c r="B40" s="106">
        <v>2679.2</v>
      </c>
      <c r="C40" s="134">
        <f t="shared" si="22"/>
        <v>23175.079999999998</v>
      </c>
      <c r="D40" s="133">
        <f t="shared" si="23"/>
        <v>2284.559999999994</v>
      </c>
      <c r="E40" s="109">
        <v>2411.15</v>
      </c>
      <c r="F40" s="109">
        <v>0</v>
      </c>
      <c r="G40" s="109">
        <v>3266.42</v>
      </c>
      <c r="H40" s="109">
        <v>0</v>
      </c>
      <c r="I40" s="109">
        <v>7847.6</v>
      </c>
      <c r="J40" s="109">
        <v>0</v>
      </c>
      <c r="K40" s="109">
        <v>5436.42</v>
      </c>
      <c r="L40" s="109">
        <v>0</v>
      </c>
      <c r="M40" s="109">
        <v>1928.93</v>
      </c>
      <c r="N40" s="109">
        <v>0</v>
      </c>
      <c r="O40" s="109">
        <v>0</v>
      </c>
      <c r="P40" s="116">
        <v>0</v>
      </c>
      <c r="Q40" s="116"/>
      <c r="R40" s="116"/>
      <c r="S40" s="93">
        <f t="shared" si="24"/>
        <v>20890.52</v>
      </c>
      <c r="T40" s="110">
        <f t="shared" si="25"/>
        <v>0</v>
      </c>
      <c r="U40" s="95">
        <v>2321.47</v>
      </c>
      <c r="V40" s="93">
        <v>3144.55</v>
      </c>
      <c r="W40" s="93">
        <v>7554.25</v>
      </c>
      <c r="X40" s="93">
        <v>5233.47</v>
      </c>
      <c r="Y40" s="93">
        <v>1862.39</v>
      </c>
      <c r="Z40" s="111">
        <v>0</v>
      </c>
      <c r="AA40" s="111">
        <v>0</v>
      </c>
      <c r="AB40" s="111">
        <f t="shared" si="39"/>
        <v>20116.13</v>
      </c>
      <c r="AC40" s="115">
        <f t="shared" si="26"/>
        <v>22400.689999999995</v>
      </c>
      <c r="AD40" s="104">
        <f t="shared" si="27"/>
        <v>0</v>
      </c>
      <c r="AE40" s="104">
        <f t="shared" si="28"/>
        <v>0</v>
      </c>
      <c r="AF40" s="104">
        <f>'[5]Т11'!$I$78+150</f>
        <v>1132.14052</v>
      </c>
      <c r="AG40" s="16">
        <f t="shared" si="29"/>
        <v>1607.5199999999998</v>
      </c>
      <c r="AH40" s="16">
        <f t="shared" si="30"/>
        <v>535.84</v>
      </c>
      <c r="AI40" s="16">
        <f t="shared" si="31"/>
        <v>2679.2</v>
      </c>
      <c r="AJ40" s="16">
        <v>0</v>
      </c>
      <c r="AK40" s="16">
        <f t="shared" si="32"/>
        <v>2625.616</v>
      </c>
      <c r="AL40" s="16">
        <v>0</v>
      </c>
      <c r="AM40" s="16">
        <f t="shared" si="33"/>
        <v>6028.2</v>
      </c>
      <c r="AN40" s="16">
        <v>0</v>
      </c>
      <c r="AO40" s="16"/>
      <c r="AP40" s="16"/>
      <c r="AQ40" s="119"/>
      <c r="AR40" s="119"/>
      <c r="AS40" s="99">
        <v>2726</v>
      </c>
      <c r="AT40" s="99"/>
      <c r="AU40" s="99">
        <f t="shared" si="34"/>
        <v>0</v>
      </c>
      <c r="AV40" s="120"/>
      <c r="AW40" s="138">
        <v>714</v>
      </c>
      <c r="AX40" s="16">
        <f t="shared" si="40"/>
        <v>999.5999999999999</v>
      </c>
      <c r="AY40" s="123"/>
      <c r="AZ40" s="124"/>
      <c r="BA40" s="124">
        <f t="shared" si="35"/>
        <v>0</v>
      </c>
      <c r="BB40" s="124">
        <f t="shared" si="36"/>
        <v>17201.976</v>
      </c>
      <c r="BC40" s="135">
        <f>'[5]Т10-10'!$M$78+37.5</f>
        <v>505.062</v>
      </c>
      <c r="BD40" s="14">
        <f t="shared" si="37"/>
        <v>5825.792519999997</v>
      </c>
      <c r="BE40" s="30">
        <f t="shared" si="38"/>
        <v>-774.3899999999994</v>
      </c>
    </row>
    <row r="41" spans="1:57" ht="12.75" hidden="1">
      <c r="A41" s="11" t="s">
        <v>43</v>
      </c>
      <c r="B41" s="154">
        <v>2679.2</v>
      </c>
      <c r="C41" s="134">
        <f t="shared" si="22"/>
        <v>23175.079999999998</v>
      </c>
      <c r="D41" s="133">
        <f t="shared" si="23"/>
        <v>2305.979999999997</v>
      </c>
      <c r="E41" s="155">
        <v>2408.63</v>
      </c>
      <c r="F41" s="155">
        <v>0</v>
      </c>
      <c r="G41" s="155">
        <v>3263.14</v>
      </c>
      <c r="H41" s="155">
        <v>0</v>
      </c>
      <c r="I41" s="155">
        <v>7839.54</v>
      </c>
      <c r="J41" s="155">
        <v>0</v>
      </c>
      <c r="K41" s="155">
        <v>5430.88</v>
      </c>
      <c r="L41" s="155">
        <v>0</v>
      </c>
      <c r="M41" s="155">
        <v>1926.91</v>
      </c>
      <c r="N41" s="155">
        <v>0</v>
      </c>
      <c r="O41" s="155">
        <v>0</v>
      </c>
      <c r="P41" s="156">
        <v>0</v>
      </c>
      <c r="Q41" s="156"/>
      <c r="R41" s="156"/>
      <c r="S41" s="157">
        <f t="shared" si="24"/>
        <v>20869.100000000002</v>
      </c>
      <c r="T41" s="158">
        <f t="shared" si="25"/>
        <v>0</v>
      </c>
      <c r="U41" s="157">
        <v>2461.68</v>
      </c>
      <c r="V41" s="157">
        <v>3334.68</v>
      </c>
      <c r="W41" s="157">
        <v>8011.91</v>
      </c>
      <c r="X41" s="157">
        <v>5550.21</v>
      </c>
      <c r="Y41" s="157">
        <v>1969.37</v>
      </c>
      <c r="Z41" s="159">
        <v>0</v>
      </c>
      <c r="AA41" s="159">
        <v>0</v>
      </c>
      <c r="AB41" s="159">
        <f t="shared" si="39"/>
        <v>21327.85</v>
      </c>
      <c r="AC41" s="160">
        <f t="shared" si="26"/>
        <v>23633.829999999994</v>
      </c>
      <c r="AD41" s="161">
        <f t="shared" si="27"/>
        <v>0</v>
      </c>
      <c r="AE41" s="161">
        <f t="shared" si="28"/>
        <v>0</v>
      </c>
      <c r="AF41" s="161">
        <f>'[6]Т11'!$I$78+150</f>
        <v>1132.14052</v>
      </c>
      <c r="AG41" s="162">
        <f t="shared" si="29"/>
        <v>1607.5199999999998</v>
      </c>
      <c r="AH41" s="162">
        <f t="shared" si="30"/>
        <v>535.84</v>
      </c>
      <c r="AI41" s="162">
        <f t="shared" si="31"/>
        <v>2679.2</v>
      </c>
      <c r="AJ41" s="162">
        <v>0</v>
      </c>
      <c r="AK41" s="162">
        <f t="shared" si="32"/>
        <v>2625.616</v>
      </c>
      <c r="AL41" s="162">
        <v>0</v>
      </c>
      <c r="AM41" s="162">
        <f t="shared" si="33"/>
        <v>6028.2</v>
      </c>
      <c r="AN41" s="162">
        <v>0</v>
      </c>
      <c r="AO41" s="162"/>
      <c r="AP41" s="162"/>
      <c r="AQ41" s="163"/>
      <c r="AR41" s="163"/>
      <c r="AS41" s="164"/>
      <c r="AT41" s="164">
        <f>25000+141.95+63508.81+9646.43</f>
        <v>98297.19</v>
      </c>
      <c r="AU41" s="164">
        <f>(141.96+63508.81+9646.43)*0.18</f>
        <v>13193.496</v>
      </c>
      <c r="AV41" s="165"/>
      <c r="AW41" s="166">
        <v>981</v>
      </c>
      <c r="AX41" s="162">
        <f t="shared" si="40"/>
        <v>1373.3999999999999</v>
      </c>
      <c r="AY41" s="123"/>
      <c r="AZ41" s="167"/>
      <c r="BA41" s="167">
        <f t="shared" si="35"/>
        <v>0</v>
      </c>
      <c r="BB41" s="167">
        <f t="shared" si="36"/>
        <v>126340.462</v>
      </c>
      <c r="BC41" s="168">
        <f>'[6]Т10-10'!$M$78+37.5</f>
        <v>505.062</v>
      </c>
      <c r="BD41" s="14">
        <f t="shared" si="37"/>
        <v>-102079.55348</v>
      </c>
      <c r="BE41" s="30">
        <f t="shared" si="38"/>
        <v>458.74999999999636</v>
      </c>
    </row>
    <row r="42" spans="1:57" s="20" customFormat="1" ht="12.75" hidden="1">
      <c r="A42" s="17" t="s">
        <v>5</v>
      </c>
      <c r="B42" s="62"/>
      <c r="C42" s="62">
        <f aca="true" t="shared" si="41" ref="C42:AU42">SUM(C30:C41)</f>
        <v>278100.9599999999</v>
      </c>
      <c r="D42" s="62">
        <f t="shared" si="41"/>
        <v>107329.14999999998</v>
      </c>
      <c r="E42" s="59">
        <f t="shared" si="41"/>
        <v>25938.3</v>
      </c>
      <c r="F42" s="59">
        <f t="shared" si="41"/>
        <v>3005.53</v>
      </c>
      <c r="G42" s="59">
        <f t="shared" si="41"/>
        <v>35135.99</v>
      </c>
      <c r="H42" s="59">
        <f t="shared" si="41"/>
        <v>4074.06</v>
      </c>
      <c r="I42" s="59">
        <f t="shared" si="41"/>
        <v>84419.41</v>
      </c>
      <c r="J42" s="59">
        <f t="shared" si="41"/>
        <v>9784</v>
      </c>
      <c r="K42" s="59">
        <f t="shared" si="41"/>
        <v>58480.520000000004</v>
      </c>
      <c r="L42" s="59">
        <f t="shared" si="41"/>
        <v>6778.830000000001</v>
      </c>
      <c r="M42" s="59">
        <f t="shared" si="41"/>
        <v>20750.82</v>
      </c>
      <c r="N42" s="59">
        <f t="shared" si="41"/>
        <v>2404.35</v>
      </c>
      <c r="O42" s="59">
        <f t="shared" si="41"/>
        <v>0</v>
      </c>
      <c r="P42" s="59">
        <f t="shared" si="41"/>
        <v>0</v>
      </c>
      <c r="Q42" s="59">
        <f t="shared" si="41"/>
        <v>0</v>
      </c>
      <c r="R42" s="59">
        <f t="shared" si="41"/>
        <v>0</v>
      </c>
      <c r="S42" s="59">
        <f t="shared" si="41"/>
        <v>224725.04</v>
      </c>
      <c r="T42" s="59">
        <f t="shared" si="41"/>
        <v>26046.769999999997</v>
      </c>
      <c r="U42" s="63">
        <f t="shared" si="41"/>
        <v>23118.200000000004</v>
      </c>
      <c r="V42" s="63">
        <f t="shared" si="41"/>
        <v>31305.44</v>
      </c>
      <c r="W42" s="63">
        <f t="shared" si="41"/>
        <v>75230.45</v>
      </c>
      <c r="X42" s="63">
        <f t="shared" si="41"/>
        <v>51585.95</v>
      </c>
      <c r="Y42" s="63">
        <f t="shared" si="41"/>
        <v>18499.89</v>
      </c>
      <c r="Z42" s="63">
        <f t="shared" si="41"/>
        <v>0</v>
      </c>
      <c r="AA42" s="63">
        <f t="shared" si="41"/>
        <v>0</v>
      </c>
      <c r="AB42" s="63">
        <f t="shared" si="41"/>
        <v>199739.93000000002</v>
      </c>
      <c r="AC42" s="63">
        <f t="shared" si="41"/>
        <v>333115.85</v>
      </c>
      <c r="AD42" s="63">
        <f t="shared" si="41"/>
        <v>0</v>
      </c>
      <c r="AE42" s="102">
        <f t="shared" si="41"/>
        <v>0</v>
      </c>
      <c r="AF42" s="102">
        <f t="shared" si="41"/>
        <v>12235.65624</v>
      </c>
      <c r="AG42" s="18">
        <f t="shared" si="41"/>
        <v>19290.24</v>
      </c>
      <c r="AH42" s="18">
        <f t="shared" si="41"/>
        <v>6430.080000000001</v>
      </c>
      <c r="AI42" s="18">
        <f t="shared" si="41"/>
        <v>32150.400000000005</v>
      </c>
      <c r="AJ42" s="18">
        <f t="shared" si="41"/>
        <v>0</v>
      </c>
      <c r="AK42" s="18">
        <f t="shared" si="41"/>
        <v>31507.392000000007</v>
      </c>
      <c r="AL42" s="18">
        <f t="shared" si="41"/>
        <v>0</v>
      </c>
      <c r="AM42" s="18">
        <f t="shared" si="41"/>
        <v>72338.39999999998</v>
      </c>
      <c r="AN42" s="18">
        <f t="shared" si="41"/>
        <v>0</v>
      </c>
      <c r="AO42" s="18">
        <f t="shared" si="41"/>
        <v>0</v>
      </c>
      <c r="AP42" s="18">
        <f t="shared" si="41"/>
        <v>0</v>
      </c>
      <c r="AQ42" s="18">
        <f t="shared" si="41"/>
        <v>200</v>
      </c>
      <c r="AR42" s="18">
        <f t="shared" si="41"/>
        <v>0</v>
      </c>
      <c r="AS42" s="18">
        <f t="shared" si="41"/>
        <v>39602</v>
      </c>
      <c r="AT42" s="18">
        <f t="shared" si="41"/>
        <v>100800.75</v>
      </c>
      <c r="AU42" s="18">
        <f t="shared" si="41"/>
        <v>13597.7328</v>
      </c>
      <c r="AV42" s="18"/>
      <c r="AW42" s="18"/>
      <c r="AX42" s="18">
        <f aca="true" t="shared" si="42" ref="AX42:BE42">SUM(AX30:AX41)</f>
        <v>9868.599999999999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325785.59479999996</v>
      </c>
      <c r="BC42" s="18">
        <f t="shared" si="42"/>
        <v>5723.244</v>
      </c>
      <c r="BD42" s="18">
        <f t="shared" si="42"/>
        <v>13842.66743999999</v>
      </c>
      <c r="BE42" s="19">
        <f t="shared" si="42"/>
        <v>-24985.11000000001</v>
      </c>
    </row>
    <row r="43" spans="1:57" ht="12.75" hidden="1">
      <c r="A43" s="11"/>
      <c r="B43" s="12"/>
      <c r="C43" s="13"/>
      <c r="D43" s="13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9"/>
      <c r="T43" s="49"/>
      <c r="U43" s="54"/>
      <c r="V43" s="54"/>
      <c r="W43" s="54"/>
      <c r="X43" s="54"/>
      <c r="Y43" s="54"/>
      <c r="Z43" s="54"/>
      <c r="AA43" s="54"/>
      <c r="AB43" s="54"/>
      <c r="AC43" s="103"/>
      <c r="AD43" s="103"/>
      <c r="AE43" s="104"/>
      <c r="AF43" s="104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8"/>
      <c r="AT43" s="98"/>
      <c r="AU43" s="99"/>
      <c r="AV43" s="99"/>
      <c r="AW43" s="99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625685.6399999999</v>
      </c>
      <c r="D44" s="23">
        <f t="shared" si="43"/>
        <v>153750.0085182</v>
      </c>
      <c r="E44" s="51">
        <f t="shared" si="43"/>
        <v>53104.05</v>
      </c>
      <c r="F44" s="51">
        <f t="shared" si="43"/>
        <v>10246.410000000002</v>
      </c>
      <c r="G44" s="51">
        <f t="shared" si="43"/>
        <v>71872.38</v>
      </c>
      <c r="H44" s="51">
        <f t="shared" si="43"/>
        <v>13871.65</v>
      </c>
      <c r="I44" s="51">
        <f t="shared" si="43"/>
        <v>172707.78000000003</v>
      </c>
      <c r="J44" s="51">
        <f t="shared" si="43"/>
        <v>33394.880000000005</v>
      </c>
      <c r="K44" s="51">
        <f t="shared" si="43"/>
        <v>119762.86</v>
      </c>
      <c r="L44" s="51">
        <f t="shared" si="43"/>
        <v>23093.06</v>
      </c>
      <c r="M44" s="51">
        <f t="shared" si="43"/>
        <v>42480.32</v>
      </c>
      <c r="N44" s="51">
        <f t="shared" si="43"/>
        <v>8196.92</v>
      </c>
      <c r="O44" s="51">
        <f t="shared" si="43"/>
        <v>0</v>
      </c>
      <c r="P44" s="51">
        <f t="shared" si="43"/>
        <v>0</v>
      </c>
      <c r="Q44" s="51">
        <f t="shared" si="43"/>
        <v>0</v>
      </c>
      <c r="R44" s="51">
        <f t="shared" si="43"/>
        <v>0</v>
      </c>
      <c r="S44" s="51">
        <f t="shared" si="43"/>
        <v>459927.39</v>
      </c>
      <c r="T44" s="51">
        <f t="shared" si="43"/>
        <v>88802.91999999998</v>
      </c>
      <c r="U44" s="55">
        <f t="shared" si="43"/>
        <v>49064.1</v>
      </c>
      <c r="V44" s="55">
        <f t="shared" si="43"/>
        <v>66401.56</v>
      </c>
      <c r="W44" s="55">
        <f t="shared" si="43"/>
        <v>159568.77</v>
      </c>
      <c r="X44" s="55">
        <f t="shared" si="43"/>
        <v>110033.66999999998</v>
      </c>
      <c r="Y44" s="55">
        <f t="shared" si="43"/>
        <v>39257.86</v>
      </c>
      <c r="Z44" s="55">
        <f t="shared" si="43"/>
        <v>0</v>
      </c>
      <c r="AA44" s="55">
        <f t="shared" si="43"/>
        <v>0</v>
      </c>
      <c r="AB44" s="55">
        <f t="shared" si="43"/>
        <v>424325.96</v>
      </c>
      <c r="AC44" s="55">
        <f t="shared" si="43"/>
        <v>666878.8885182</v>
      </c>
      <c r="AD44" s="55">
        <f t="shared" si="43"/>
        <v>0</v>
      </c>
      <c r="AE44" s="55">
        <f t="shared" si="43"/>
        <v>0</v>
      </c>
      <c r="AF44" s="55">
        <f t="shared" si="43"/>
        <v>18128.44936</v>
      </c>
      <c r="AG44" s="23">
        <f t="shared" si="43"/>
        <v>42757.24800000001</v>
      </c>
      <c r="AH44" s="23">
        <f t="shared" si="43"/>
        <v>14327.161308000002</v>
      </c>
      <c r="AI44" s="23">
        <f t="shared" si="43"/>
        <v>65053.431647000005</v>
      </c>
      <c r="AJ44" s="23">
        <f t="shared" si="43"/>
        <v>5922.54569646</v>
      </c>
      <c r="AK44" s="23">
        <f t="shared" si="43"/>
        <v>64802.254280600006</v>
      </c>
      <c r="AL44" s="23">
        <f t="shared" si="43"/>
        <v>5993.075210507999</v>
      </c>
      <c r="AM44" s="23">
        <f t="shared" si="43"/>
        <v>145250.70414091658</v>
      </c>
      <c r="AN44" s="23">
        <f t="shared" si="43"/>
        <v>13124.214745364989</v>
      </c>
      <c r="AO44" s="23">
        <f t="shared" si="43"/>
        <v>3689.82</v>
      </c>
      <c r="AP44" s="23">
        <f t="shared" si="43"/>
        <v>664.1676</v>
      </c>
      <c r="AQ44" s="23">
        <f t="shared" si="43"/>
        <v>10677.53</v>
      </c>
      <c r="AR44" s="23">
        <f t="shared" si="43"/>
        <v>1885.9554000000003</v>
      </c>
      <c r="AS44" s="23">
        <f t="shared" si="43"/>
        <v>251157.61</v>
      </c>
      <c r="AT44" s="23">
        <f t="shared" si="43"/>
        <v>100913.25</v>
      </c>
      <c r="AU44" s="23">
        <f t="shared" si="43"/>
        <v>51698.00259999999</v>
      </c>
      <c r="AV44" s="23"/>
      <c r="AW44" s="23"/>
      <c r="AX44" s="23">
        <f aca="true" t="shared" si="44" ref="AX44:BE44">AX28+AX42</f>
        <v>17726.833599999998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795643.8042288495</v>
      </c>
      <c r="BC44" s="23">
        <f t="shared" si="44"/>
        <v>7395.143083999999</v>
      </c>
      <c r="BD44" s="23">
        <f t="shared" si="44"/>
        <v>-118031.60943464958</v>
      </c>
      <c r="BE44" s="24">
        <f t="shared" si="44"/>
        <v>-35601.43000000001</v>
      </c>
    </row>
  </sheetData>
  <sheetProtection/>
  <mergeCells count="67"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B5:BB6"/>
    <mergeCell ref="AU5:AU6"/>
    <mergeCell ref="AG5:AG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7">
      <selection activeCell="A7" sqref="A7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10.37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125" style="2" customWidth="1"/>
    <col min="10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37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352" t="s">
        <v>55</v>
      </c>
      <c r="C1" s="352"/>
      <c r="D1" s="352"/>
      <c r="E1" s="352"/>
      <c r="F1" s="352"/>
      <c r="G1" s="352"/>
      <c r="H1" s="352"/>
    </row>
    <row r="2" spans="2:8" ht="21" customHeight="1">
      <c r="B2" s="352" t="s">
        <v>56</v>
      </c>
      <c r="C2" s="352"/>
      <c r="D2" s="352"/>
      <c r="E2" s="352"/>
      <c r="F2" s="352"/>
      <c r="G2" s="352"/>
      <c r="H2" s="352"/>
    </row>
    <row r="5" spans="1:17" ht="12.75">
      <c r="A5" s="354" t="s">
        <v>89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</row>
    <row r="6" spans="1:17" ht="12.75">
      <c r="A6" s="355" t="s">
        <v>94</v>
      </c>
      <c r="B6" s="355"/>
      <c r="C6" s="355"/>
      <c r="D6" s="355"/>
      <c r="E6" s="355"/>
      <c r="F6" s="355"/>
      <c r="G6" s="35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353" t="s">
        <v>57</v>
      </c>
      <c r="B8" s="353"/>
      <c r="C8" s="353"/>
      <c r="D8" s="353"/>
      <c r="E8" s="353">
        <v>8.65</v>
      </c>
      <c r="F8" s="353"/>
    </row>
    <row r="9" spans="1:18" ht="12.75" customHeight="1">
      <c r="A9" s="299" t="s">
        <v>58</v>
      </c>
      <c r="B9" s="356" t="s">
        <v>1</v>
      </c>
      <c r="C9" s="346" t="s">
        <v>59</v>
      </c>
      <c r="D9" s="349" t="s">
        <v>3</v>
      </c>
      <c r="E9" s="370" t="s">
        <v>60</v>
      </c>
      <c r="F9" s="371"/>
      <c r="G9" s="374" t="s">
        <v>61</v>
      </c>
      <c r="H9" s="375"/>
      <c r="I9" s="383" t="str">
        <f>Лист1!AF3</f>
        <v>Доходы по нежил.помещениям</v>
      </c>
      <c r="J9" s="386" t="s">
        <v>10</v>
      </c>
      <c r="K9" s="338"/>
      <c r="L9" s="338"/>
      <c r="M9" s="338"/>
      <c r="N9" s="338"/>
      <c r="O9" s="387"/>
      <c r="P9" s="314" t="s">
        <v>76</v>
      </c>
      <c r="Q9" s="359" t="s">
        <v>62</v>
      </c>
      <c r="R9" s="359" t="s">
        <v>12</v>
      </c>
    </row>
    <row r="10" spans="1:18" ht="12.75">
      <c r="A10" s="300"/>
      <c r="B10" s="357"/>
      <c r="C10" s="347"/>
      <c r="D10" s="350"/>
      <c r="E10" s="372"/>
      <c r="F10" s="373"/>
      <c r="G10" s="376"/>
      <c r="H10" s="377"/>
      <c r="I10" s="384"/>
      <c r="J10" s="388"/>
      <c r="K10" s="310"/>
      <c r="L10" s="310"/>
      <c r="M10" s="310"/>
      <c r="N10" s="310"/>
      <c r="O10" s="389"/>
      <c r="P10" s="315"/>
      <c r="Q10" s="360"/>
      <c r="R10" s="360"/>
    </row>
    <row r="11" spans="1:18" ht="26.25" customHeight="1">
      <c r="A11" s="300"/>
      <c r="B11" s="357"/>
      <c r="C11" s="347"/>
      <c r="D11" s="350"/>
      <c r="E11" s="362" t="s">
        <v>63</v>
      </c>
      <c r="F11" s="363"/>
      <c r="G11" s="91" t="s">
        <v>64</v>
      </c>
      <c r="H11" s="364" t="s">
        <v>7</v>
      </c>
      <c r="I11" s="384"/>
      <c r="J11" s="366" t="s">
        <v>65</v>
      </c>
      <c r="K11" s="368" t="s">
        <v>32</v>
      </c>
      <c r="L11" s="368" t="s">
        <v>66</v>
      </c>
      <c r="M11" s="368" t="s">
        <v>37</v>
      </c>
      <c r="N11" s="368" t="s">
        <v>67</v>
      </c>
      <c r="O11" s="364" t="s">
        <v>39</v>
      </c>
      <c r="P11" s="315"/>
      <c r="Q11" s="360"/>
      <c r="R11" s="360"/>
    </row>
    <row r="12" spans="1:18" ht="66.75" customHeight="1" thickBot="1">
      <c r="A12" s="390"/>
      <c r="B12" s="358"/>
      <c r="C12" s="348"/>
      <c r="D12" s="351"/>
      <c r="E12" s="65" t="s">
        <v>68</v>
      </c>
      <c r="F12" s="69" t="s">
        <v>21</v>
      </c>
      <c r="G12" s="84" t="s">
        <v>69</v>
      </c>
      <c r="H12" s="365"/>
      <c r="I12" s="385"/>
      <c r="J12" s="367"/>
      <c r="K12" s="369"/>
      <c r="L12" s="369"/>
      <c r="M12" s="369"/>
      <c r="N12" s="369"/>
      <c r="O12" s="365"/>
      <c r="P12" s="316"/>
      <c r="Q12" s="361"/>
      <c r="R12" s="361"/>
    </row>
    <row r="13" spans="1:18" ht="13.5" thickBot="1">
      <c r="A13" s="66">
        <v>1</v>
      </c>
      <c r="B13" s="67">
        <v>2</v>
      </c>
      <c r="C13" s="66">
        <v>3</v>
      </c>
      <c r="D13" s="67">
        <v>4</v>
      </c>
      <c r="E13" s="66">
        <v>5</v>
      </c>
      <c r="F13" s="67">
        <v>6</v>
      </c>
      <c r="G13" s="66">
        <v>7</v>
      </c>
      <c r="H13" s="67">
        <v>8</v>
      </c>
      <c r="I13" s="66">
        <v>9</v>
      </c>
      <c r="J13" s="67">
        <v>10</v>
      </c>
      <c r="K13" s="66">
        <v>11</v>
      </c>
      <c r="L13" s="67">
        <v>12</v>
      </c>
      <c r="M13" s="66">
        <v>13</v>
      </c>
      <c r="N13" s="67">
        <v>14</v>
      </c>
      <c r="O13" s="66">
        <v>15</v>
      </c>
      <c r="P13" s="67">
        <v>16</v>
      </c>
      <c r="Q13" s="66">
        <v>17</v>
      </c>
      <c r="R13" s="68">
        <v>18</v>
      </c>
    </row>
    <row r="14" spans="1:18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88"/>
      <c r="J14" s="7"/>
      <c r="K14" s="8"/>
      <c r="L14" s="8"/>
      <c r="M14" s="8"/>
      <c r="N14" s="8"/>
      <c r="O14" s="9"/>
      <c r="P14" s="85"/>
      <c r="Q14" s="79"/>
      <c r="R14" s="76"/>
    </row>
    <row r="15" spans="1:18" ht="12.75" hidden="1">
      <c r="A15" s="11" t="s">
        <v>41</v>
      </c>
      <c r="B15" s="86">
        <f>Лист1!B9</f>
        <v>2678.8</v>
      </c>
      <c r="C15" s="27">
        <f>B15*8.65</f>
        <v>23171.620000000003</v>
      </c>
      <c r="D15" s="28">
        <f>Лист1!D9</f>
        <v>5581.579825600001</v>
      </c>
      <c r="E15" s="14">
        <f>Лист1!S9</f>
        <v>15049.400000000001</v>
      </c>
      <c r="F15" s="30">
        <f>Лист1!T9</f>
        <v>3968.83</v>
      </c>
      <c r="G15" s="29">
        <f>Лист1!AB9</f>
        <v>0</v>
      </c>
      <c r="H15" s="30">
        <f>Лист1!AC9</f>
        <v>9550.4098256</v>
      </c>
      <c r="I15" s="89">
        <f>Лист1!AD9</f>
        <v>0</v>
      </c>
      <c r="J15" s="29">
        <f>Лист1!AG9</f>
        <v>1607.28</v>
      </c>
      <c r="K15" s="14">
        <f>Лист1!AI9+Лист1!AJ9</f>
        <v>2692.5261712</v>
      </c>
      <c r="L15" s="14">
        <f>Лист1!AH9+Лист1!AK9+Лист1!AL9+Лист1!AM9+Лист1!AN9+Лист1!AO9+Лист1!AP9</f>
        <v>9454.53823628</v>
      </c>
      <c r="M15" s="31">
        <f>Лист1!AS9+Лист1!AU9</f>
        <v>9321.1032</v>
      </c>
      <c r="N15" s="31">
        <f>Лист1!AX9</f>
        <v>0</v>
      </c>
      <c r="O15" s="30">
        <f>Лист1!BB9</f>
        <v>23075.447607479997</v>
      </c>
      <c r="P15" s="92">
        <f>Лист1!BC9</f>
        <v>0</v>
      </c>
      <c r="Q15" s="77">
        <f>Лист1!BD9</f>
        <v>-13525.037781879997</v>
      </c>
      <c r="R15" s="77">
        <f>Лист1!BE9</f>
        <v>-15049.400000000001</v>
      </c>
    </row>
    <row r="16" spans="1:18" ht="12.75" hidden="1">
      <c r="A16" s="11" t="s">
        <v>42</v>
      </c>
      <c r="B16" s="86">
        <f>Лист1!B10</f>
        <v>2678.8</v>
      </c>
      <c r="C16" s="27">
        <f aca="true" t="shared" si="0" ref="C16:C31">B16*8.65</f>
        <v>23171.620000000003</v>
      </c>
      <c r="D16" s="28">
        <f>Лист1!D10</f>
        <v>5581.579825600001</v>
      </c>
      <c r="E16" s="14">
        <f>Лист1!S10</f>
        <v>14121.16</v>
      </c>
      <c r="F16" s="30">
        <f>Лист1!T10</f>
        <v>3956.6699999999996</v>
      </c>
      <c r="G16" s="29">
        <f>Лист1!AB10</f>
        <v>10317.52</v>
      </c>
      <c r="H16" s="30">
        <f>Лист1!AC10</f>
        <v>19855.7698256</v>
      </c>
      <c r="I16" s="89">
        <f>Лист1!AD10</f>
        <v>0</v>
      </c>
      <c r="J16" s="29">
        <f>Лист1!AG10</f>
        <v>1607.28</v>
      </c>
      <c r="K16" s="14">
        <f>Лист1!AI10+Лист1!AJ10</f>
        <v>2692.5261712</v>
      </c>
      <c r="L16" s="14">
        <f>Лист1!AH10+Лист1!AK10+Лист1!AL10+Лист1!AM10+Лист1!AN10+Лист1!AO10+Лист1!AP10</f>
        <v>9426.00365868</v>
      </c>
      <c r="M16" s="31">
        <f>Лист1!AS10+Лист1!AU10</f>
        <v>2879.2</v>
      </c>
      <c r="N16" s="31">
        <f>Лист1!AX10</f>
        <v>0</v>
      </c>
      <c r="O16" s="30">
        <f>Лист1!BB10</f>
        <v>16605.00982988</v>
      </c>
      <c r="P16" s="92">
        <f>Лист1!BC10</f>
        <v>0</v>
      </c>
      <c r="Q16" s="77">
        <f>Лист1!BD10</f>
        <v>3250.75999572</v>
      </c>
      <c r="R16" s="77">
        <f>Лист1!BE10</f>
        <v>-3803.6399999999994</v>
      </c>
    </row>
    <row r="17" spans="1:20" ht="13.5" hidden="1" thickBot="1">
      <c r="A17" s="32" t="s">
        <v>43</v>
      </c>
      <c r="B17" s="86">
        <f>Лист1!B11</f>
        <v>2678.8</v>
      </c>
      <c r="C17" s="33">
        <f t="shared" si="0"/>
        <v>23171.620000000003</v>
      </c>
      <c r="D17" s="28">
        <f>Лист1!D11</f>
        <v>5569.298867</v>
      </c>
      <c r="E17" s="14">
        <f>Лист1!S11</f>
        <v>14806.64</v>
      </c>
      <c r="F17" s="30">
        <f>Лист1!T11</f>
        <v>3900.14</v>
      </c>
      <c r="G17" s="29">
        <f>Лист1!AB11</f>
        <v>14267.02</v>
      </c>
      <c r="H17" s="30">
        <f>Лист1!AC11</f>
        <v>23736.458867</v>
      </c>
      <c r="I17" s="89">
        <f>Лист1!AD11</f>
        <v>0</v>
      </c>
      <c r="J17" s="29">
        <f>Лист1!AG11</f>
        <v>1607.28</v>
      </c>
      <c r="K17" s="14">
        <f>Лист1!AI11+Лист1!AJ11</f>
        <v>2684.68693088</v>
      </c>
      <c r="L17" s="14">
        <f>Лист1!AH11+Лист1!AK11+Лист1!AL11+Лист1!AM11+Лист1!AN11+Лист1!AO11+Лист1!AP11</f>
        <v>9411.017460324001</v>
      </c>
      <c r="M17" s="31">
        <f>Лист1!AS11+Лист1!AU11</f>
        <v>15576</v>
      </c>
      <c r="N17" s="31">
        <f>Лист1!AX11</f>
        <v>0</v>
      </c>
      <c r="O17" s="30">
        <f>Лист1!BB11</f>
        <v>29278.984391204</v>
      </c>
      <c r="P17" s="92">
        <f>Лист1!BC11</f>
        <v>0</v>
      </c>
      <c r="Q17" s="77">
        <f>Лист1!BD11</f>
        <v>-5542.525524204</v>
      </c>
      <c r="R17" s="77">
        <f>Лист1!BE11</f>
        <v>-539.619999999999</v>
      </c>
      <c r="S17" s="1"/>
      <c r="T17" s="1"/>
    </row>
    <row r="18" spans="1:20" s="20" customFormat="1" ht="13.5" hidden="1" thickBot="1">
      <c r="A18" s="34" t="s">
        <v>5</v>
      </c>
      <c r="B18" s="35"/>
      <c r="C18" s="36">
        <f>SUM(C15:C17)</f>
        <v>69514.86000000002</v>
      </c>
      <c r="D18" s="70">
        <f aca="true" t="shared" si="1" ref="D18:J18">SUM(D15:D17)</f>
        <v>16732.4585182</v>
      </c>
      <c r="E18" s="36">
        <f t="shared" si="1"/>
        <v>43977.2</v>
      </c>
      <c r="F18" s="71">
        <f t="shared" si="1"/>
        <v>11825.64</v>
      </c>
      <c r="G18" s="70">
        <f t="shared" si="1"/>
        <v>24584.54</v>
      </c>
      <c r="H18" s="71">
        <f t="shared" si="1"/>
        <v>53142.6385182</v>
      </c>
      <c r="I18" s="71">
        <f t="shared" si="1"/>
        <v>0</v>
      </c>
      <c r="J18" s="70">
        <f t="shared" si="1"/>
        <v>4821.84</v>
      </c>
      <c r="K18" s="36">
        <f aca="true" t="shared" si="2" ref="K18:R18">SUM(K15:K17)</f>
        <v>8069.73927328</v>
      </c>
      <c r="L18" s="36">
        <f t="shared" si="2"/>
        <v>28291.559355284</v>
      </c>
      <c r="M18" s="36">
        <f t="shared" si="2"/>
        <v>27776.3032</v>
      </c>
      <c r="N18" s="36">
        <f t="shared" si="2"/>
        <v>0</v>
      </c>
      <c r="O18" s="71">
        <f t="shared" si="2"/>
        <v>68959.441828564</v>
      </c>
      <c r="P18" s="71">
        <f t="shared" si="2"/>
        <v>0</v>
      </c>
      <c r="Q18" s="78">
        <f t="shared" si="2"/>
        <v>-15816.803310363997</v>
      </c>
      <c r="R18" s="78">
        <f t="shared" si="2"/>
        <v>-19392.66</v>
      </c>
      <c r="S18" s="73"/>
      <c r="T18" s="74"/>
    </row>
    <row r="19" spans="1:20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90"/>
      <c r="J19" s="44"/>
      <c r="K19" s="14"/>
      <c r="L19" s="14"/>
      <c r="M19" s="31"/>
      <c r="N19" s="72"/>
      <c r="O19" s="30"/>
      <c r="P19" s="92"/>
      <c r="Q19" s="77"/>
      <c r="R19" s="77"/>
      <c r="S19" s="1"/>
      <c r="T19" s="1"/>
    </row>
    <row r="20" spans="1:20" ht="12.75" hidden="1">
      <c r="A20" s="11" t="s">
        <v>45</v>
      </c>
      <c r="B20" s="86">
        <f>Лист1!B14</f>
        <v>2678.8</v>
      </c>
      <c r="C20" s="27">
        <f t="shared" si="0"/>
        <v>23171.620000000003</v>
      </c>
      <c r="D20" s="28">
        <f>Лист1!D14</f>
        <v>2896.4525000000003</v>
      </c>
      <c r="E20" s="14">
        <f>Лист1!S14</f>
        <v>14979.99</v>
      </c>
      <c r="F20" s="30">
        <f>Лист1!T14</f>
        <v>3848.57</v>
      </c>
      <c r="G20" s="29">
        <f>Лист1!AB14</f>
        <v>22828.239999999998</v>
      </c>
      <c r="H20" s="30">
        <f>Лист1!AC14</f>
        <v>29573.262499999997</v>
      </c>
      <c r="I20" s="89">
        <f>Лист1!AF14</f>
        <v>0</v>
      </c>
      <c r="J20" s="29">
        <f>Лист1!AG14</f>
        <v>1446.552</v>
      </c>
      <c r="K20" s="14">
        <f>Лист1!AI14+Лист1!AJ14</f>
        <v>2329.4635588</v>
      </c>
      <c r="L20" s="14">
        <f>Лист1!AH14+Лист1!AK14+Лист1!AL14+Лист1!AM14+Лист1!AN14+Лист1!AO14+Лист1!AP14+Лист1!AQ14+Лист1!AR14</f>
        <v>8950.027922903999</v>
      </c>
      <c r="M20" s="31">
        <f>Лист1!AS14+Лист1!AU14+Лист1!AZ14+Лист1!BA14</f>
        <v>717.45</v>
      </c>
      <c r="N20" s="31">
        <f>Лист1!AX14</f>
        <v>533.9264</v>
      </c>
      <c r="O20" s="30">
        <f>Лист1!BB14</f>
        <v>13443.493481704</v>
      </c>
      <c r="P20" s="92">
        <f>Лист1!BC14</f>
        <v>0</v>
      </c>
      <c r="Q20" s="77">
        <f>Лист1!BD14</f>
        <v>16129.769018295998</v>
      </c>
      <c r="R20" s="77">
        <f>Лист1!BE14</f>
        <v>7848.249999999998</v>
      </c>
      <c r="S20" s="1"/>
      <c r="T20" s="1"/>
    </row>
    <row r="21" spans="1:20" ht="12.75" hidden="1">
      <c r="A21" s="11" t="s">
        <v>46</v>
      </c>
      <c r="B21" s="86">
        <f>Лист1!B15</f>
        <v>2678.8</v>
      </c>
      <c r="C21" s="27">
        <f t="shared" si="0"/>
        <v>23171.620000000003</v>
      </c>
      <c r="D21" s="28">
        <f>Лист1!D15</f>
        <v>2896.4525000000003</v>
      </c>
      <c r="E21" s="14">
        <f>Лист1!S15</f>
        <v>14328.59</v>
      </c>
      <c r="F21" s="30">
        <f>Лист1!T15</f>
        <v>3848.57</v>
      </c>
      <c r="G21" s="29">
        <f>Лист1!AB15</f>
        <v>9584.54</v>
      </c>
      <c r="H21" s="30">
        <f>Лист1!AC15</f>
        <v>16329.562500000002</v>
      </c>
      <c r="I21" s="89">
        <f>Лист1!AF15</f>
        <v>0</v>
      </c>
      <c r="J21" s="29">
        <f>Лист1!AG15</f>
        <v>1446.552</v>
      </c>
      <c r="K21" s="14">
        <f>Лист1!AI15+Лист1!AJ15</f>
        <v>2326.8003224</v>
      </c>
      <c r="L21" s="14">
        <f>Лист1!AH15+Лист1!AK15+Лист1!AL15+Лист1!AM15+Лист1!AN15+Лист1!AO15+Лист1!AP15+Лист1!AQ15+Лист1!AR15</f>
        <v>8011.677033343999</v>
      </c>
      <c r="M21" s="31">
        <f>Лист1!AS15+Лист1!AU15+Лист1!AZ15+Лист1!BA15</f>
        <v>57496.68</v>
      </c>
      <c r="N21" s="31">
        <f>Лист1!AX15</f>
        <v>557.7152</v>
      </c>
      <c r="O21" s="30">
        <f>Лист1!BB15</f>
        <v>69281.70935574401</v>
      </c>
      <c r="P21" s="92">
        <f>Лист1!BC15</f>
        <v>0</v>
      </c>
      <c r="Q21" s="77">
        <f>Лист1!BD15</f>
        <v>-52952.14685574401</v>
      </c>
      <c r="R21" s="77">
        <f>Лист1!BE15</f>
        <v>-4744.049999999999</v>
      </c>
      <c r="S21" s="1"/>
      <c r="T21" s="1"/>
    </row>
    <row r="22" spans="1:20" ht="12.75" hidden="1">
      <c r="A22" s="11" t="s">
        <v>47</v>
      </c>
      <c r="B22" s="86">
        <f>Лист1!B16</f>
        <v>2678.8</v>
      </c>
      <c r="C22" s="27">
        <f t="shared" si="0"/>
        <v>23171.620000000003</v>
      </c>
      <c r="D22" s="28">
        <f>Лист1!D16</f>
        <v>2896.4525000000003</v>
      </c>
      <c r="E22" s="14">
        <f>Лист1!S16</f>
        <v>14979.99</v>
      </c>
      <c r="F22" s="30">
        <f>Лист1!T16</f>
        <v>3848.57</v>
      </c>
      <c r="G22" s="29">
        <f>Лист1!AB16</f>
        <v>14569.220000000001</v>
      </c>
      <c r="H22" s="30">
        <f>Лист1!AC16</f>
        <v>21314.2425</v>
      </c>
      <c r="I22" s="89">
        <f>Лист1!AF16</f>
        <v>0</v>
      </c>
      <c r="J22" s="29">
        <f>Лист1!AG16</f>
        <v>1446.552</v>
      </c>
      <c r="K22" s="14">
        <f>Лист1!AI16+Лист1!AJ16</f>
        <v>2330.830577</v>
      </c>
      <c r="L22" s="14">
        <f>Лист1!AH16+Лист1!AK16+Лист1!AL16+Лист1!AM16+Лист1!AN16+Лист1!AO16+Лист1!AP16+Лист1!AQ16+Лист1!AR16</f>
        <v>15170.118962024</v>
      </c>
      <c r="M22" s="31">
        <f>Лист1!AS16+Лист1!AU16+Лист1!AZ16+Лист1!BA16</f>
        <v>6887.66</v>
      </c>
      <c r="N22" s="31">
        <f>Лист1!AX16</f>
        <v>343.61600000000004</v>
      </c>
      <c r="O22" s="30">
        <f>Лист1!BB16</f>
        <v>25835.161539023997</v>
      </c>
      <c r="P22" s="92">
        <f>Лист1!BC16</f>
        <v>0</v>
      </c>
      <c r="Q22" s="77">
        <f>Лист1!BD16</f>
        <v>-4520.919039023996</v>
      </c>
      <c r="R22" s="77">
        <f>Лист1!BE16</f>
        <v>-410.7699999999986</v>
      </c>
      <c r="S22" s="1"/>
      <c r="T22" s="1"/>
    </row>
    <row r="23" spans="1:20" ht="12.75" hidden="1">
      <c r="A23" s="11" t="s">
        <v>48</v>
      </c>
      <c r="B23" s="86">
        <f>Лист1!B17</f>
        <v>2678.8</v>
      </c>
      <c r="C23" s="27">
        <f t="shared" si="0"/>
        <v>23171.620000000003</v>
      </c>
      <c r="D23" s="28">
        <f>Лист1!D17</f>
        <v>2896.4525000000003</v>
      </c>
      <c r="E23" s="14">
        <f>Лист1!S17</f>
        <v>15192.06</v>
      </c>
      <c r="F23" s="30">
        <f>Лист1!T17</f>
        <v>3848.57</v>
      </c>
      <c r="G23" s="29">
        <f>Лист1!AB17</f>
        <v>16073.97</v>
      </c>
      <c r="H23" s="30">
        <f>Лист1!AC17</f>
        <v>22818.9925</v>
      </c>
      <c r="I23" s="89">
        <f>Лист1!AF17</f>
        <v>0</v>
      </c>
      <c r="J23" s="29">
        <f>Лист1!AG17</f>
        <v>1446.552</v>
      </c>
      <c r="K23" s="14">
        <f>Лист1!AI17+Лист1!AJ17</f>
        <v>2400.41963976</v>
      </c>
      <c r="L23" s="14">
        <f>Лист1!AH17+Лист1!AK17+Лист1!AL17+Лист1!AM17+Лист1!AN17+Лист1!AO17+Лист1!AP17+Лист1!AQ17+Лист1!AR17</f>
        <v>15896.643900768</v>
      </c>
      <c r="M23" s="31">
        <f>Лист1!AS17+Лист1!AU17+Лист1!AZ17+Лист1!BA17</f>
        <v>8304.5214</v>
      </c>
      <c r="N23" s="31">
        <f>Лист1!AX17</f>
        <v>642.2976</v>
      </c>
      <c r="O23" s="30">
        <f>Лист1!BB17</f>
        <v>30125.692140528</v>
      </c>
      <c r="P23" s="92">
        <f>Лист1!BC17</f>
        <v>0</v>
      </c>
      <c r="Q23" s="77">
        <f>Лист1!BD17</f>
        <v>-7306.699640528001</v>
      </c>
      <c r="R23" s="77">
        <f>Лист1!BE17</f>
        <v>881.9099999999999</v>
      </c>
      <c r="S23" s="1"/>
      <c r="T23" s="1"/>
    </row>
    <row r="24" spans="1:20" ht="12.75" hidden="1">
      <c r="A24" s="11" t="s">
        <v>49</v>
      </c>
      <c r="B24" s="86">
        <f>Лист1!B18</f>
        <v>2678.8</v>
      </c>
      <c r="C24" s="27">
        <f t="shared" si="0"/>
        <v>23171.620000000003</v>
      </c>
      <c r="D24" s="28">
        <f>Лист1!D18</f>
        <v>2314.4000000000024</v>
      </c>
      <c r="E24" s="14">
        <f>Лист1!S18</f>
        <v>16580.25</v>
      </c>
      <c r="F24" s="30">
        <f>Лист1!T18</f>
        <v>4276.97</v>
      </c>
      <c r="G24" s="29">
        <f>Лист1!AB18</f>
        <v>13913.500000000002</v>
      </c>
      <c r="H24" s="30">
        <f>Лист1!AC18</f>
        <v>20504.870000000003</v>
      </c>
      <c r="I24" s="89">
        <f>Лист1!AF18</f>
        <v>0</v>
      </c>
      <c r="J24" s="29">
        <f>Лист1!AG18</f>
        <v>1607.28</v>
      </c>
      <c r="K24" s="14">
        <f>Лист1!AI18+Лист1!AJ18</f>
        <v>2686.8364</v>
      </c>
      <c r="L24" s="14">
        <f>Лист1!AH18+Лист1!AK18+Лист1!AL18+Лист1!AM18+Лист1!AN18+Лист1!AO18+Лист1!AP18+Лист1!AQ18+Лист1!AR18</f>
        <v>9503.113759999998</v>
      </c>
      <c r="M24" s="31">
        <f>Лист1!AS18+Лист1!AU18+Лист1!AZ18+Лист1!BA18</f>
        <v>2809.9458</v>
      </c>
      <c r="N24" s="31">
        <f>Лист1!AX18</f>
        <v>578.8608</v>
      </c>
      <c r="O24" s="30">
        <f>Лист1!BB18</f>
        <v>17186.036759999995</v>
      </c>
      <c r="P24" s="92">
        <f>Лист1!BC18</f>
        <v>0</v>
      </c>
      <c r="Q24" s="77">
        <f>Лист1!BD18</f>
        <v>3318.833240000007</v>
      </c>
      <c r="R24" s="77">
        <f>Лист1!BE18</f>
        <v>-2666.749999999998</v>
      </c>
      <c r="S24" s="1"/>
      <c r="T24" s="1"/>
    </row>
    <row r="25" spans="1:20" ht="12.75" hidden="1">
      <c r="A25" s="11" t="s">
        <v>50</v>
      </c>
      <c r="B25" s="86">
        <f>Лист1!B19</f>
        <v>2678.8</v>
      </c>
      <c r="C25" s="27">
        <f t="shared" si="0"/>
        <v>23171.620000000003</v>
      </c>
      <c r="D25" s="28">
        <f>Лист1!D19</f>
        <v>1451.5800000000056</v>
      </c>
      <c r="E25" s="14">
        <f>Лист1!S19</f>
        <v>17432.260000000002</v>
      </c>
      <c r="F25" s="30">
        <f>Лист1!T19</f>
        <v>4287.78</v>
      </c>
      <c r="G25" s="29">
        <f>Лист1!AB19</f>
        <v>14681.220000000001</v>
      </c>
      <c r="H25" s="30">
        <f>Лист1!AC19</f>
        <v>20420.580000000005</v>
      </c>
      <c r="I25" s="89">
        <f>Лист1!AF19</f>
        <v>0</v>
      </c>
      <c r="J25" s="29">
        <f>Лист1!AG19</f>
        <v>1607.28</v>
      </c>
      <c r="K25" s="14">
        <f>Лист1!AI19+Лист1!AJ19</f>
        <v>2686.8364</v>
      </c>
      <c r="L25" s="14">
        <f>Лист1!AH19+Лист1!AK19+Лист1!AL19+Лист1!AM19+Лист1!AN19+Лист1!AO19+Лист1!AP19+Лист1!AQ19+Лист1!AR19</f>
        <v>9202.456651999999</v>
      </c>
      <c r="M25" s="31">
        <f>Лист1!AS19+Лист1!AU19+Лист1!AZ19+Лист1!BA19</f>
        <v>17189.532</v>
      </c>
      <c r="N25" s="31">
        <f>Лист1!AX19</f>
        <v>692.5184</v>
      </c>
      <c r="O25" s="30">
        <f>Лист1!BB19</f>
        <v>31378.623452</v>
      </c>
      <c r="P25" s="92">
        <f>Лист1!BC19</f>
        <v>0</v>
      </c>
      <c r="Q25" s="77">
        <f>Лист1!BD19</f>
        <v>-10958.043451999994</v>
      </c>
      <c r="R25" s="77">
        <f>Лист1!BE19</f>
        <v>-2751.040000000001</v>
      </c>
      <c r="S25" s="1"/>
      <c r="T25" s="1"/>
    </row>
    <row r="26" spans="1:20" ht="12.75" hidden="1">
      <c r="A26" s="11" t="s">
        <v>51</v>
      </c>
      <c r="B26" s="86">
        <f>Лист1!B20</f>
        <v>2678.8</v>
      </c>
      <c r="C26" s="27">
        <f t="shared" si="0"/>
        <v>23171.620000000003</v>
      </c>
      <c r="D26" s="28">
        <f>Лист1!D20</f>
        <v>2272.7400000000043</v>
      </c>
      <c r="E26" s="14">
        <f>Лист1!S20</f>
        <v>16611.1</v>
      </c>
      <c r="F26" s="30">
        <f>Лист1!T20</f>
        <v>4287.78</v>
      </c>
      <c r="G26" s="29">
        <f>Лист1!AB20</f>
        <v>21984.850000000002</v>
      </c>
      <c r="H26" s="30">
        <f>Лист1!AC20</f>
        <v>28545.370000000006</v>
      </c>
      <c r="I26" s="89">
        <f>Лист1!AF20</f>
        <v>0</v>
      </c>
      <c r="J26" s="29">
        <f>Лист1!AG20</f>
        <v>1607.28</v>
      </c>
      <c r="K26" s="14">
        <f>Лист1!AI20+Лист1!AJ20</f>
        <v>2648.41463948</v>
      </c>
      <c r="L26" s="14">
        <f>Лист1!AH20+Лист1!AK20+Лист1!AL20+Лист1!AM20+Лист1!AN20+Лист1!AO20+Лист1!AP20+Лист1!AQ20+Лист1!AR20</f>
        <v>9110.891378536</v>
      </c>
      <c r="M26" s="31">
        <f>Лист1!AS20+Лист1!AU20+Лист1!AZ20+Лист1!BA20</f>
        <v>65292.8456</v>
      </c>
      <c r="N26" s="31">
        <f>Лист1!AX20</f>
        <v>471.8112</v>
      </c>
      <c r="O26" s="30">
        <f>Лист1!BB20</f>
        <v>79131.24281801599</v>
      </c>
      <c r="P26" s="92">
        <f>Лист1!BC20</f>
        <v>0</v>
      </c>
      <c r="Q26" s="77">
        <f>Лист1!BD20</f>
        <v>-50585.87281801598</v>
      </c>
      <c r="R26" s="77">
        <f>Лист1!BE20</f>
        <v>5373.750000000004</v>
      </c>
      <c r="S26" s="1"/>
      <c r="T26" s="1"/>
    </row>
    <row r="27" spans="1:20" ht="12.75" hidden="1">
      <c r="A27" s="11" t="s">
        <v>52</v>
      </c>
      <c r="B27" s="86">
        <f>Лист1!B21</f>
        <v>2678.8</v>
      </c>
      <c r="C27" s="27">
        <f t="shared" si="0"/>
        <v>23171.620000000003</v>
      </c>
      <c r="D27" s="28">
        <f>Лист1!D21</f>
        <v>2172.7300000000014</v>
      </c>
      <c r="E27" s="14">
        <f>Лист1!S21</f>
        <v>16444.82</v>
      </c>
      <c r="F27" s="30">
        <f>Лист1!T21</f>
        <v>4554.07</v>
      </c>
      <c r="G27" s="29">
        <f>Лист1!AB21</f>
        <v>11100.859999999999</v>
      </c>
      <c r="H27" s="30">
        <f>Лист1!AC21</f>
        <v>17827.66</v>
      </c>
      <c r="I27" s="89">
        <f>Лист1!AF21</f>
        <v>0</v>
      </c>
      <c r="J27" s="29">
        <f>Лист1!AG21</f>
        <v>1607.28</v>
      </c>
      <c r="K27" s="14">
        <f>Лист1!AI21+Лист1!AJ21</f>
        <v>2647.232431464</v>
      </c>
      <c r="L27" s="14">
        <f>Лист1!AH21+Лист1!AK21+Лист1!AL21+Лист1!AM21+Лист1!AN21+Лист1!AO21+Лист1!AP21+Лист1!AQ21+Лист1!AR21</f>
        <v>9109.5754984</v>
      </c>
      <c r="M27" s="31">
        <f>Лист1!AS21+Лист1!AU21+Лист1!AZ21+Лист1!BA21</f>
        <v>1360.54</v>
      </c>
      <c r="N27" s="31">
        <f>Лист1!AX21</f>
        <v>500.8864</v>
      </c>
      <c r="O27" s="30">
        <f>Лист1!BB21</f>
        <v>15225.514329864</v>
      </c>
      <c r="P27" s="92">
        <f>Лист1!BC21</f>
        <v>0</v>
      </c>
      <c r="Q27" s="77">
        <f>Лист1!BD21</f>
        <v>2602.1456701360003</v>
      </c>
      <c r="R27" s="77">
        <f>Лист1!BE21</f>
        <v>-5343.960000000001</v>
      </c>
      <c r="S27" s="1"/>
      <c r="T27" s="1"/>
    </row>
    <row r="28" spans="1:20" ht="12.75" hidden="1">
      <c r="A28" s="11" t="s">
        <v>53</v>
      </c>
      <c r="B28" s="86">
        <f>Лист1!B22</f>
        <v>2678.8</v>
      </c>
      <c r="C28" s="27">
        <f t="shared" si="0"/>
        <v>23171.620000000003</v>
      </c>
      <c r="D28" s="28">
        <f>Лист1!D22</f>
        <v>2272.779999999998</v>
      </c>
      <c r="E28" s="14">
        <f>Лист1!S22</f>
        <v>16380.96</v>
      </c>
      <c r="F28" s="30">
        <f>Лист1!T22</f>
        <v>4517.879999999999</v>
      </c>
      <c r="G28" s="29">
        <f>Лист1!AB22</f>
        <v>13383.529999999999</v>
      </c>
      <c r="H28" s="30">
        <f>Лист1!AC22</f>
        <v>20174.189999999995</v>
      </c>
      <c r="I28" s="89">
        <f>Лист1!AF22</f>
        <v>0</v>
      </c>
      <c r="J28" s="29">
        <f>Лист1!AG22</f>
        <v>1607.28</v>
      </c>
      <c r="K28" s="14">
        <f>Лист1!AI22+Лист1!AJ22</f>
        <v>2646.7756692760004</v>
      </c>
      <c r="L28" s="14">
        <f>Лист1!AH22+Лист1!AK22+Лист1!AL22+Лист1!AM22+Лист1!AN22+Лист1!AO22+Лист1!AP22+Лист1!AQ22+Лист1!AR22</f>
        <v>9108.4388621296</v>
      </c>
      <c r="M28" s="31">
        <f>Лист1!AS22+Лист1!AU22+Лист1!AZ22+Лист1!BA22</f>
        <v>0</v>
      </c>
      <c r="N28" s="31">
        <f>Лист1!AX22</f>
        <v>666.0864</v>
      </c>
      <c r="O28" s="30">
        <f>Лист1!BB22</f>
        <v>14028.5809314056</v>
      </c>
      <c r="P28" s="92">
        <f>Лист1!BC22</f>
        <v>0</v>
      </c>
      <c r="Q28" s="77">
        <f>Лист1!BD22</f>
        <v>6145.609068594395</v>
      </c>
      <c r="R28" s="77">
        <f>Лист1!BE22</f>
        <v>-2997.4300000000003</v>
      </c>
      <c r="S28" s="1"/>
      <c r="T28" s="1"/>
    </row>
    <row r="29" spans="1:20" ht="12.75" hidden="1">
      <c r="A29" s="11" t="s">
        <v>41</v>
      </c>
      <c r="B29" s="86">
        <f>Лист1!B23</f>
        <v>2679.2</v>
      </c>
      <c r="C29" s="27">
        <f>B29*8.65</f>
        <v>23175.079999999998</v>
      </c>
      <c r="D29" s="28">
        <f>Лист1!D23</f>
        <v>2283.78</v>
      </c>
      <c r="E29" s="14">
        <f>Лист1!S23</f>
        <v>16328.31</v>
      </c>
      <c r="F29" s="30">
        <f>Лист1!T23</f>
        <v>4562.99</v>
      </c>
      <c r="G29" s="29">
        <f>Лист1!AB23</f>
        <v>18142.440000000002</v>
      </c>
      <c r="H29" s="30">
        <f>Лист1!AC23</f>
        <v>24989.21</v>
      </c>
      <c r="I29" s="89">
        <f>Лист1!AF23</f>
        <v>3928.5320800000004</v>
      </c>
      <c r="J29" s="29">
        <f>Лист1!AG23</f>
        <v>1607.5199999999998</v>
      </c>
      <c r="K29" s="14">
        <f>Лист1!AI23+Лист1!AJ23</f>
        <v>2677.7532319999996</v>
      </c>
      <c r="L29" s="14">
        <f>Лист1!AH23+Лист1!AK23+Лист1!AL23+Лист1!AM23+Лист1!AN23+Лист1!AO23+Лист1!AP23+Лист1!AQ23+Лист1!AR23</f>
        <v>9188.04848</v>
      </c>
      <c r="M29" s="31">
        <f>Лист1!AS23+Лист1!AU23+Лист1!AZ23+Лист1!BA23</f>
        <v>35667.8718</v>
      </c>
      <c r="N29" s="31">
        <f>Лист1!AX23</f>
        <v>675.3376000000001</v>
      </c>
      <c r="O29" s="30">
        <f>Лист1!BB23</f>
        <v>49816.531112</v>
      </c>
      <c r="P29" s="92">
        <f>Лист1!BC23</f>
        <v>735.6665240000001</v>
      </c>
      <c r="Q29" s="77">
        <f>Лист1!BD23</f>
        <v>-21634.455555999997</v>
      </c>
      <c r="R29" s="77">
        <f>Лист1!BE23</f>
        <v>1814.1300000000028</v>
      </c>
      <c r="S29" s="1"/>
      <c r="T29" s="1"/>
    </row>
    <row r="30" spans="1:20" ht="12.75" hidden="1">
      <c r="A30" s="11" t="s">
        <v>42</v>
      </c>
      <c r="B30" s="86">
        <f>Лист1!B24</f>
        <v>2679.2</v>
      </c>
      <c r="C30" s="27">
        <f t="shared" si="0"/>
        <v>23175.079999999998</v>
      </c>
      <c r="D30" s="28">
        <f>Лист1!D24</f>
        <v>2273.079999999998</v>
      </c>
      <c r="E30" s="14">
        <f>Лист1!S24</f>
        <v>16313.090000000002</v>
      </c>
      <c r="F30" s="30">
        <f>Лист1!T24</f>
        <v>4588.91</v>
      </c>
      <c r="G30" s="29">
        <f>Лист1!AB24</f>
        <v>22828.239999999998</v>
      </c>
      <c r="H30" s="30">
        <f>Лист1!AC24</f>
        <v>29690.229999999996</v>
      </c>
      <c r="I30" s="89">
        <f>Лист1!AF24</f>
        <v>982.13052</v>
      </c>
      <c r="J30" s="29">
        <f>Лист1!AG24</f>
        <v>1607.5199999999998</v>
      </c>
      <c r="K30" s="14">
        <f>Лист1!AI24+Лист1!AJ24</f>
        <v>2687.2375999999995</v>
      </c>
      <c r="L30" s="14">
        <f>Лист1!AH24+Лист1!AK24+Лист1!AL24+Лист1!AM24+Лист1!AN24+Лист1!AO24+Лист1!AP24+Лист1!AQ24+Лист1!AR24</f>
        <v>9198.22944</v>
      </c>
      <c r="M30" s="31">
        <f>Лист1!AS24+Лист1!AU24+Лист1!AZ24+Лист1!BA24</f>
        <v>2708.1</v>
      </c>
      <c r="N30" s="31">
        <f>Лист1!AX24</f>
        <v>897.3664</v>
      </c>
      <c r="O30" s="30">
        <f>Лист1!BB24</f>
        <v>17098.453439999997</v>
      </c>
      <c r="P30" s="92">
        <f>Лист1!BC24</f>
        <v>468.1162800000001</v>
      </c>
      <c r="Q30" s="77">
        <f>Лист1!BD24</f>
        <v>13105.790799999997</v>
      </c>
      <c r="R30" s="77">
        <f>Лист1!BE24</f>
        <v>6515.149999999996</v>
      </c>
      <c r="S30" s="1"/>
      <c r="T30" s="1"/>
    </row>
    <row r="31" spans="1:20" ht="13.5" hidden="1" thickBot="1">
      <c r="A31" s="32" t="s">
        <v>43</v>
      </c>
      <c r="B31" s="86">
        <f>Лист1!B25</f>
        <v>2679.2</v>
      </c>
      <c r="C31" s="33">
        <f t="shared" si="0"/>
        <v>23175.079999999998</v>
      </c>
      <c r="D31" s="28">
        <f>Лист1!D25</f>
        <v>3061.4999999999986</v>
      </c>
      <c r="E31" s="14">
        <f>Лист1!S25</f>
        <v>15653.73</v>
      </c>
      <c r="F31" s="30">
        <f>Лист1!T25</f>
        <v>4459.85</v>
      </c>
      <c r="G31" s="29">
        <f>Лист1!AB25</f>
        <v>20910.88</v>
      </c>
      <c r="H31" s="30">
        <f>Лист1!AC25</f>
        <v>28432.23</v>
      </c>
      <c r="I31" s="89">
        <f>Лист1!AF25</f>
        <v>982.13052</v>
      </c>
      <c r="J31" s="29">
        <f>Лист1!AG25</f>
        <v>1607.5199999999998</v>
      </c>
      <c r="K31" s="14">
        <f>Лист1!AI25+Лист1!AJ25</f>
        <v>2687.2375999999995</v>
      </c>
      <c r="L31" s="14">
        <f>Лист1!AH25+Лист1!AK25+Лист1!AL25+Лист1!AM25+Лист1!AN25+Лист1!AO25+Лист1!AP25+Лист1!AQ25+Лист1!AR25</f>
        <v>9198.22944</v>
      </c>
      <c r="M31" s="31">
        <f>Лист1!AS25+Лист1!AU25+Лист1!AZ25+Лист1!BA25</f>
        <v>23444.43</v>
      </c>
      <c r="N31" s="31">
        <f>Лист1!AX25</f>
        <v>1297.8112</v>
      </c>
      <c r="O31" s="30">
        <f>Лист1!BB25</f>
        <v>38347.72824</v>
      </c>
      <c r="P31" s="92">
        <f>Лист1!BC25</f>
        <v>468.1162800000001</v>
      </c>
      <c r="Q31" s="77">
        <f>Лист1!BD25</f>
        <v>-9401.483999999999</v>
      </c>
      <c r="R31" s="77">
        <f>Лист1!BE25</f>
        <v>5257.1500000000015</v>
      </c>
      <c r="S31" s="1"/>
      <c r="T31" s="1"/>
    </row>
    <row r="32" spans="1:20" s="20" customFormat="1" ht="13.5" hidden="1" thickBot="1">
      <c r="A32" s="34" t="s">
        <v>5</v>
      </c>
      <c r="B32" s="35"/>
      <c r="C32" s="36">
        <f aca="true" t="shared" si="3" ref="C32:R32">SUM(C20:C31)</f>
        <v>278069.81999999995</v>
      </c>
      <c r="D32" s="70">
        <f t="shared" si="3"/>
        <v>29688.400000000012</v>
      </c>
      <c r="E32" s="36">
        <f t="shared" si="3"/>
        <v>191225.15000000002</v>
      </c>
      <c r="F32" s="71">
        <f t="shared" si="3"/>
        <v>50930.50999999999</v>
      </c>
      <c r="G32" s="70">
        <f t="shared" si="3"/>
        <v>200001.49</v>
      </c>
      <c r="H32" s="71">
        <f t="shared" si="3"/>
        <v>280620.39999999997</v>
      </c>
      <c r="I32" s="71">
        <f t="shared" si="3"/>
        <v>5892.79312</v>
      </c>
      <c r="J32" s="70">
        <f t="shared" si="3"/>
        <v>18645.168</v>
      </c>
      <c r="K32" s="36">
        <f t="shared" si="3"/>
        <v>30755.83807018</v>
      </c>
      <c r="L32" s="36">
        <f t="shared" si="3"/>
        <v>121647.45133010558</v>
      </c>
      <c r="M32" s="36">
        <f>SUM(M20:M31)</f>
        <v>221879.5766</v>
      </c>
      <c r="N32" s="36">
        <f t="shared" si="3"/>
        <v>7858.2336</v>
      </c>
      <c r="O32" s="71">
        <f t="shared" si="3"/>
        <v>400898.7676002856</v>
      </c>
      <c r="P32" s="71">
        <f t="shared" si="3"/>
        <v>1671.8990840000001</v>
      </c>
      <c r="Q32" s="78">
        <f t="shared" si="3"/>
        <v>-116057.47356428558</v>
      </c>
      <c r="R32" s="78">
        <f t="shared" si="3"/>
        <v>8776.340000000004</v>
      </c>
      <c r="S32" s="74"/>
      <c r="T32" s="74"/>
    </row>
    <row r="33" spans="1:20" ht="13.5" thickBot="1">
      <c r="A33" s="378" t="s">
        <v>93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82"/>
      <c r="S33" s="1"/>
      <c r="T33" s="1"/>
    </row>
    <row r="34" spans="1:20" s="20" customFormat="1" ht="13.5" thickBot="1">
      <c r="A34" s="83" t="s">
        <v>54</v>
      </c>
      <c r="B34" s="38"/>
      <c r="C34" s="39">
        <f>C18+C32</f>
        <v>347584.67999999993</v>
      </c>
      <c r="D34" s="37">
        <f aca="true" t="shared" si="4" ref="D34:R34">D18+D32</f>
        <v>46420.85851820001</v>
      </c>
      <c r="E34" s="38">
        <f t="shared" si="4"/>
        <v>235202.35000000003</v>
      </c>
      <c r="F34" s="39">
        <f t="shared" si="4"/>
        <v>62756.14999999999</v>
      </c>
      <c r="G34" s="37">
        <f t="shared" si="4"/>
        <v>224586.03</v>
      </c>
      <c r="H34" s="39">
        <f t="shared" si="4"/>
        <v>333763.0385182</v>
      </c>
      <c r="I34" s="39">
        <f t="shared" si="4"/>
        <v>5892.79312</v>
      </c>
      <c r="J34" s="37">
        <f t="shared" si="4"/>
        <v>23467.008</v>
      </c>
      <c r="K34" s="38">
        <f t="shared" si="4"/>
        <v>38825.57734346</v>
      </c>
      <c r="L34" s="38">
        <f t="shared" si="4"/>
        <v>149939.01068538957</v>
      </c>
      <c r="M34" s="38">
        <f t="shared" si="4"/>
        <v>249655.8798</v>
      </c>
      <c r="N34" s="38">
        <f t="shared" si="4"/>
        <v>7858.2336</v>
      </c>
      <c r="O34" s="81">
        <f t="shared" si="4"/>
        <v>469858.2094288496</v>
      </c>
      <c r="P34" s="81">
        <f>P18+P32</f>
        <v>1671.8990840000001</v>
      </c>
      <c r="Q34" s="80">
        <f>Q18+Q32</f>
        <v>-131874.27687464957</v>
      </c>
      <c r="R34" s="80">
        <f t="shared" si="4"/>
        <v>-10616.319999999996</v>
      </c>
      <c r="S34" s="75"/>
      <c r="T34" s="74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90"/>
      <c r="J35" s="44"/>
      <c r="K35" s="14"/>
      <c r="L35" s="14"/>
      <c r="M35" s="31"/>
      <c r="N35" s="72"/>
      <c r="O35" s="30"/>
      <c r="P35" s="92"/>
      <c r="Q35" s="77"/>
      <c r="R35" s="77"/>
      <c r="S35" s="1"/>
      <c r="T35" s="1"/>
    </row>
    <row r="36" spans="1:20" ht="12.75">
      <c r="A36" s="11" t="s">
        <v>45</v>
      </c>
      <c r="B36" s="86">
        <f>Лист1!B30</f>
        <v>2679.2</v>
      </c>
      <c r="C36" s="27">
        <f aca="true" t="shared" si="5" ref="C36:C47">B36*8.65</f>
        <v>23175.079999999998</v>
      </c>
      <c r="D36" s="28">
        <f>Лист1!D30</f>
        <v>2263.3799999999956</v>
      </c>
      <c r="E36" s="14">
        <f>Лист1!S30</f>
        <v>16565.660000000003</v>
      </c>
      <c r="F36" s="30">
        <f>Лист1!T30</f>
        <v>4346.04</v>
      </c>
      <c r="G36" s="29">
        <f>Лист1!AB30</f>
        <v>9288.56</v>
      </c>
      <c r="H36" s="30">
        <f>Лист1!AC30</f>
        <v>15897.979999999996</v>
      </c>
      <c r="I36" s="89">
        <f>Лист1!AF30</f>
        <v>982.14052</v>
      </c>
      <c r="J36" s="29">
        <f>Лист1!AG30</f>
        <v>1607.5199999999998</v>
      </c>
      <c r="K36" s="14">
        <f>Лист1!AI30+Лист1!AJ30</f>
        <v>2679.2</v>
      </c>
      <c r="L36" s="14">
        <f>Лист1!AH30+Лист1!AK30+Лист1!AL30+Лист1!AM30+Лист1!AN30+Лист1!AO30+Лист1!AP30+Лист1!AQ30+Лист1!AR30</f>
        <v>9189.655999999999</v>
      </c>
      <c r="M36" s="31">
        <f>Лист1!AS30+Лист1!AT30+Лист1!AU30</f>
        <v>6649</v>
      </c>
      <c r="N36" s="31">
        <f>Лист1!AX30</f>
        <v>1104.6</v>
      </c>
      <c r="O36" s="30">
        <f>Лист1!BB30</f>
        <v>21229.976</v>
      </c>
      <c r="P36" s="92">
        <f>Лист1!BC30</f>
        <v>467.562</v>
      </c>
      <c r="Q36" s="77">
        <f>Лист1!BD30</f>
        <v>-4817.417480000002</v>
      </c>
      <c r="R36" s="77">
        <f>Лист1!BE30</f>
        <v>-7277.100000000004</v>
      </c>
      <c r="S36" s="1"/>
      <c r="T36" s="1"/>
    </row>
    <row r="37" spans="1:20" ht="12.75">
      <c r="A37" s="11" t="s">
        <v>46</v>
      </c>
      <c r="B37" s="86">
        <f>Лист1!B31</f>
        <v>2679.2</v>
      </c>
      <c r="C37" s="27">
        <f t="shared" si="5"/>
        <v>23175.079999999998</v>
      </c>
      <c r="D37" s="28">
        <f>Лист1!D31</f>
        <v>2263.3899999999994</v>
      </c>
      <c r="E37" s="14">
        <f>Лист1!S31</f>
        <v>16571.989999999998</v>
      </c>
      <c r="F37" s="30">
        <f>Лист1!T31</f>
        <v>4339.7</v>
      </c>
      <c r="G37" s="29">
        <f>Лист1!AB31</f>
        <v>16140.629999999997</v>
      </c>
      <c r="H37" s="30">
        <f>Лист1!AC31</f>
        <v>22743.719999999998</v>
      </c>
      <c r="I37" s="89">
        <f>Лист1!AF31</f>
        <v>982.14052</v>
      </c>
      <c r="J37" s="29">
        <f>Лист1!AG31</f>
        <v>1607.5199999999998</v>
      </c>
      <c r="K37" s="14">
        <f>Лист1!AI31+Лист1!AJ31</f>
        <v>2679.2</v>
      </c>
      <c r="L37" s="14">
        <f>Лист1!AH31+Лист1!AK31+Лист1!AL31+Лист1!AM31+Лист1!AN31+Лист1!AO31+Лист1!AP31+Лист1!AQ31+Лист1!AR31</f>
        <v>9189.655999999999</v>
      </c>
      <c r="M37" s="31">
        <f>Лист1!AS31+Лист1!AT31+Лист1!AU31</f>
        <v>7470</v>
      </c>
      <c r="N37" s="31">
        <f>Лист1!AX31</f>
        <v>971.5999999999999</v>
      </c>
      <c r="O37" s="30">
        <f>Лист1!BB31</f>
        <v>21917.976</v>
      </c>
      <c r="P37" s="92">
        <f>Лист1!BC31</f>
        <v>467.562</v>
      </c>
      <c r="Q37" s="77">
        <f>Лист1!BD31</f>
        <v>1340.3225199999997</v>
      </c>
      <c r="R37" s="77">
        <f>Лист1!BE31</f>
        <v>-431.3600000000006</v>
      </c>
      <c r="S37" s="1"/>
      <c r="T37" s="1"/>
    </row>
    <row r="38" spans="1:20" ht="12.75">
      <c r="A38" s="11" t="s">
        <v>47</v>
      </c>
      <c r="B38" s="86">
        <f>Лист1!B32</f>
        <v>2679.2</v>
      </c>
      <c r="C38" s="27">
        <f t="shared" si="5"/>
        <v>23175.079999999998</v>
      </c>
      <c r="D38" s="28">
        <f>Лист1!D32</f>
        <v>2263.399999999998</v>
      </c>
      <c r="E38" s="14">
        <f>Лист1!S32</f>
        <v>16572</v>
      </c>
      <c r="F38" s="30">
        <f>Лист1!T32</f>
        <v>4339.68</v>
      </c>
      <c r="G38" s="29">
        <f>Лист1!AB32</f>
        <v>13136.87</v>
      </c>
      <c r="H38" s="30">
        <f>Лист1!AC32</f>
        <v>19739.949999999997</v>
      </c>
      <c r="I38" s="89">
        <f>Лист1!AF32</f>
        <v>982.14052</v>
      </c>
      <c r="J38" s="29">
        <f>Лист1!AG32</f>
        <v>1607.5199999999998</v>
      </c>
      <c r="K38" s="14">
        <f>Лист1!AI32+Лист1!AJ32</f>
        <v>2679.2</v>
      </c>
      <c r="L38" s="14">
        <f>Лист1!AH32+Лист1!AK32+Лист1!AL32+Лист1!AM32+Лист1!AN32+Лист1!AO32+Лист1!AP32+Лист1!AQ32+Лист1!AR32</f>
        <v>9189.655999999999</v>
      </c>
      <c r="M38" s="31">
        <f>Лист1!AS32+Лист1!AT32+Лист1!AU32</f>
        <v>2311</v>
      </c>
      <c r="N38" s="31">
        <f>Лист1!AX32</f>
        <v>799.4</v>
      </c>
      <c r="O38" s="30">
        <f>Лист1!BB32</f>
        <v>16586.776</v>
      </c>
      <c r="P38" s="92">
        <f>Лист1!BC32</f>
        <v>467.562</v>
      </c>
      <c r="Q38" s="77">
        <f>Лист1!BD32</f>
        <v>3667.7525199999964</v>
      </c>
      <c r="R38" s="77">
        <f>Лист1!BE32</f>
        <v>-3435.129999999999</v>
      </c>
      <c r="S38" s="1"/>
      <c r="T38" s="1"/>
    </row>
    <row r="39" spans="1:20" ht="12.75">
      <c r="A39" s="11" t="s">
        <v>48</v>
      </c>
      <c r="B39" s="86">
        <f>Лист1!B33</f>
        <v>2679.2</v>
      </c>
      <c r="C39" s="27">
        <f t="shared" si="5"/>
        <v>23175.079999999998</v>
      </c>
      <c r="D39" s="28">
        <f>Лист1!D33</f>
        <v>2266.209999999997</v>
      </c>
      <c r="E39" s="14">
        <f>Лист1!S33</f>
        <v>16569.170000000002</v>
      </c>
      <c r="F39" s="30">
        <f>Лист1!T33</f>
        <v>4339.7</v>
      </c>
      <c r="G39" s="29">
        <f>Лист1!AB33</f>
        <v>16073.97</v>
      </c>
      <c r="H39" s="30">
        <f>Лист1!AC33</f>
        <v>22679.879999999997</v>
      </c>
      <c r="I39" s="89">
        <f>Лист1!AF33</f>
        <v>982.14052</v>
      </c>
      <c r="J39" s="29">
        <f>Лист1!AG33</f>
        <v>1607.5199999999998</v>
      </c>
      <c r="K39" s="14">
        <f>Лист1!AI33+Лист1!AJ33</f>
        <v>2679.2</v>
      </c>
      <c r="L39" s="14">
        <f>Лист1!AH33+Лист1!AK33+Лист1!AL33+Лист1!AM33+Лист1!AN33+Лист1!AO33+Лист1!AP33+Лист1!AQ33+Лист1!AR33</f>
        <v>9189.655999999999</v>
      </c>
      <c r="M39" s="31">
        <f>Лист1!AS33+Лист1!AT33+Лист1!AU33</f>
        <v>8634</v>
      </c>
      <c r="N39" s="31">
        <f>Лист1!AX33</f>
        <v>758.8</v>
      </c>
      <c r="O39" s="30">
        <f>Лист1!BB33</f>
        <v>22869.176</v>
      </c>
      <c r="P39" s="92">
        <f>Лист1!BC33</f>
        <v>467.562</v>
      </c>
      <c r="Q39" s="77">
        <f>Лист1!BD33</f>
        <v>325.2825199999987</v>
      </c>
      <c r="R39" s="77">
        <f>Лист1!BE33</f>
        <v>-495.20000000000255</v>
      </c>
      <c r="S39" s="1"/>
      <c r="T39" s="1"/>
    </row>
    <row r="40" spans="1:20" ht="12.75">
      <c r="A40" s="11" t="s">
        <v>49</v>
      </c>
      <c r="B40" s="86">
        <f>Лист1!B34</f>
        <v>2679.2</v>
      </c>
      <c r="C40" s="27">
        <f t="shared" si="5"/>
        <v>23175.079999999998</v>
      </c>
      <c r="D40" s="28">
        <f>Лист1!D34</f>
        <v>2271.209999999997</v>
      </c>
      <c r="E40" s="14">
        <f>Лист1!S34</f>
        <v>16564.22</v>
      </c>
      <c r="F40" s="30">
        <f>Лист1!T34</f>
        <v>4339.65</v>
      </c>
      <c r="G40" s="29">
        <f>Лист1!AB34</f>
        <v>13009.01</v>
      </c>
      <c r="H40" s="30">
        <f>Лист1!AC34</f>
        <v>19619.869999999995</v>
      </c>
      <c r="I40" s="89">
        <f>Лист1!AF34</f>
        <v>982.14052</v>
      </c>
      <c r="J40" s="29">
        <f>Лист1!AG34</f>
        <v>1607.5199999999998</v>
      </c>
      <c r="K40" s="14">
        <f>Лист1!AI34+Лист1!AJ34</f>
        <v>2679.2</v>
      </c>
      <c r="L40" s="14">
        <f>Лист1!AH34+Лист1!AK34+Лист1!AL34+Лист1!AM34+Лист1!AN34+Лист1!AO34+Лист1!AP34+Лист1!AQ34+Лист1!AR34</f>
        <v>9189.655999999999</v>
      </c>
      <c r="M40" s="31">
        <f>Лист1!AS34+Лист1!AT34+Лист1!AU34</f>
        <v>1650</v>
      </c>
      <c r="N40" s="31">
        <f>Лист1!AX34</f>
        <v>660.8</v>
      </c>
      <c r="O40" s="30">
        <f>Лист1!BB34</f>
        <v>15787.176</v>
      </c>
      <c r="P40" s="92">
        <f>Лист1!BC34</f>
        <v>467.562</v>
      </c>
      <c r="Q40" s="77">
        <f>Лист1!BD34</f>
        <v>4347.272519999997</v>
      </c>
      <c r="R40" s="77">
        <f>Лист1!BE34</f>
        <v>-3555.210000000001</v>
      </c>
      <c r="S40" s="1"/>
      <c r="T40" s="1"/>
    </row>
    <row r="41" spans="1:20" ht="12.75">
      <c r="A41" s="11" t="s">
        <v>50</v>
      </c>
      <c r="B41" s="86">
        <f>Лист1!B35</f>
        <v>2679.2</v>
      </c>
      <c r="C41" s="27">
        <f t="shared" si="5"/>
        <v>23175.079999999998</v>
      </c>
      <c r="D41" s="28">
        <f>Лист1!D35</f>
        <v>2288.689999999997</v>
      </c>
      <c r="E41" s="14">
        <f>Лист1!S35</f>
        <v>16544.390000000003</v>
      </c>
      <c r="F41" s="30">
        <f>Лист1!T35</f>
        <v>4342</v>
      </c>
      <c r="G41" s="29">
        <f>Лист1!AB35</f>
        <v>13107.400000000001</v>
      </c>
      <c r="H41" s="30">
        <f>Лист1!AC35</f>
        <v>19738.089999999997</v>
      </c>
      <c r="I41" s="89">
        <f>Лист1!AF35</f>
        <v>982.14052</v>
      </c>
      <c r="J41" s="29">
        <f>Лист1!AG35</f>
        <v>1607.5199999999998</v>
      </c>
      <c r="K41" s="14">
        <f>Лист1!AI35+Лист1!AJ35</f>
        <v>2679.2</v>
      </c>
      <c r="L41" s="14">
        <f>Лист1!AH35+Лист1!AK35+Лист1!AL35+Лист1!AM35+Лист1!AN35+Лист1!AO35+Лист1!AP35+Лист1!AQ35+Лист1!AR35</f>
        <v>9389.655999999999</v>
      </c>
      <c r="M41" s="31">
        <f>Лист1!AS35+Лист1!AT35+Лист1!AU35</f>
        <v>285</v>
      </c>
      <c r="N41" s="31">
        <f>Лист1!AX35</f>
        <v>537.5999999999999</v>
      </c>
      <c r="O41" s="30">
        <f>Лист1!BB35</f>
        <v>14498.976</v>
      </c>
      <c r="P41" s="92">
        <f>Лист1!BC35</f>
        <v>467.562</v>
      </c>
      <c r="Q41" s="77">
        <f>Лист1!BD35</f>
        <v>5753.692519999997</v>
      </c>
      <c r="R41" s="77">
        <f>Лист1!BE35</f>
        <v>-3436.9900000000016</v>
      </c>
      <c r="S41" s="1"/>
      <c r="T41" s="1"/>
    </row>
    <row r="42" spans="1:20" ht="12.75">
      <c r="A42" s="11" t="s">
        <v>51</v>
      </c>
      <c r="B42" s="86">
        <f>Лист1!B36</f>
        <v>2679.2</v>
      </c>
      <c r="C42" s="27">
        <f t="shared" si="5"/>
        <v>23175.079999999998</v>
      </c>
      <c r="D42" s="28">
        <f>Лист1!D36</f>
        <v>2275.6999999999985</v>
      </c>
      <c r="E42" s="14">
        <f>Лист1!S36</f>
        <v>20899.38</v>
      </c>
      <c r="F42" s="30">
        <f>Лист1!T36</f>
        <v>0</v>
      </c>
      <c r="G42" s="29">
        <f>Лист1!AB36</f>
        <v>20467.04</v>
      </c>
      <c r="H42" s="30">
        <f>Лист1!AC36</f>
        <v>22742.739999999998</v>
      </c>
      <c r="I42" s="89">
        <f>Лист1!AF36</f>
        <v>982.13052</v>
      </c>
      <c r="J42" s="29">
        <f>Лист1!AG36</f>
        <v>1607.5199999999998</v>
      </c>
      <c r="K42" s="14">
        <f>Лист1!AI36+Лист1!AJ36</f>
        <v>2679.2</v>
      </c>
      <c r="L42" s="14">
        <f>Лист1!AH36+Лист1!AK36+Лист1!AL36+Лист1!AM36+Лист1!AN36+Лист1!AO36+Лист1!AP36+Лист1!AQ36+Лист1!AR36</f>
        <v>9189.655999999999</v>
      </c>
      <c r="M42" s="31">
        <f>Лист1!AS36+Лист1!AT36+Лист1!AU36</f>
        <v>2649.9968000000003</v>
      </c>
      <c r="N42" s="31">
        <f>Лист1!AX36</f>
        <v>588</v>
      </c>
      <c r="O42" s="30">
        <f>Лист1!BB36</f>
        <v>16714.3728</v>
      </c>
      <c r="P42" s="92">
        <f>Лист1!BC36</f>
        <v>467.562</v>
      </c>
      <c r="Q42" s="77">
        <f>Лист1!BD36</f>
        <v>6542.935719999996</v>
      </c>
      <c r="R42" s="77">
        <f>Лист1!BE36</f>
        <v>-432.34000000000015</v>
      </c>
      <c r="S42" s="1"/>
      <c r="T42" s="1"/>
    </row>
    <row r="43" spans="1:20" ht="12.75">
      <c r="A43" s="11" t="s">
        <v>52</v>
      </c>
      <c r="B43" s="86">
        <f>Лист1!B37</f>
        <v>2679.2</v>
      </c>
      <c r="C43" s="27">
        <f t="shared" si="5"/>
        <v>23175.079999999998</v>
      </c>
      <c r="D43" s="28">
        <f>Лист1!D37</f>
        <v>2259.9299999999994</v>
      </c>
      <c r="E43" s="14">
        <f>Лист1!S37</f>
        <v>20915.15</v>
      </c>
      <c r="F43" s="30">
        <f>Лист1!T37</f>
        <v>0</v>
      </c>
      <c r="G43" s="29">
        <f>Лист1!AB37</f>
        <v>18380.63</v>
      </c>
      <c r="H43" s="30">
        <f>Лист1!AC37</f>
        <v>20640.56</v>
      </c>
      <c r="I43" s="89">
        <f>Лист1!AF37</f>
        <v>982.13052</v>
      </c>
      <c r="J43" s="29">
        <f>Лист1!AG37</f>
        <v>1607.5199999999998</v>
      </c>
      <c r="K43" s="14">
        <f>Лист1!AI37+Лист1!AJ37</f>
        <v>2679.2</v>
      </c>
      <c r="L43" s="14">
        <f>Лист1!AH37+Лист1!AK37+Лист1!AL37+Лист1!AM37+Лист1!AN37+Лист1!AO37+Лист1!AP37+Лист1!AQ37+Лист1!AR37</f>
        <v>9189.655999999999</v>
      </c>
      <c r="M43" s="31">
        <f>Лист1!AS37+Лист1!AT37+Лист1!AU37</f>
        <v>9351.8</v>
      </c>
      <c r="N43" s="31">
        <f>Лист1!AX37</f>
        <v>557.1999999999999</v>
      </c>
      <c r="O43" s="30">
        <f>Лист1!BB37</f>
        <v>23385.376</v>
      </c>
      <c r="P43" s="92">
        <f>Лист1!BC37</f>
        <v>467.562</v>
      </c>
      <c r="Q43" s="77">
        <f>Лист1!BD37</f>
        <v>-2230.24748</v>
      </c>
      <c r="R43" s="77">
        <f>Лист1!BE37</f>
        <v>-2534.5200000000004</v>
      </c>
      <c r="S43" s="1"/>
      <c r="T43" s="1"/>
    </row>
    <row r="44" spans="1:20" ht="12.75">
      <c r="A44" s="11" t="s">
        <v>53</v>
      </c>
      <c r="B44" s="86">
        <f>Лист1!B38</f>
        <v>2679.2</v>
      </c>
      <c r="C44" s="27">
        <f t="shared" si="5"/>
        <v>23175.079999999998</v>
      </c>
      <c r="D44" s="28">
        <f>Лист1!D38</f>
        <v>82297.55</v>
      </c>
      <c r="E44" s="14">
        <f>Лист1!S38</f>
        <v>20877.53</v>
      </c>
      <c r="F44" s="30">
        <f>Лист1!T38</f>
        <v>0</v>
      </c>
      <c r="G44" s="29">
        <f>Лист1!AB38</f>
        <v>22252.65</v>
      </c>
      <c r="H44" s="30">
        <f>Лист1!AC38</f>
        <v>104550.20000000001</v>
      </c>
      <c r="I44" s="89">
        <f>Лист1!AF38</f>
        <v>982.14052</v>
      </c>
      <c r="J44" s="29">
        <f>Лист1!AG38</f>
        <v>1607.5199999999998</v>
      </c>
      <c r="K44" s="14">
        <f>Лист1!AI38+Лист1!AJ38</f>
        <v>2679.2</v>
      </c>
      <c r="L44" s="14">
        <f>Лист1!AH38+Лист1!AK38+Лист1!AL38+Лист1!AM38+Лист1!AN38+Лист1!AO38+Лист1!AP38+Лист1!AQ38+Лист1!AR38</f>
        <v>9189.655999999999</v>
      </c>
      <c r="M44" s="31">
        <f>Лист1!AS38+Лист1!AT38+Лист1!AU38</f>
        <v>483</v>
      </c>
      <c r="N44" s="31">
        <f>Лист1!AX38</f>
        <v>789.5999999999999</v>
      </c>
      <c r="O44" s="30">
        <f>Лист1!BB38</f>
        <v>14748.976</v>
      </c>
      <c r="P44" s="92">
        <f>Лист1!BC38</f>
        <v>467.562</v>
      </c>
      <c r="Q44" s="77">
        <f>Лист1!BD38</f>
        <v>90315.80252000001</v>
      </c>
      <c r="R44" s="77">
        <f>Лист1!BE38</f>
        <v>1375.1200000000026</v>
      </c>
      <c r="S44" s="1"/>
      <c r="T44" s="1"/>
    </row>
    <row r="45" spans="1:20" ht="12.75">
      <c r="A45" s="11" t="s">
        <v>41</v>
      </c>
      <c r="B45" s="86">
        <f>Лист1!B39</f>
        <v>2679.2</v>
      </c>
      <c r="C45" s="27">
        <f>B45*8.65</f>
        <v>23175.079999999998</v>
      </c>
      <c r="D45" s="28">
        <f>Лист1!D39</f>
        <v>2289.1499999999987</v>
      </c>
      <c r="E45" s="14">
        <f>Лист1!S39</f>
        <v>20885.93</v>
      </c>
      <c r="F45" s="30">
        <f>Лист1!T39</f>
        <v>0</v>
      </c>
      <c r="G45" s="29">
        <f>Лист1!AB39</f>
        <v>16439.19</v>
      </c>
      <c r="H45" s="30">
        <f>Лист1!AC39</f>
        <v>18728.339999999997</v>
      </c>
      <c r="I45" s="89">
        <f>Лист1!AF39</f>
        <v>1132.1305200000002</v>
      </c>
      <c r="J45" s="29">
        <f>Лист1!AG39</f>
        <v>1607.5199999999998</v>
      </c>
      <c r="K45" s="14">
        <f>Лист1!AI39+Лист1!AJ39</f>
        <v>2679.2</v>
      </c>
      <c r="L45" s="14">
        <f>Лист1!AH39+Лист1!AK39+Лист1!AL39+Лист1!AM39+Лист1!AN39+Лист1!AO39+Лист1!AP39+Лист1!AQ39+Лист1!AR39</f>
        <v>9189.655999999999</v>
      </c>
      <c r="M45" s="31">
        <f>Лист1!AS39+Лист1!AT39+Лист1!AU39</f>
        <v>300</v>
      </c>
      <c r="N45" s="31">
        <f>Лист1!AX39</f>
        <v>728</v>
      </c>
      <c r="O45" s="30">
        <f>Лист1!BB39</f>
        <v>14504.376</v>
      </c>
      <c r="P45" s="92">
        <f>Лист1!BC39</f>
        <v>505.062</v>
      </c>
      <c r="Q45" s="77">
        <f>Лист1!BD39</f>
        <v>4851.032519999995</v>
      </c>
      <c r="R45" s="77">
        <f>Лист1!BE39</f>
        <v>-4446.740000000002</v>
      </c>
      <c r="S45" s="1"/>
      <c r="T45" s="1"/>
    </row>
    <row r="46" spans="1:20" ht="12.75">
      <c r="A46" s="11" t="s">
        <v>42</v>
      </c>
      <c r="B46" s="86">
        <f>Лист1!B40</f>
        <v>2679.2</v>
      </c>
      <c r="C46" s="27">
        <f t="shared" si="5"/>
        <v>23175.079999999998</v>
      </c>
      <c r="D46" s="28">
        <f>Лист1!D40</f>
        <v>2284.559999999994</v>
      </c>
      <c r="E46" s="14">
        <f>Лист1!S40</f>
        <v>20890.52</v>
      </c>
      <c r="F46" s="30">
        <f>Лист1!T40</f>
        <v>0</v>
      </c>
      <c r="G46" s="29">
        <f>Лист1!AB40</f>
        <v>20116.13</v>
      </c>
      <c r="H46" s="30">
        <f>Лист1!AC40</f>
        <v>22400.689999999995</v>
      </c>
      <c r="I46" s="89">
        <f>Лист1!AF40</f>
        <v>1132.14052</v>
      </c>
      <c r="J46" s="29">
        <f>Лист1!AG40</f>
        <v>1607.5199999999998</v>
      </c>
      <c r="K46" s="14">
        <f>Лист1!AI40+Лист1!AJ40</f>
        <v>2679.2</v>
      </c>
      <c r="L46" s="14">
        <f>Лист1!AH40+Лист1!AK40+Лист1!AL40+Лист1!AM40+Лист1!AN40+Лист1!AO40+Лист1!AP40+Лист1!AQ40+Лист1!AR40</f>
        <v>9189.655999999999</v>
      </c>
      <c r="M46" s="31">
        <f>Лист1!AS40+Лист1!AT40+Лист1!AU40</f>
        <v>2726</v>
      </c>
      <c r="N46" s="31">
        <f>Лист1!AX40</f>
        <v>999.5999999999999</v>
      </c>
      <c r="O46" s="30">
        <f>Лист1!BB40</f>
        <v>17201.976</v>
      </c>
      <c r="P46" s="92">
        <f>Лист1!BC40</f>
        <v>505.062</v>
      </c>
      <c r="Q46" s="77">
        <f>Лист1!BD40</f>
        <v>5825.792519999997</v>
      </c>
      <c r="R46" s="77">
        <f>Лист1!BE40</f>
        <v>-774.3899999999994</v>
      </c>
      <c r="S46" s="1"/>
      <c r="T46" s="1"/>
    </row>
    <row r="47" spans="1:20" ht="13.5" thickBot="1">
      <c r="A47" s="32" t="s">
        <v>43</v>
      </c>
      <c r="B47" s="86">
        <f>Лист1!B41</f>
        <v>2679.2</v>
      </c>
      <c r="C47" s="33">
        <f t="shared" si="5"/>
        <v>23175.079999999998</v>
      </c>
      <c r="D47" s="28">
        <f>Лист1!D41</f>
        <v>2305.979999999997</v>
      </c>
      <c r="E47" s="14">
        <f>Лист1!S41</f>
        <v>20869.100000000002</v>
      </c>
      <c r="F47" s="30">
        <f>Лист1!T41</f>
        <v>0</v>
      </c>
      <c r="G47" s="29">
        <f>Лист1!AB41</f>
        <v>21327.85</v>
      </c>
      <c r="H47" s="30">
        <f>Лист1!AC41</f>
        <v>23633.829999999994</v>
      </c>
      <c r="I47" s="89">
        <f>Лист1!AF41</f>
        <v>1132.14052</v>
      </c>
      <c r="J47" s="29">
        <f>Лист1!AG41</f>
        <v>1607.5199999999998</v>
      </c>
      <c r="K47" s="14">
        <f>Лист1!AI41+Лист1!AJ41</f>
        <v>2679.2</v>
      </c>
      <c r="L47" s="14">
        <f>Лист1!AH41+Лист1!AK41+Лист1!AL41+Лист1!AM41+Лист1!AN41+Лист1!AO41+Лист1!AP41+Лист1!AQ41+Лист1!AR41</f>
        <v>9189.655999999999</v>
      </c>
      <c r="M47" s="31">
        <f>Лист1!AS41+Лист1!AT41+Лист1!AU41</f>
        <v>111490.686</v>
      </c>
      <c r="N47" s="31">
        <f>Лист1!AX41</f>
        <v>1373.3999999999999</v>
      </c>
      <c r="O47" s="30">
        <f>Лист1!BB41</f>
        <v>126340.462</v>
      </c>
      <c r="P47" s="92">
        <f>Лист1!BC41</f>
        <v>505.062</v>
      </c>
      <c r="Q47" s="77">
        <f>Лист1!BD41</f>
        <v>-102079.55348</v>
      </c>
      <c r="R47" s="77">
        <f>Лист1!BE41</f>
        <v>458.74999999999636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278100.9599999999</v>
      </c>
      <c r="D48" s="70">
        <f t="shared" si="6"/>
        <v>107329.14999999998</v>
      </c>
      <c r="E48" s="36">
        <f t="shared" si="6"/>
        <v>224725.04</v>
      </c>
      <c r="F48" s="71">
        <f t="shared" si="6"/>
        <v>26046.769999999997</v>
      </c>
      <c r="G48" s="70">
        <f t="shared" si="6"/>
        <v>199739.93000000002</v>
      </c>
      <c r="H48" s="71">
        <f t="shared" si="6"/>
        <v>333115.85</v>
      </c>
      <c r="I48" s="71">
        <f t="shared" si="6"/>
        <v>12235.65624</v>
      </c>
      <c r="J48" s="70">
        <f t="shared" si="6"/>
        <v>19290.24</v>
      </c>
      <c r="K48" s="36">
        <f t="shared" si="6"/>
        <v>32150.400000000005</v>
      </c>
      <c r="L48" s="36">
        <f t="shared" si="6"/>
        <v>110475.87200000002</v>
      </c>
      <c r="M48" s="36">
        <f t="shared" si="6"/>
        <v>154000.4828</v>
      </c>
      <c r="N48" s="36">
        <f t="shared" si="6"/>
        <v>9868.599999999999</v>
      </c>
      <c r="O48" s="71">
        <f t="shared" si="6"/>
        <v>325785.59479999996</v>
      </c>
      <c r="P48" s="71">
        <f t="shared" si="6"/>
        <v>5723.244</v>
      </c>
      <c r="Q48" s="78">
        <f t="shared" si="6"/>
        <v>13842.66743999999</v>
      </c>
      <c r="R48" s="78">
        <f t="shared" si="6"/>
        <v>-24985.11000000001</v>
      </c>
      <c r="S48" s="74"/>
      <c r="T48" s="74"/>
    </row>
    <row r="49" spans="1:20" ht="13.5" thickBot="1">
      <c r="A49" s="378" t="s">
        <v>70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82"/>
      <c r="S49" s="1"/>
      <c r="T49" s="1"/>
    </row>
    <row r="50" spans="1:20" s="20" customFormat="1" ht="13.5" thickBot="1">
      <c r="A50" s="83" t="s">
        <v>54</v>
      </c>
      <c r="B50" s="38"/>
      <c r="C50" s="39">
        <f>C34+C48</f>
        <v>625685.6399999999</v>
      </c>
      <c r="D50" s="37">
        <f aca="true" t="shared" si="7" ref="D50:O50">D34+D48</f>
        <v>153750.0085182</v>
      </c>
      <c r="E50" s="38">
        <f t="shared" si="7"/>
        <v>459927.39</v>
      </c>
      <c r="F50" s="39">
        <f t="shared" si="7"/>
        <v>88802.91999999998</v>
      </c>
      <c r="G50" s="37">
        <f t="shared" si="7"/>
        <v>424325.96</v>
      </c>
      <c r="H50" s="39">
        <f t="shared" si="7"/>
        <v>666878.8885182</v>
      </c>
      <c r="I50" s="39">
        <f t="shared" si="7"/>
        <v>18128.44936</v>
      </c>
      <c r="J50" s="37">
        <f t="shared" si="7"/>
        <v>42757.24800000001</v>
      </c>
      <c r="K50" s="38">
        <f t="shared" si="7"/>
        <v>70975.97734346</v>
      </c>
      <c r="L50" s="38">
        <f t="shared" si="7"/>
        <v>260414.8826853896</v>
      </c>
      <c r="M50" s="38">
        <f t="shared" si="7"/>
        <v>403656.3626</v>
      </c>
      <c r="N50" s="38">
        <f t="shared" si="7"/>
        <v>17726.833599999998</v>
      </c>
      <c r="O50" s="81">
        <f t="shared" si="7"/>
        <v>795643.8042288495</v>
      </c>
      <c r="P50" s="81">
        <f>P34+P48</f>
        <v>7395.143083999999</v>
      </c>
      <c r="Q50" s="80">
        <f>Q34+Q48</f>
        <v>-118031.60943464958</v>
      </c>
      <c r="R50" s="80">
        <f>R34+R48</f>
        <v>-35601.43000000001</v>
      </c>
      <c r="S50" s="75"/>
      <c r="T50" s="74"/>
    </row>
    <row r="53" spans="1:20" ht="12.75">
      <c r="A53" s="20" t="s">
        <v>71</v>
      </c>
      <c r="D53" s="87" t="s">
        <v>92</v>
      </c>
      <c r="S53" s="1"/>
      <c r="T53" s="1"/>
    </row>
    <row r="54" spans="1:20" ht="12.75">
      <c r="A54" s="21" t="s">
        <v>72</v>
      </c>
      <c r="B54" s="21" t="s">
        <v>73</v>
      </c>
      <c r="C54" s="382" t="s">
        <v>74</v>
      </c>
      <c r="D54" s="382"/>
      <c r="S54" s="1"/>
      <c r="T54" s="1"/>
    </row>
    <row r="55" spans="1:20" ht="12.75">
      <c r="A55" s="136">
        <v>151739.63</v>
      </c>
      <c r="B55" s="136">
        <v>33830</v>
      </c>
      <c r="C55" s="380">
        <f>A55-B55</f>
        <v>117909.63</v>
      </c>
      <c r="D55" s="381"/>
      <c r="S55" s="1"/>
      <c r="T55" s="1"/>
    </row>
    <row r="56" spans="1:20" ht="12.75">
      <c r="A56" s="46"/>
      <c r="S56" s="1"/>
      <c r="T56" s="1"/>
    </row>
    <row r="57" spans="1:20" ht="12.75">
      <c r="A57" s="2" t="s">
        <v>77</v>
      </c>
      <c r="G57" s="2" t="s">
        <v>78</v>
      </c>
      <c r="S57" s="1"/>
      <c r="T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9">
    <mergeCell ref="A49:Q49"/>
    <mergeCell ref="C55:D55"/>
    <mergeCell ref="O11:O12"/>
    <mergeCell ref="A33:Q33"/>
    <mergeCell ref="C54:D54"/>
    <mergeCell ref="I9:I12"/>
    <mergeCell ref="P9:P12"/>
    <mergeCell ref="J9:O10"/>
    <mergeCell ref="Q9:Q12"/>
    <mergeCell ref="A9:A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9:C12"/>
    <mergeCell ref="D9:D12"/>
    <mergeCell ref="B1:H1"/>
    <mergeCell ref="B2:H2"/>
    <mergeCell ref="A8:D8"/>
    <mergeCell ref="E8:F8"/>
    <mergeCell ref="A5:Q5"/>
    <mergeCell ref="A6:G6"/>
    <mergeCell ref="B9:B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40"/>
  <sheetViews>
    <sheetView zoomScalePageLayoutView="0" workbookViewId="0" topLeftCell="A1">
      <pane xSplit="2" ySplit="7" topLeftCell="AZ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E32" sqref="BE32"/>
    </sheetView>
  </sheetViews>
  <sheetFormatPr defaultColWidth="9.00390625" defaultRowHeight="12.75"/>
  <cols>
    <col min="1" max="1" width="8.75390625" style="170" bestFit="1" customWidth="1"/>
    <col min="2" max="2" width="9.125" style="170" customWidth="1"/>
    <col min="3" max="3" width="11.375" style="170" customWidth="1"/>
    <col min="4" max="4" width="10.375" style="170" customWidth="1"/>
    <col min="5" max="5" width="10.125" style="170" bestFit="1" customWidth="1"/>
    <col min="6" max="6" width="9.125" style="170" customWidth="1"/>
    <col min="7" max="7" width="10.25390625" style="170" customWidth="1"/>
    <col min="8" max="8" width="9.125" style="170" customWidth="1"/>
    <col min="9" max="9" width="9.875" style="170" customWidth="1"/>
    <col min="10" max="10" width="9.125" style="170" customWidth="1"/>
    <col min="11" max="11" width="10.375" style="170" customWidth="1"/>
    <col min="12" max="12" width="9.125" style="170" customWidth="1"/>
    <col min="13" max="13" width="10.125" style="170" bestFit="1" customWidth="1"/>
    <col min="14" max="14" width="9.125" style="170" customWidth="1"/>
    <col min="15" max="15" width="10.125" style="170" bestFit="1" customWidth="1"/>
    <col min="16" max="18" width="9.125" style="170" customWidth="1"/>
    <col min="19" max="19" width="10.125" style="170" bestFit="1" customWidth="1"/>
    <col min="20" max="20" width="10.125" style="170" customWidth="1"/>
    <col min="21" max="21" width="11.75390625" style="170" bestFit="1" customWidth="1"/>
    <col min="22" max="22" width="10.25390625" style="170" customWidth="1"/>
    <col min="23" max="23" width="10.625" style="170" customWidth="1"/>
    <col min="24" max="24" width="10.125" style="170" customWidth="1"/>
    <col min="25" max="28" width="10.125" style="170" bestFit="1" customWidth="1"/>
    <col min="29" max="30" width="11.375" style="170" customWidth="1"/>
    <col min="31" max="31" width="9.25390625" style="170" bestFit="1" customWidth="1"/>
    <col min="32" max="32" width="11.75390625" style="170" bestFit="1" customWidth="1"/>
    <col min="33" max="33" width="10.25390625" style="170" customWidth="1"/>
    <col min="34" max="35" width="9.25390625" style="170" bestFit="1" customWidth="1"/>
    <col min="36" max="36" width="10.875" style="170" customWidth="1"/>
    <col min="37" max="38" width="9.25390625" style="170" bestFit="1" customWidth="1"/>
    <col min="39" max="39" width="10.125" style="170" bestFit="1" customWidth="1"/>
    <col min="40" max="40" width="9.25390625" style="170" bestFit="1" customWidth="1"/>
    <col min="41" max="42" width="10.125" style="170" bestFit="1" customWidth="1"/>
    <col min="43" max="44" width="9.25390625" style="170" customWidth="1"/>
    <col min="45" max="45" width="10.125" style="170" bestFit="1" customWidth="1"/>
    <col min="46" max="46" width="11.625" style="170" customWidth="1"/>
    <col min="47" max="47" width="10.875" style="170" customWidth="1"/>
    <col min="48" max="48" width="10.625" style="170" customWidth="1"/>
    <col min="49" max="49" width="10.25390625" style="170" customWidth="1"/>
    <col min="50" max="50" width="10.625" style="170" customWidth="1"/>
    <col min="51" max="51" width="9.25390625" style="170" bestFit="1" customWidth="1"/>
    <col min="52" max="53" width="10.125" style="170" bestFit="1" customWidth="1"/>
    <col min="54" max="54" width="11.625" style="170" customWidth="1"/>
    <col min="55" max="55" width="11.75390625" style="170" customWidth="1"/>
    <col min="56" max="56" width="11.375" style="170" customWidth="1"/>
    <col min="57" max="57" width="14.00390625" style="170" customWidth="1"/>
    <col min="58" max="58" width="11.00390625" style="170" customWidth="1"/>
    <col min="59" max="59" width="10.625" style="170" customWidth="1"/>
    <col min="60" max="16384" width="9.125" style="170" customWidth="1"/>
  </cols>
  <sheetData>
    <row r="1" spans="1:18" ht="21" customHeight="1">
      <c r="A1" s="298" t="s">
        <v>123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169"/>
      <c r="P1" s="169"/>
      <c r="Q1" s="169"/>
      <c r="R1" s="169"/>
    </row>
    <row r="2" spans="1:18" ht="13.5" thickBot="1">
      <c r="A2" s="169"/>
      <c r="B2" s="171"/>
      <c r="C2" s="172"/>
      <c r="D2" s="172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59" ht="29.25" customHeight="1" thickBot="1">
      <c r="A3" s="427" t="s">
        <v>0</v>
      </c>
      <c r="B3" s="452" t="s">
        <v>1</v>
      </c>
      <c r="C3" s="454" t="s">
        <v>2</v>
      </c>
      <c r="D3" s="456" t="s">
        <v>3</v>
      </c>
      <c r="E3" s="427" t="s">
        <v>95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371"/>
      <c r="S3" s="427"/>
      <c r="T3" s="428"/>
      <c r="U3" s="427" t="s">
        <v>5</v>
      </c>
      <c r="V3" s="428"/>
      <c r="W3" s="431" t="s">
        <v>6</v>
      </c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3"/>
      <c r="AJ3" s="437" t="s">
        <v>75</v>
      </c>
      <c r="AK3" s="440" t="s">
        <v>10</v>
      </c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/>
      <c r="BE3" s="442"/>
      <c r="BF3" s="446" t="s">
        <v>11</v>
      </c>
      <c r="BG3" s="415" t="s">
        <v>12</v>
      </c>
    </row>
    <row r="4" spans="1:59" ht="51.75" customHeight="1" hidden="1" thickBot="1">
      <c r="A4" s="451"/>
      <c r="B4" s="453"/>
      <c r="C4" s="455"/>
      <c r="D4" s="457"/>
      <c r="E4" s="451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363"/>
      <c r="S4" s="429"/>
      <c r="T4" s="430"/>
      <c r="U4" s="429"/>
      <c r="V4" s="430"/>
      <c r="W4" s="434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6"/>
      <c r="AJ4" s="438"/>
      <c r="AK4" s="443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5"/>
      <c r="BF4" s="447"/>
      <c r="BG4" s="416"/>
    </row>
    <row r="5" spans="1:61" ht="19.5" customHeight="1">
      <c r="A5" s="451"/>
      <c r="B5" s="453"/>
      <c r="C5" s="455"/>
      <c r="D5" s="457"/>
      <c r="E5" s="418" t="s">
        <v>13</v>
      </c>
      <c r="F5" s="419"/>
      <c r="G5" s="418" t="s">
        <v>96</v>
      </c>
      <c r="H5" s="419"/>
      <c r="I5" s="418" t="s">
        <v>14</v>
      </c>
      <c r="J5" s="419"/>
      <c r="K5" s="418" t="s">
        <v>16</v>
      </c>
      <c r="L5" s="419"/>
      <c r="M5" s="418" t="s">
        <v>15</v>
      </c>
      <c r="N5" s="419"/>
      <c r="O5" s="422" t="s">
        <v>17</v>
      </c>
      <c r="P5" s="422"/>
      <c r="Q5" s="418" t="s">
        <v>97</v>
      </c>
      <c r="R5" s="419"/>
      <c r="S5" s="422" t="s">
        <v>98</v>
      </c>
      <c r="T5" s="419"/>
      <c r="U5" s="425" t="s">
        <v>20</v>
      </c>
      <c r="V5" s="449" t="s">
        <v>21</v>
      </c>
      <c r="W5" s="411" t="s">
        <v>22</v>
      </c>
      <c r="X5" s="411" t="s">
        <v>99</v>
      </c>
      <c r="Y5" s="411" t="s">
        <v>23</v>
      </c>
      <c r="Z5" s="411" t="s">
        <v>25</v>
      </c>
      <c r="AA5" s="411" t="s">
        <v>24</v>
      </c>
      <c r="AB5" s="411" t="s">
        <v>26</v>
      </c>
      <c r="AC5" s="411" t="s">
        <v>27</v>
      </c>
      <c r="AD5" s="413" t="s">
        <v>28</v>
      </c>
      <c r="AE5" s="413" t="s">
        <v>100</v>
      </c>
      <c r="AF5" s="401" t="s">
        <v>29</v>
      </c>
      <c r="AG5" s="403" t="s">
        <v>87</v>
      </c>
      <c r="AH5" s="405" t="s">
        <v>8</v>
      </c>
      <c r="AI5" s="407" t="s">
        <v>9</v>
      </c>
      <c r="AJ5" s="438"/>
      <c r="AK5" s="409" t="s">
        <v>101</v>
      </c>
      <c r="AL5" s="399" t="s">
        <v>102</v>
      </c>
      <c r="AM5" s="399" t="s">
        <v>103</v>
      </c>
      <c r="AN5" s="393" t="s">
        <v>104</v>
      </c>
      <c r="AO5" s="399" t="s">
        <v>105</v>
      </c>
      <c r="AP5" s="393" t="s">
        <v>106</v>
      </c>
      <c r="AQ5" s="393" t="s">
        <v>107</v>
      </c>
      <c r="AR5" s="393" t="s">
        <v>108</v>
      </c>
      <c r="AS5" s="393" t="s">
        <v>109</v>
      </c>
      <c r="AT5" s="393" t="s">
        <v>36</v>
      </c>
      <c r="AU5" s="312" t="s">
        <v>110</v>
      </c>
      <c r="AV5" s="344" t="s">
        <v>111</v>
      </c>
      <c r="AW5" s="312" t="s">
        <v>112</v>
      </c>
      <c r="AX5" s="333" t="s">
        <v>113</v>
      </c>
      <c r="AY5" s="151"/>
      <c r="AZ5" s="391" t="s">
        <v>19</v>
      </c>
      <c r="BA5" s="393" t="s">
        <v>38</v>
      </c>
      <c r="BB5" s="393" t="s">
        <v>33</v>
      </c>
      <c r="BC5" s="395" t="s">
        <v>39</v>
      </c>
      <c r="BD5" s="397" t="s">
        <v>76</v>
      </c>
      <c r="BE5" s="393" t="s">
        <v>114</v>
      </c>
      <c r="BF5" s="447"/>
      <c r="BG5" s="416"/>
      <c r="BH5" s="173"/>
      <c r="BI5" s="174"/>
    </row>
    <row r="6" spans="1:61" ht="56.25" customHeight="1" thickBot="1">
      <c r="A6" s="451"/>
      <c r="B6" s="453"/>
      <c r="C6" s="455"/>
      <c r="D6" s="457"/>
      <c r="E6" s="420"/>
      <c r="F6" s="421"/>
      <c r="G6" s="420"/>
      <c r="H6" s="421"/>
      <c r="I6" s="420"/>
      <c r="J6" s="421"/>
      <c r="K6" s="420"/>
      <c r="L6" s="421"/>
      <c r="M6" s="420"/>
      <c r="N6" s="421"/>
      <c r="O6" s="423"/>
      <c r="P6" s="423"/>
      <c r="Q6" s="420"/>
      <c r="R6" s="421"/>
      <c r="S6" s="424"/>
      <c r="T6" s="421"/>
      <c r="U6" s="426"/>
      <c r="V6" s="450"/>
      <c r="W6" s="412"/>
      <c r="X6" s="412"/>
      <c r="Y6" s="412"/>
      <c r="Z6" s="412"/>
      <c r="AA6" s="412"/>
      <c r="AB6" s="412"/>
      <c r="AC6" s="412"/>
      <c r="AD6" s="414"/>
      <c r="AE6" s="414"/>
      <c r="AF6" s="402"/>
      <c r="AG6" s="404"/>
      <c r="AH6" s="406"/>
      <c r="AI6" s="408"/>
      <c r="AJ6" s="439"/>
      <c r="AK6" s="410"/>
      <c r="AL6" s="400"/>
      <c r="AM6" s="400"/>
      <c r="AN6" s="394"/>
      <c r="AO6" s="400"/>
      <c r="AP6" s="394"/>
      <c r="AQ6" s="394"/>
      <c r="AR6" s="394"/>
      <c r="AS6" s="394"/>
      <c r="AT6" s="394"/>
      <c r="AU6" s="313"/>
      <c r="AV6" s="345"/>
      <c r="AW6" s="313"/>
      <c r="AX6" s="334"/>
      <c r="AY6" s="152" t="s">
        <v>115</v>
      </c>
      <c r="AZ6" s="392"/>
      <c r="BA6" s="394"/>
      <c r="BB6" s="394"/>
      <c r="BC6" s="396"/>
      <c r="BD6" s="398"/>
      <c r="BE6" s="394"/>
      <c r="BF6" s="448"/>
      <c r="BG6" s="417"/>
      <c r="BH6" s="173"/>
      <c r="BI6" s="174"/>
    </row>
    <row r="7" spans="1:61" ht="19.5" customHeight="1" thickBot="1">
      <c r="A7" s="175">
        <v>1</v>
      </c>
      <c r="B7" s="176">
        <v>2</v>
      </c>
      <c r="C7" s="176">
        <v>3</v>
      </c>
      <c r="D7" s="175">
        <v>4</v>
      </c>
      <c r="E7" s="176">
        <v>5</v>
      </c>
      <c r="F7" s="176">
        <v>6</v>
      </c>
      <c r="G7" s="175">
        <v>7</v>
      </c>
      <c r="H7" s="176">
        <v>8</v>
      </c>
      <c r="I7" s="176">
        <v>9</v>
      </c>
      <c r="J7" s="175">
        <v>10</v>
      </c>
      <c r="K7" s="176">
        <v>11</v>
      </c>
      <c r="L7" s="176">
        <v>12</v>
      </c>
      <c r="M7" s="175">
        <v>13</v>
      </c>
      <c r="N7" s="176">
        <v>14</v>
      </c>
      <c r="O7" s="176">
        <v>15</v>
      </c>
      <c r="P7" s="175">
        <v>16</v>
      </c>
      <c r="Q7" s="176">
        <v>17</v>
      </c>
      <c r="R7" s="176">
        <v>18</v>
      </c>
      <c r="S7" s="175">
        <v>19</v>
      </c>
      <c r="T7" s="176">
        <v>20</v>
      </c>
      <c r="U7" s="176">
        <v>21</v>
      </c>
      <c r="V7" s="175">
        <v>22</v>
      </c>
      <c r="W7" s="176">
        <v>23</v>
      </c>
      <c r="X7" s="175">
        <v>24</v>
      </c>
      <c r="Y7" s="176">
        <v>25</v>
      </c>
      <c r="Z7" s="175">
        <v>26</v>
      </c>
      <c r="AA7" s="176">
        <v>27</v>
      </c>
      <c r="AB7" s="175">
        <v>28</v>
      </c>
      <c r="AC7" s="176">
        <v>29</v>
      </c>
      <c r="AD7" s="175">
        <v>30</v>
      </c>
      <c r="AE7" s="175">
        <v>31</v>
      </c>
      <c r="AF7" s="176">
        <v>32</v>
      </c>
      <c r="AG7" s="175">
        <v>33</v>
      </c>
      <c r="AH7" s="176">
        <v>34</v>
      </c>
      <c r="AI7" s="175">
        <v>35</v>
      </c>
      <c r="AJ7" s="176">
        <v>36</v>
      </c>
      <c r="AK7" s="175">
        <v>37</v>
      </c>
      <c r="AL7" s="176">
        <v>38</v>
      </c>
      <c r="AM7" s="175">
        <v>39</v>
      </c>
      <c r="AN7" s="175">
        <v>40</v>
      </c>
      <c r="AO7" s="176">
        <v>41</v>
      </c>
      <c r="AP7" s="175">
        <v>42</v>
      </c>
      <c r="AQ7" s="176">
        <v>43</v>
      </c>
      <c r="AR7" s="175"/>
      <c r="AS7" s="175">
        <v>44</v>
      </c>
      <c r="AT7" s="176">
        <v>45</v>
      </c>
      <c r="AU7" s="175">
        <v>46</v>
      </c>
      <c r="AV7" s="176">
        <v>47</v>
      </c>
      <c r="AW7" s="175">
        <v>48</v>
      </c>
      <c r="AX7" s="175">
        <v>49</v>
      </c>
      <c r="AY7" s="176"/>
      <c r="AZ7" s="176">
        <v>50</v>
      </c>
      <c r="BA7" s="176">
        <v>51</v>
      </c>
      <c r="BB7" s="176">
        <v>52</v>
      </c>
      <c r="BC7" s="176">
        <v>53</v>
      </c>
      <c r="BD7" s="176">
        <v>54</v>
      </c>
      <c r="BE7" s="176"/>
      <c r="BF7" s="176">
        <v>55</v>
      </c>
      <c r="BG7" s="176">
        <v>56</v>
      </c>
      <c r="BH7" s="174"/>
      <c r="BI7" s="174"/>
    </row>
    <row r="8" spans="1:59" s="20" customFormat="1" ht="13.5" thickBot="1">
      <c r="A8" s="22" t="s">
        <v>54</v>
      </c>
      <c r="B8" s="177"/>
      <c r="C8" s="177">
        <f>Лист1!C44</f>
        <v>625685.6399999999</v>
      </c>
      <c r="D8" s="177">
        <f>Лист1!D44</f>
        <v>153750.0085182</v>
      </c>
      <c r="E8" s="177">
        <f>Лист1!E44</f>
        <v>53104.05</v>
      </c>
      <c r="F8" s="177">
        <f>Лист1!F44</f>
        <v>10246.410000000002</v>
      </c>
      <c r="G8" s="177">
        <f>0</f>
        <v>0</v>
      </c>
      <c r="H8" s="177">
        <f>0</f>
        <v>0</v>
      </c>
      <c r="I8" s="177">
        <f>Лист1!G44</f>
        <v>71872.38</v>
      </c>
      <c r="J8" s="177">
        <f>Лист1!H44</f>
        <v>13871.65</v>
      </c>
      <c r="K8" s="177">
        <f>Лист1!K44</f>
        <v>119762.86</v>
      </c>
      <c r="L8" s="177">
        <f>Лист1!L44</f>
        <v>23093.06</v>
      </c>
      <c r="M8" s="177">
        <f>Лист1!I44</f>
        <v>172707.78000000003</v>
      </c>
      <c r="N8" s="177">
        <f>Лист1!J44</f>
        <v>33394.880000000005</v>
      </c>
      <c r="O8" s="177">
        <f>Лист1!M44</f>
        <v>42480.32</v>
      </c>
      <c r="P8" s="177">
        <f>Лист1!N44</f>
        <v>8196.92</v>
      </c>
      <c r="Q8" s="177">
        <f>'[8]Лист1'!O44</f>
        <v>0</v>
      </c>
      <c r="R8" s="177">
        <f>'[8]Лист1'!P44</f>
        <v>0</v>
      </c>
      <c r="S8" s="177">
        <f>'[8]Лист1'!Q44</f>
        <v>0</v>
      </c>
      <c r="T8" s="177">
        <f>'[8]Лист1'!R44</f>
        <v>0</v>
      </c>
      <c r="U8" s="177">
        <f>Лист1!S44</f>
        <v>459927.39</v>
      </c>
      <c r="V8" s="177">
        <f>Лист1!T44</f>
        <v>88802.91999999998</v>
      </c>
      <c r="W8" s="177">
        <f>Лист1!U44</f>
        <v>49064.1</v>
      </c>
      <c r="X8" s="177">
        <v>0</v>
      </c>
      <c r="Y8" s="177">
        <f>Лист1!V44</f>
        <v>66401.56</v>
      </c>
      <c r="Z8" s="177">
        <f>Лист1!X44</f>
        <v>110033.66999999998</v>
      </c>
      <c r="AA8" s="177">
        <f>Лист1!W44</f>
        <v>159568.77</v>
      </c>
      <c r="AB8" s="177">
        <f>Лист1!Y44</f>
        <v>39257.86</v>
      </c>
      <c r="AC8" s="177">
        <f>'[9]Лист1'!Z42</f>
        <v>0</v>
      </c>
      <c r="AD8" s="177">
        <f>'[9]Лист1'!AA42</f>
        <v>0</v>
      </c>
      <c r="AE8" s="177">
        <f>0</f>
        <v>0</v>
      </c>
      <c r="AF8" s="177">
        <f>Лист1!AB44</f>
        <v>424325.96</v>
      </c>
      <c r="AG8" s="177">
        <f>Лист1!AC44</f>
        <v>666878.8885182</v>
      </c>
      <c r="AH8" s="177">
        <f>'[9]Лист1'!AD42</f>
        <v>0</v>
      </c>
      <c r="AI8" s="177">
        <f>'[9]Лист1'!AE42</f>
        <v>0</v>
      </c>
      <c r="AJ8" s="177">
        <f>Лист1!AF44</f>
        <v>18128.44936</v>
      </c>
      <c r="AK8" s="177">
        <f>Лист1!AG44</f>
        <v>42757.24800000001</v>
      </c>
      <c r="AL8" s="177">
        <f>Лист1!AH44</f>
        <v>14327.161308000002</v>
      </c>
      <c r="AM8" s="177">
        <f>Лист1!AI44+Лист1!AJ44</f>
        <v>70975.97734346</v>
      </c>
      <c r="AN8" s="177">
        <v>0</v>
      </c>
      <c r="AO8" s="177">
        <f>Лист1!AK44+Лист1!AL44</f>
        <v>70795.329491108</v>
      </c>
      <c r="AP8" s="177">
        <f>Лист1!AM44+Лист1!AN44</f>
        <v>158374.91888628158</v>
      </c>
      <c r="AQ8" s="177">
        <v>0</v>
      </c>
      <c r="AR8" s="177">
        <v>0</v>
      </c>
      <c r="AS8" s="177">
        <v>0</v>
      </c>
      <c r="AT8" s="177">
        <f>Лист1!AO44+Лист1!AP44</f>
        <v>4353.9876</v>
      </c>
      <c r="AU8" s="177">
        <f>Лист1!AS44+Лист1!AU44</f>
        <v>302855.6126</v>
      </c>
      <c r="AV8" s="177">
        <v>0</v>
      </c>
      <c r="AW8" s="177">
        <f>Лист1!AT44</f>
        <v>100913.25</v>
      </c>
      <c r="AX8" s="177">
        <f>Лист1!AQ44+Лист1!AR44</f>
        <v>12563.485400000001</v>
      </c>
      <c r="AY8" s="178">
        <f>Лист1!AX44</f>
        <v>17726.833599999998</v>
      </c>
      <c r="AZ8" s="178">
        <f>'[8]Лист1'!AY44</f>
        <v>0</v>
      </c>
      <c r="BA8" s="178">
        <v>0</v>
      </c>
      <c r="BB8" s="178">
        <v>0</v>
      </c>
      <c r="BC8" s="178">
        <f>Лист1!BB44</f>
        <v>795643.8042288495</v>
      </c>
      <c r="BD8" s="177">
        <f>Лист1!BC44</f>
        <v>7395.143083999999</v>
      </c>
      <c r="BE8" s="179">
        <f>BC8+BD8</f>
        <v>803038.9473128495</v>
      </c>
      <c r="BF8" s="180">
        <f>Лист1!BD44</f>
        <v>-118031.60943464958</v>
      </c>
      <c r="BG8" s="180">
        <f>Лист1!BE44</f>
        <v>-35601.43000000001</v>
      </c>
    </row>
    <row r="9" spans="1:59" ht="12.75">
      <c r="A9" s="5" t="s">
        <v>116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62">
        <f>'[7]Лист1'!AB44</f>
        <v>440391.95999999996</v>
      </c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0"/>
      <c r="BG9" s="183"/>
    </row>
    <row r="10" spans="1:70" ht="12.75">
      <c r="A10" s="184" t="s">
        <v>45</v>
      </c>
      <c r="B10" s="154">
        <v>2679.2</v>
      </c>
      <c r="C10" s="134">
        <f aca="true" t="shared" si="0" ref="C10:C21">B10*8.55</f>
        <v>22907.16</v>
      </c>
      <c r="D10" s="108">
        <v>411.978</v>
      </c>
      <c r="E10" s="155">
        <v>0</v>
      </c>
      <c r="F10" s="156">
        <v>0</v>
      </c>
      <c r="G10" s="155">
        <v>14051.84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6717.8</v>
      </c>
      <c r="N10" s="155">
        <v>0</v>
      </c>
      <c r="O10" s="155">
        <v>2329.46</v>
      </c>
      <c r="P10" s="156">
        <v>0</v>
      </c>
      <c r="Q10" s="187">
        <v>0</v>
      </c>
      <c r="R10" s="186">
        <v>0</v>
      </c>
      <c r="S10" s="187">
        <v>0</v>
      </c>
      <c r="T10" s="186">
        <v>0</v>
      </c>
      <c r="U10" s="188">
        <f aca="true" t="shared" si="1" ref="U10:V21">E10+G10+I10+K10+M10+O10+Q10+S10</f>
        <v>23099.1</v>
      </c>
      <c r="V10" s="189">
        <f t="shared" si="1"/>
        <v>0</v>
      </c>
      <c r="W10" s="157">
        <v>2484.55</v>
      </c>
      <c r="X10" s="157"/>
      <c r="Y10" s="157">
        <v>3366.22</v>
      </c>
      <c r="Z10" s="157">
        <v>5602.24</v>
      </c>
      <c r="AA10" s="157">
        <v>8086.93</v>
      </c>
      <c r="AB10" s="157">
        <v>1987.59</v>
      </c>
      <c r="AC10" s="159">
        <v>0</v>
      </c>
      <c r="AD10" s="159">
        <v>0</v>
      </c>
      <c r="AE10" s="190">
        <v>0</v>
      </c>
      <c r="AF10" s="190">
        <f>SUM(W10:AE10)</f>
        <v>21527.530000000002</v>
      </c>
      <c r="AG10" s="191">
        <f>AF10+V10+D10</f>
        <v>21939.508</v>
      </c>
      <c r="AH10" s="192">
        <f aca="true" t="shared" si="2" ref="AH10:AI21">AC10</f>
        <v>0</v>
      </c>
      <c r="AI10" s="192">
        <f t="shared" si="2"/>
        <v>0</v>
      </c>
      <c r="AJ10" s="161">
        <f>'[10]Т01'!$I$76+'[10]Т01'!$I$179</f>
        <v>1095.612</v>
      </c>
      <c r="AK10" s="162">
        <f aca="true" t="shared" si="3" ref="AK10:AK17">0.67*B10</f>
        <v>1795.064</v>
      </c>
      <c r="AL10" s="162">
        <f aca="true" t="shared" si="4" ref="AL10:AL17">B10*0.2</f>
        <v>535.84</v>
      </c>
      <c r="AM10" s="162">
        <f aca="true" t="shared" si="5" ref="AM10:AM21">B10*1</f>
        <v>2679.2</v>
      </c>
      <c r="AN10" s="162">
        <f aca="true" t="shared" si="6" ref="AN10:AN21">B10*0.21</f>
        <v>562.632</v>
      </c>
      <c r="AO10" s="162">
        <f aca="true" t="shared" si="7" ref="AO10:AO21">2.02*B10</f>
        <v>5411.9839999999995</v>
      </c>
      <c r="AP10" s="162">
        <f aca="true" t="shared" si="8" ref="AP10:AP21">B10*1.03</f>
        <v>2759.576</v>
      </c>
      <c r="AQ10" s="162">
        <f aca="true" t="shared" si="9" ref="AQ10:AQ21">B10*0.75</f>
        <v>2009.3999999999999</v>
      </c>
      <c r="AR10" s="162">
        <f aca="true" t="shared" si="10" ref="AR10:AR21">B10*0.75</f>
        <v>2009.3999999999999</v>
      </c>
      <c r="AS10" s="162">
        <f>B10*1.15</f>
        <v>3081.0799999999995</v>
      </c>
      <c r="AT10" s="162">
        <f>2451.6+454*0.45</f>
        <v>2655.9</v>
      </c>
      <c r="AU10" s="164"/>
      <c r="AV10" s="163">
        <v>590</v>
      </c>
      <c r="AW10" s="164"/>
      <c r="AX10" s="164">
        <f>1.85+6.64+10+77.6+1.58+46.2</f>
        <v>143.87</v>
      </c>
      <c r="AY10" s="164"/>
      <c r="AZ10" s="123"/>
      <c r="BA10" s="167"/>
      <c r="BB10" s="167">
        <f>BA10*0.18</f>
        <v>0</v>
      </c>
      <c r="BC10" s="167">
        <f aca="true" t="shared" si="11" ref="BC10:BC21">SUM(AK10:BB10)</f>
        <v>24233.945999999996</v>
      </c>
      <c r="BD10" s="168">
        <f>'[10]Т01'!$R$76+'[10]Т01'!$R$179</f>
        <v>735.654</v>
      </c>
      <c r="BE10" s="279">
        <f>BC10+BD10</f>
        <v>24969.599999999995</v>
      </c>
      <c r="BF10" s="279">
        <f>AG10+AJ10-BE10</f>
        <v>-1934.4799999999923</v>
      </c>
      <c r="BG10" s="280">
        <f>AF10-U10</f>
        <v>-1571.569999999996</v>
      </c>
      <c r="BH10" s="171"/>
      <c r="BI10" s="275"/>
      <c r="BJ10" s="171"/>
      <c r="BK10" s="171"/>
      <c r="BL10" s="75"/>
      <c r="BM10" s="75"/>
      <c r="BN10" s="193"/>
      <c r="BO10" s="75"/>
      <c r="BP10" s="193"/>
      <c r="BQ10" s="75"/>
      <c r="BR10" s="193"/>
    </row>
    <row r="11" spans="1:69" ht="12.75">
      <c r="A11" s="184" t="s">
        <v>46</v>
      </c>
      <c r="B11" s="154">
        <v>2679.2</v>
      </c>
      <c r="C11" s="134">
        <f t="shared" si="0"/>
        <v>22907.16</v>
      </c>
      <c r="D11" s="108">
        <v>411.978</v>
      </c>
      <c r="E11" s="155">
        <v>0</v>
      </c>
      <c r="F11" s="156">
        <v>0</v>
      </c>
      <c r="G11" s="155">
        <v>13617.64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6717.8</v>
      </c>
      <c r="N11" s="155">
        <v>0</v>
      </c>
      <c r="O11" s="155">
        <v>2329.48</v>
      </c>
      <c r="P11" s="155">
        <v>0</v>
      </c>
      <c r="Q11" s="155">
        <v>0</v>
      </c>
      <c r="R11" s="156">
        <v>0</v>
      </c>
      <c r="S11" s="159">
        <v>0</v>
      </c>
      <c r="T11" s="157">
        <v>0</v>
      </c>
      <c r="U11" s="194">
        <f t="shared" si="1"/>
        <v>22664.92</v>
      </c>
      <c r="V11" s="189">
        <f t="shared" si="1"/>
        <v>0</v>
      </c>
      <c r="W11" s="157">
        <v>406.75</v>
      </c>
      <c r="X11" s="159">
        <v>10111</v>
      </c>
      <c r="Y11" s="157">
        <v>551.19</v>
      </c>
      <c r="Z11" s="157">
        <v>917.38</v>
      </c>
      <c r="AA11" s="157">
        <v>6061.6</v>
      </c>
      <c r="AB11" s="157">
        <v>1984.75</v>
      </c>
      <c r="AC11" s="159">
        <v>0</v>
      </c>
      <c r="AD11" s="159">
        <v>0</v>
      </c>
      <c r="AE11" s="159">
        <v>0</v>
      </c>
      <c r="AF11" s="190">
        <f>SUM(W11:AE11)</f>
        <v>20032.67</v>
      </c>
      <c r="AG11" s="191">
        <f>AF11+V11+D11</f>
        <v>20444.647999999997</v>
      </c>
      <c r="AH11" s="192">
        <f t="shared" si="2"/>
        <v>0</v>
      </c>
      <c r="AI11" s="192">
        <f t="shared" si="2"/>
        <v>0</v>
      </c>
      <c r="AJ11" s="161">
        <f>'[10]Т02'!$J$76+'[10]Т02'!$J$181</f>
        <v>1095.612</v>
      </c>
      <c r="AK11" s="162">
        <f t="shared" si="3"/>
        <v>1795.064</v>
      </c>
      <c r="AL11" s="162">
        <f t="shared" si="4"/>
        <v>535.84</v>
      </c>
      <c r="AM11" s="162">
        <f t="shared" si="5"/>
        <v>2679.2</v>
      </c>
      <c r="AN11" s="162">
        <f t="shared" si="6"/>
        <v>562.632</v>
      </c>
      <c r="AO11" s="162">
        <f t="shared" si="7"/>
        <v>5411.9839999999995</v>
      </c>
      <c r="AP11" s="162">
        <f t="shared" si="8"/>
        <v>2759.576</v>
      </c>
      <c r="AQ11" s="162">
        <f t="shared" si="9"/>
        <v>2009.3999999999999</v>
      </c>
      <c r="AR11" s="162">
        <f t="shared" si="10"/>
        <v>2009.3999999999999</v>
      </c>
      <c r="AS11" s="162">
        <f>B11*1.15</f>
        <v>3081.0799999999995</v>
      </c>
      <c r="AT11" s="162">
        <f>454*0.45</f>
        <v>204.3</v>
      </c>
      <c r="AU11" s="164"/>
      <c r="AV11" s="163">
        <v>2599</v>
      </c>
      <c r="AW11" s="164"/>
      <c r="AX11" s="164">
        <f>80+18+22.56</f>
        <v>120.56</v>
      </c>
      <c r="AY11" s="164"/>
      <c r="AZ11" s="123"/>
      <c r="BA11" s="167"/>
      <c r="BB11" s="167">
        <f>BA11*0.18</f>
        <v>0</v>
      </c>
      <c r="BC11" s="167">
        <f t="shared" si="11"/>
        <v>23768.035999999996</v>
      </c>
      <c r="BD11" s="168">
        <f>'[10]Т02'!$S$76+'[10]Т02'!$S$180</f>
        <v>735.654</v>
      </c>
      <c r="BE11" s="279">
        <f aca="true" t="shared" si="12" ref="BE11:BE21">BC11+BD11</f>
        <v>24503.689999999995</v>
      </c>
      <c r="BF11" s="279">
        <f aca="true" t="shared" si="13" ref="BF11:BF21">AG11+AJ11-BE11</f>
        <v>-2963.4299999999967</v>
      </c>
      <c r="BG11" s="280">
        <f aca="true" t="shared" si="14" ref="BG11:BG21">AF11-U11</f>
        <v>-2632.25</v>
      </c>
      <c r="BH11" s="171"/>
      <c r="BI11" s="275"/>
      <c r="BJ11" s="171"/>
      <c r="BK11" s="171"/>
      <c r="BL11" s="75"/>
      <c r="BM11" s="75"/>
      <c r="BN11" s="193"/>
      <c r="BO11" s="193"/>
      <c r="BP11" s="193"/>
      <c r="BQ11" s="169"/>
    </row>
    <row r="12" spans="1:69" ht="12.75">
      <c r="A12" s="184" t="s">
        <v>47</v>
      </c>
      <c r="B12" s="154">
        <v>2679.2</v>
      </c>
      <c r="C12" s="134">
        <f t="shared" si="0"/>
        <v>22907.16</v>
      </c>
      <c r="D12" s="108">
        <v>411.978</v>
      </c>
      <c r="E12" s="155">
        <v>0</v>
      </c>
      <c r="F12" s="156">
        <v>0</v>
      </c>
      <c r="G12" s="155">
        <v>13834.75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6717.81</v>
      </c>
      <c r="N12" s="155">
        <v>0</v>
      </c>
      <c r="O12" s="155">
        <v>3229.48</v>
      </c>
      <c r="P12" s="155">
        <v>0</v>
      </c>
      <c r="Q12" s="155">
        <v>0</v>
      </c>
      <c r="R12" s="155">
        <v>0</v>
      </c>
      <c r="S12" s="155">
        <v>900</v>
      </c>
      <c r="T12" s="157">
        <v>0</v>
      </c>
      <c r="U12" s="157">
        <f t="shared" si="1"/>
        <v>24682.04</v>
      </c>
      <c r="V12" s="158">
        <f t="shared" si="1"/>
        <v>0</v>
      </c>
      <c r="W12" s="195">
        <v>83.46</v>
      </c>
      <c r="X12" s="159">
        <v>11258.5</v>
      </c>
      <c r="Y12" s="157">
        <v>112.62</v>
      </c>
      <c r="Z12" s="157">
        <v>188.27</v>
      </c>
      <c r="AA12" s="157">
        <v>5818.44</v>
      </c>
      <c r="AB12" s="157">
        <v>1982.77</v>
      </c>
      <c r="AC12" s="159">
        <v>0</v>
      </c>
      <c r="AD12" s="159">
        <v>0</v>
      </c>
      <c r="AE12" s="157">
        <v>0</v>
      </c>
      <c r="AF12" s="196">
        <f>SUM(W12:AE12)</f>
        <v>19444.06</v>
      </c>
      <c r="AG12" s="191">
        <f>AF12+V12+D12</f>
        <v>19856.038</v>
      </c>
      <c r="AH12" s="192">
        <f t="shared" si="2"/>
        <v>0</v>
      </c>
      <c r="AI12" s="192">
        <f t="shared" si="2"/>
        <v>0</v>
      </c>
      <c r="AJ12" s="161">
        <f>'[10]Т03'!$J$76+'[10]Т03'!$J$181</f>
        <v>1095.612</v>
      </c>
      <c r="AK12" s="162">
        <f t="shared" si="3"/>
        <v>1795.064</v>
      </c>
      <c r="AL12" s="162">
        <f t="shared" si="4"/>
        <v>535.84</v>
      </c>
      <c r="AM12" s="162">
        <f t="shared" si="5"/>
        <v>2679.2</v>
      </c>
      <c r="AN12" s="162">
        <f t="shared" si="6"/>
        <v>562.632</v>
      </c>
      <c r="AO12" s="162">
        <f t="shared" si="7"/>
        <v>5411.9839999999995</v>
      </c>
      <c r="AP12" s="162">
        <f t="shared" si="8"/>
        <v>2759.576</v>
      </c>
      <c r="AQ12" s="162">
        <f t="shared" si="9"/>
        <v>2009.3999999999999</v>
      </c>
      <c r="AR12" s="162">
        <f t="shared" si="10"/>
        <v>2009.3999999999999</v>
      </c>
      <c r="AS12" s="162">
        <f>B12*1.15</f>
        <v>3081.0799999999995</v>
      </c>
      <c r="AT12" s="162">
        <f>454*0.45</f>
        <v>204.3</v>
      </c>
      <c r="AU12" s="164">
        <v>11875</v>
      </c>
      <c r="AV12" s="163"/>
      <c r="AW12" s="164"/>
      <c r="AX12" s="164">
        <f>'[13]март 2011'!$F$62+'[13]март 2011'!$F$82+'[13]март 2011'!$F$106+'[13]март 2011'!$F$113+'[13]март 2011'!$F$119</f>
        <v>281.06</v>
      </c>
      <c r="AY12" s="164"/>
      <c r="AZ12" s="123"/>
      <c r="BA12" s="167"/>
      <c r="BB12" s="167">
        <f>BA12*0.18</f>
        <v>0</v>
      </c>
      <c r="BC12" s="167">
        <f t="shared" si="11"/>
        <v>33204.53599999999</v>
      </c>
      <c r="BD12" s="168">
        <f>'[10]Т03'!$S$76+'[10]Т03'!$S$181</f>
        <v>735.654</v>
      </c>
      <c r="BE12" s="279">
        <f t="shared" si="12"/>
        <v>33940.189999999995</v>
      </c>
      <c r="BF12" s="279">
        <f t="shared" si="13"/>
        <v>-12988.539999999994</v>
      </c>
      <c r="BG12" s="280">
        <f t="shared" si="14"/>
        <v>-5237.98</v>
      </c>
      <c r="BH12" s="171"/>
      <c r="BI12" s="275"/>
      <c r="BJ12" s="171"/>
      <c r="BK12" s="75"/>
      <c r="BL12" s="75"/>
      <c r="BM12" s="193"/>
      <c r="BN12" s="193"/>
      <c r="BO12" s="169"/>
      <c r="BP12" s="169"/>
      <c r="BQ12" s="169"/>
    </row>
    <row r="13" spans="1:69" ht="12.75">
      <c r="A13" s="184" t="s">
        <v>48</v>
      </c>
      <c r="B13" s="154">
        <v>2679.2</v>
      </c>
      <c r="C13" s="134">
        <f t="shared" si="0"/>
        <v>22907.16</v>
      </c>
      <c r="D13" s="108">
        <v>411.978</v>
      </c>
      <c r="E13" s="187">
        <v>1.93</v>
      </c>
      <c r="F13" s="156">
        <v>0</v>
      </c>
      <c r="G13" s="197">
        <v>13882.34</v>
      </c>
      <c r="H13" s="155">
        <v>0</v>
      </c>
      <c r="I13" s="155">
        <v>2.41</v>
      </c>
      <c r="J13" s="155">
        <v>0</v>
      </c>
      <c r="K13" s="155">
        <v>4.11</v>
      </c>
      <c r="L13" s="155">
        <v>0</v>
      </c>
      <c r="M13" s="155">
        <v>6747.23</v>
      </c>
      <c r="N13" s="155">
        <v>0</v>
      </c>
      <c r="O13" s="155">
        <v>2639.37</v>
      </c>
      <c r="P13" s="155">
        <v>0</v>
      </c>
      <c r="Q13" s="155">
        <v>0</v>
      </c>
      <c r="R13" s="156">
        <v>0</v>
      </c>
      <c r="S13" s="185">
        <v>300</v>
      </c>
      <c r="T13" s="198">
        <v>0</v>
      </c>
      <c r="U13" s="194">
        <f t="shared" si="1"/>
        <v>23577.39</v>
      </c>
      <c r="V13" s="158">
        <f t="shared" si="1"/>
        <v>0</v>
      </c>
      <c r="W13" s="157">
        <v>108.9</v>
      </c>
      <c r="X13" s="159">
        <v>12309.65</v>
      </c>
      <c r="Y13" s="157">
        <v>147.84</v>
      </c>
      <c r="Z13" s="157">
        <v>245.59</v>
      </c>
      <c r="AA13" s="157">
        <v>6370.6</v>
      </c>
      <c r="AB13" s="159">
        <v>2169.56</v>
      </c>
      <c r="AC13" s="157">
        <v>0</v>
      </c>
      <c r="AD13" s="159">
        <v>0</v>
      </c>
      <c r="AE13" s="159">
        <v>376.91</v>
      </c>
      <c r="AF13" s="190">
        <f>SUM(W13:AE13)</f>
        <v>21729.050000000003</v>
      </c>
      <c r="AG13" s="199">
        <f>AF13+V13+D13</f>
        <v>22141.028000000002</v>
      </c>
      <c r="AH13" s="200">
        <f t="shared" si="2"/>
        <v>0</v>
      </c>
      <c r="AI13" s="200">
        <f t="shared" si="2"/>
        <v>0</v>
      </c>
      <c r="AJ13" s="201">
        <f>'[11]Т04'!$J$77+'[11]Т04'!$J$183</f>
        <v>1095.612</v>
      </c>
      <c r="AK13" s="162">
        <f t="shared" si="3"/>
        <v>1795.064</v>
      </c>
      <c r="AL13" s="162">
        <f t="shared" si="4"/>
        <v>535.84</v>
      </c>
      <c r="AM13" s="162">
        <f t="shared" si="5"/>
        <v>2679.2</v>
      </c>
      <c r="AN13" s="162">
        <f t="shared" si="6"/>
        <v>562.632</v>
      </c>
      <c r="AO13" s="162">
        <f t="shared" si="7"/>
        <v>5411.9839999999995</v>
      </c>
      <c r="AP13" s="162">
        <f t="shared" si="8"/>
        <v>2759.576</v>
      </c>
      <c r="AQ13" s="162">
        <f t="shared" si="9"/>
        <v>2009.3999999999999</v>
      </c>
      <c r="AR13" s="162">
        <f t="shared" si="10"/>
        <v>2009.3999999999999</v>
      </c>
      <c r="AS13" s="162"/>
      <c r="AT13" s="203">
        <f aca="true" t="shared" si="15" ref="AT13:AT21">0.45*454</f>
        <v>204.3</v>
      </c>
      <c r="AU13" s="202">
        <v>2562</v>
      </c>
      <c r="AV13" s="202"/>
      <c r="AW13" s="202"/>
      <c r="AX13" s="202">
        <f>109+16</f>
        <v>125</v>
      </c>
      <c r="AY13" s="202"/>
      <c r="AZ13" s="123"/>
      <c r="BA13" s="203"/>
      <c r="BB13" s="203"/>
      <c r="BC13" s="155">
        <f t="shared" si="11"/>
        <v>20654.395999999997</v>
      </c>
      <c r="BD13" s="204">
        <f>'[10]Т04'!$S$77+'[10]Т04'!$S$183</f>
        <v>735.654</v>
      </c>
      <c r="BE13" s="279">
        <f t="shared" si="12"/>
        <v>21390.049999999996</v>
      </c>
      <c r="BF13" s="279">
        <f t="shared" si="13"/>
        <v>1846.5900000000074</v>
      </c>
      <c r="BG13" s="280">
        <f t="shared" si="14"/>
        <v>-1848.3399999999965</v>
      </c>
      <c r="BH13" s="171"/>
      <c r="BI13" s="275"/>
      <c r="BJ13" s="171"/>
      <c r="BK13" s="75"/>
      <c r="BL13" s="75"/>
      <c r="BM13" s="75"/>
      <c r="BN13" s="193"/>
      <c r="BO13" s="193"/>
      <c r="BP13" s="193"/>
      <c r="BQ13" s="169"/>
    </row>
    <row r="14" spans="1:69" ht="12.75">
      <c r="A14" s="184" t="s">
        <v>49</v>
      </c>
      <c r="B14" s="205">
        <v>2679.2</v>
      </c>
      <c r="C14" s="134">
        <f t="shared" si="0"/>
        <v>22907.16</v>
      </c>
      <c r="D14" s="108">
        <v>411.978</v>
      </c>
      <c r="E14" s="197">
        <v>0</v>
      </c>
      <c r="F14" s="156">
        <v>0</v>
      </c>
      <c r="G14" s="155">
        <v>13858.39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6729.43</v>
      </c>
      <c r="N14" s="155">
        <v>0</v>
      </c>
      <c r="O14" s="155">
        <v>2633.63</v>
      </c>
      <c r="P14" s="155">
        <v>0</v>
      </c>
      <c r="Q14" s="155">
        <v>0</v>
      </c>
      <c r="R14" s="156">
        <v>0</v>
      </c>
      <c r="S14" s="155">
        <v>300</v>
      </c>
      <c r="T14" s="159">
        <v>0</v>
      </c>
      <c r="U14" s="206">
        <f t="shared" si="1"/>
        <v>23521.45</v>
      </c>
      <c r="V14" s="207">
        <f>F14+H14+J14+L14+N14++R14+T14</f>
        <v>0</v>
      </c>
      <c r="W14" s="157">
        <v>0.61</v>
      </c>
      <c r="X14" s="159">
        <v>9839.1</v>
      </c>
      <c r="Y14" s="157">
        <v>0.83</v>
      </c>
      <c r="Z14" s="157">
        <v>1.38</v>
      </c>
      <c r="AA14" s="157">
        <v>4778.92</v>
      </c>
      <c r="AB14" s="157">
        <v>1657.3</v>
      </c>
      <c r="AC14" s="159">
        <v>0</v>
      </c>
      <c r="AD14" s="159">
        <v>0</v>
      </c>
      <c r="AE14" s="190">
        <v>0</v>
      </c>
      <c r="AF14" s="208">
        <f>SUM(W14:AE14)</f>
        <v>16278.14</v>
      </c>
      <c r="AG14" s="199">
        <f aca="true" t="shared" si="16" ref="AG14:AG21">D14+V14+AF14</f>
        <v>16690.118</v>
      </c>
      <c r="AH14" s="200">
        <f t="shared" si="2"/>
        <v>0</v>
      </c>
      <c r="AI14" s="200">
        <f t="shared" si="2"/>
        <v>0</v>
      </c>
      <c r="AJ14" s="201">
        <f>'[10]Т05'!$J$75+'[10]Т05'!$J$181</f>
        <v>1095.612</v>
      </c>
      <c r="AK14" s="162">
        <f t="shared" si="3"/>
        <v>1795.064</v>
      </c>
      <c r="AL14" s="162">
        <f t="shared" si="4"/>
        <v>535.84</v>
      </c>
      <c r="AM14" s="162">
        <f t="shared" si="5"/>
        <v>2679.2</v>
      </c>
      <c r="AN14" s="162">
        <f t="shared" si="6"/>
        <v>562.632</v>
      </c>
      <c r="AO14" s="162">
        <f t="shared" si="7"/>
        <v>5411.9839999999995</v>
      </c>
      <c r="AP14" s="162">
        <f t="shared" si="8"/>
        <v>2759.576</v>
      </c>
      <c r="AQ14" s="162">
        <f t="shared" si="9"/>
        <v>2009.3999999999999</v>
      </c>
      <c r="AR14" s="162">
        <f t="shared" si="10"/>
        <v>2009.3999999999999</v>
      </c>
      <c r="AS14" s="162"/>
      <c r="AT14" s="203">
        <f t="shared" si="15"/>
        <v>204.3</v>
      </c>
      <c r="AU14" s="202"/>
      <c r="AV14" s="202"/>
      <c r="AW14" s="202"/>
      <c r="AX14" s="202">
        <f>312</f>
        <v>312</v>
      </c>
      <c r="AY14" s="202"/>
      <c r="AZ14" s="123"/>
      <c r="BA14" s="203"/>
      <c r="BB14" s="203"/>
      <c r="BC14" s="155">
        <f t="shared" si="11"/>
        <v>18279.395999999997</v>
      </c>
      <c r="BD14" s="204">
        <f>'[10]Т05'!$S$75+'[10]Т05'!$S$181</f>
        <v>735.654</v>
      </c>
      <c r="BE14" s="279">
        <f t="shared" si="12"/>
        <v>19015.049999999996</v>
      </c>
      <c r="BF14" s="279">
        <f t="shared" si="13"/>
        <v>-1229.319999999996</v>
      </c>
      <c r="BG14" s="280">
        <f t="shared" si="14"/>
        <v>-7243.310000000001</v>
      </c>
      <c r="BH14" s="171"/>
      <c r="BI14" s="275"/>
      <c r="BJ14" s="171"/>
      <c r="BK14" s="75"/>
      <c r="BL14" s="75"/>
      <c r="BM14" s="193"/>
      <c r="BN14" s="193"/>
      <c r="BO14" s="193"/>
      <c r="BP14" s="169"/>
      <c r="BQ14" s="169"/>
    </row>
    <row r="15" spans="1:69" ht="12.75">
      <c r="A15" s="184" t="s">
        <v>50</v>
      </c>
      <c r="B15" s="154">
        <v>2679.2</v>
      </c>
      <c r="C15" s="134">
        <f t="shared" si="0"/>
        <v>22907.16</v>
      </c>
      <c r="D15" s="108">
        <v>411.978</v>
      </c>
      <c r="E15" s="209">
        <v>0</v>
      </c>
      <c r="F15" s="209"/>
      <c r="G15" s="209">
        <v>13858.39</v>
      </c>
      <c r="H15" s="209"/>
      <c r="I15" s="210">
        <v>0</v>
      </c>
      <c r="J15" s="210"/>
      <c r="K15" s="210">
        <v>0</v>
      </c>
      <c r="L15" s="210"/>
      <c r="M15" s="210">
        <v>6729.42</v>
      </c>
      <c r="N15" s="210"/>
      <c r="O15" s="210">
        <v>2333.63</v>
      </c>
      <c r="P15" s="210"/>
      <c r="Q15" s="210">
        <v>0</v>
      </c>
      <c r="R15" s="211"/>
      <c r="S15" s="211">
        <v>300</v>
      </c>
      <c r="T15" s="210"/>
      <c r="U15" s="212">
        <f t="shared" si="1"/>
        <v>23221.44</v>
      </c>
      <c r="V15" s="213">
        <f t="shared" si="1"/>
        <v>0</v>
      </c>
      <c r="W15" s="214">
        <v>572.41</v>
      </c>
      <c r="X15" s="209">
        <v>14659.57</v>
      </c>
      <c r="Y15" s="209">
        <v>775.32</v>
      </c>
      <c r="Z15" s="209">
        <v>1290.34</v>
      </c>
      <c r="AA15" s="209">
        <v>8296.46</v>
      </c>
      <c r="AB15" s="209">
        <v>2758.36</v>
      </c>
      <c r="AC15" s="209">
        <v>0</v>
      </c>
      <c r="AD15" s="209">
        <v>0</v>
      </c>
      <c r="AE15" s="215">
        <v>0</v>
      </c>
      <c r="AF15" s="216">
        <f aca="true" t="shared" si="17" ref="AF15:AF21">SUM(W15:AE15)</f>
        <v>28352.46</v>
      </c>
      <c r="AG15" s="199">
        <f t="shared" si="16"/>
        <v>28764.438</v>
      </c>
      <c r="AH15" s="200">
        <f t="shared" si="2"/>
        <v>0</v>
      </c>
      <c r="AI15" s="200">
        <f t="shared" si="2"/>
        <v>0</v>
      </c>
      <c r="AJ15" s="201">
        <f>'[10]Т06'!$J$181+'[10]Т06'!$J$75</f>
        <v>1095.612</v>
      </c>
      <c r="AK15" s="162">
        <f t="shared" si="3"/>
        <v>1795.064</v>
      </c>
      <c r="AL15" s="162">
        <f t="shared" si="4"/>
        <v>535.84</v>
      </c>
      <c r="AM15" s="162">
        <f t="shared" si="5"/>
        <v>2679.2</v>
      </c>
      <c r="AN15" s="162">
        <f t="shared" si="6"/>
        <v>562.632</v>
      </c>
      <c r="AO15" s="162">
        <f t="shared" si="7"/>
        <v>5411.9839999999995</v>
      </c>
      <c r="AP15" s="162">
        <f t="shared" si="8"/>
        <v>2759.576</v>
      </c>
      <c r="AQ15" s="162">
        <f t="shared" si="9"/>
        <v>2009.3999999999999</v>
      </c>
      <c r="AR15" s="162">
        <f t="shared" si="10"/>
        <v>2009.3999999999999</v>
      </c>
      <c r="AS15" s="162"/>
      <c r="AT15" s="203">
        <f t="shared" si="15"/>
        <v>204.3</v>
      </c>
      <c r="AU15" s="202"/>
      <c r="AV15" s="202"/>
      <c r="AW15" s="202"/>
      <c r="AX15" s="202">
        <f>1400</f>
        <v>1400</v>
      </c>
      <c r="AY15" s="202"/>
      <c r="AZ15" s="162"/>
      <c r="BA15" s="203"/>
      <c r="BB15" s="203"/>
      <c r="BC15" s="217">
        <f t="shared" si="11"/>
        <v>19367.395999999997</v>
      </c>
      <c r="BD15" s="204">
        <f>'[10]Т06'!$S$75+'[10]Т06'!$S$181</f>
        <v>735.654</v>
      </c>
      <c r="BE15" s="279">
        <f t="shared" si="12"/>
        <v>20103.049999999996</v>
      </c>
      <c r="BF15" s="279">
        <f t="shared" si="13"/>
        <v>9757.000000000004</v>
      </c>
      <c r="BG15" s="280">
        <f t="shared" si="14"/>
        <v>5131.02</v>
      </c>
      <c r="BH15" s="171"/>
      <c r="BI15" s="275"/>
      <c r="BJ15" s="171"/>
      <c r="BK15" s="75"/>
      <c r="BL15" s="75"/>
      <c r="BM15" s="193"/>
      <c r="BN15" s="193"/>
      <c r="BO15" s="193"/>
      <c r="BP15" s="169"/>
      <c r="BQ15" s="169"/>
    </row>
    <row r="16" spans="1:69" ht="12.75">
      <c r="A16" s="184" t="s">
        <v>51</v>
      </c>
      <c r="B16" s="154">
        <v>2679.2</v>
      </c>
      <c r="C16" s="134">
        <f t="shared" si="0"/>
        <v>22907.16</v>
      </c>
      <c r="D16" s="108">
        <v>411.978</v>
      </c>
      <c r="E16" s="218">
        <v>-1.79</v>
      </c>
      <c r="F16" s="218"/>
      <c r="G16" s="218">
        <v>13858.39</v>
      </c>
      <c r="H16" s="218"/>
      <c r="I16" s="218">
        <v>-2.42</v>
      </c>
      <c r="J16" s="218"/>
      <c r="K16" s="218">
        <v>-4.04</v>
      </c>
      <c r="L16" s="218"/>
      <c r="M16" s="218">
        <v>6723.61</v>
      </c>
      <c r="N16" s="218"/>
      <c r="O16" s="218">
        <v>2332.2</v>
      </c>
      <c r="P16" s="218"/>
      <c r="Q16" s="218"/>
      <c r="R16" s="218"/>
      <c r="S16" s="219">
        <v>300</v>
      </c>
      <c r="T16" s="214"/>
      <c r="U16" s="220">
        <f t="shared" si="1"/>
        <v>23205.949999999997</v>
      </c>
      <c r="V16" s="221">
        <f t="shared" si="1"/>
        <v>0</v>
      </c>
      <c r="W16" s="222">
        <v>-332.81</v>
      </c>
      <c r="X16" s="218">
        <v>14052.64</v>
      </c>
      <c r="Y16" s="218">
        <v>-448.58</v>
      </c>
      <c r="Z16" s="218">
        <v>-748.13</v>
      </c>
      <c r="AA16" s="218">
        <v>8743.17</v>
      </c>
      <c r="AB16" s="218">
        <v>2100.48</v>
      </c>
      <c r="AC16" s="209"/>
      <c r="AD16" s="218"/>
      <c r="AE16" s="219"/>
      <c r="AF16" s="216">
        <f t="shared" si="17"/>
        <v>23366.77</v>
      </c>
      <c r="AG16" s="223">
        <f t="shared" si="16"/>
        <v>23778.748</v>
      </c>
      <c r="AH16" s="200">
        <f t="shared" si="2"/>
        <v>0</v>
      </c>
      <c r="AI16" s="200">
        <f t="shared" si="2"/>
        <v>0</v>
      </c>
      <c r="AJ16" s="201">
        <f>'[10]Т07'!$J$75+'[10]Т07'!$J$185</f>
        <v>1095.612</v>
      </c>
      <c r="AK16" s="162">
        <f t="shared" si="3"/>
        <v>1795.064</v>
      </c>
      <c r="AL16" s="162">
        <f t="shared" si="4"/>
        <v>535.84</v>
      </c>
      <c r="AM16" s="162">
        <f t="shared" si="5"/>
        <v>2679.2</v>
      </c>
      <c r="AN16" s="162">
        <f t="shared" si="6"/>
        <v>562.632</v>
      </c>
      <c r="AO16" s="162">
        <f t="shared" si="7"/>
        <v>5411.9839999999995</v>
      </c>
      <c r="AP16" s="162">
        <f t="shared" si="8"/>
        <v>2759.576</v>
      </c>
      <c r="AQ16" s="162">
        <f t="shared" si="9"/>
        <v>2009.3999999999999</v>
      </c>
      <c r="AR16" s="162">
        <f t="shared" si="10"/>
        <v>2009.3999999999999</v>
      </c>
      <c r="AS16" s="162"/>
      <c r="AT16" s="203">
        <f t="shared" si="15"/>
        <v>204.3</v>
      </c>
      <c r="AU16" s="202">
        <v>4011</v>
      </c>
      <c r="AV16" s="202"/>
      <c r="AW16" s="202"/>
      <c r="AX16" s="202">
        <f>320+72+717.8+1410.18+367.8+96.43+9.43+1156</f>
        <v>4149.639999999999</v>
      </c>
      <c r="AY16" s="202"/>
      <c r="AZ16" s="123"/>
      <c r="BA16" s="203">
        <v>-489.72</v>
      </c>
      <c r="BB16" s="203"/>
      <c r="BC16" s="155">
        <f t="shared" si="11"/>
        <v>25638.315999999995</v>
      </c>
      <c r="BD16" s="204">
        <f>'[10]Т07'!$S$75+'[10]Т07'!$S$185</f>
        <v>735.654</v>
      </c>
      <c r="BE16" s="279">
        <f t="shared" si="12"/>
        <v>26373.969999999994</v>
      </c>
      <c r="BF16" s="279">
        <f t="shared" si="13"/>
        <v>-1499.6099999999933</v>
      </c>
      <c r="BG16" s="280">
        <f t="shared" si="14"/>
        <v>160.82000000000335</v>
      </c>
      <c r="BH16" s="171"/>
      <c r="BI16" s="275"/>
      <c r="BJ16" s="171"/>
      <c r="BK16" s="75"/>
      <c r="BL16" s="75"/>
      <c r="BM16" s="169"/>
      <c r="BN16" s="169"/>
      <c r="BO16" s="169"/>
      <c r="BP16" s="169"/>
      <c r="BQ16" s="169"/>
    </row>
    <row r="17" spans="1:69" ht="12.75">
      <c r="A17" s="184" t="s">
        <v>52</v>
      </c>
      <c r="B17" s="154">
        <v>2679.2</v>
      </c>
      <c r="C17" s="134">
        <f t="shared" si="0"/>
        <v>22907.16</v>
      </c>
      <c r="D17" s="108">
        <v>411.978</v>
      </c>
      <c r="E17" s="218">
        <v>0</v>
      </c>
      <c r="F17" s="218"/>
      <c r="G17" s="218">
        <v>13858.39</v>
      </c>
      <c r="H17" s="218"/>
      <c r="I17" s="218">
        <v>0</v>
      </c>
      <c r="J17" s="218"/>
      <c r="K17" s="218">
        <v>0</v>
      </c>
      <c r="L17" s="218"/>
      <c r="M17" s="218">
        <v>6729.43</v>
      </c>
      <c r="N17" s="218"/>
      <c r="O17" s="218">
        <v>2333.63</v>
      </c>
      <c r="P17" s="218"/>
      <c r="Q17" s="218"/>
      <c r="R17" s="218"/>
      <c r="S17" s="219">
        <v>300</v>
      </c>
      <c r="T17" s="215"/>
      <c r="U17" s="224">
        <f t="shared" si="1"/>
        <v>23221.45</v>
      </c>
      <c r="V17" s="225">
        <f t="shared" si="1"/>
        <v>0</v>
      </c>
      <c r="W17" s="218">
        <v>2.47</v>
      </c>
      <c r="X17" s="218">
        <v>12100</v>
      </c>
      <c r="Y17" s="218">
        <v>3.14</v>
      </c>
      <c r="Z17" s="218">
        <v>5.32</v>
      </c>
      <c r="AA17" s="218">
        <v>2673.01</v>
      </c>
      <c r="AB17" s="218">
        <v>1988.31</v>
      </c>
      <c r="AC17" s="218"/>
      <c r="AD17" s="218"/>
      <c r="AE17" s="219"/>
      <c r="AF17" s="216">
        <f t="shared" si="17"/>
        <v>16772.25</v>
      </c>
      <c r="AG17" s="223">
        <f t="shared" si="16"/>
        <v>17184.228</v>
      </c>
      <c r="AH17" s="200">
        <f t="shared" si="2"/>
        <v>0</v>
      </c>
      <c r="AI17" s="200">
        <f t="shared" si="2"/>
        <v>0</v>
      </c>
      <c r="AJ17" s="201">
        <f>'[10]Т08'!$J$75+'[10]Т08'!$J$189</f>
        <v>1095.612</v>
      </c>
      <c r="AK17" s="162">
        <f t="shared" si="3"/>
        <v>1795.064</v>
      </c>
      <c r="AL17" s="162">
        <f t="shared" si="4"/>
        <v>535.84</v>
      </c>
      <c r="AM17" s="162">
        <f t="shared" si="5"/>
        <v>2679.2</v>
      </c>
      <c r="AN17" s="162">
        <f t="shared" si="6"/>
        <v>562.632</v>
      </c>
      <c r="AO17" s="162">
        <f t="shared" si="7"/>
        <v>5411.9839999999995</v>
      </c>
      <c r="AP17" s="162">
        <f t="shared" si="8"/>
        <v>2759.576</v>
      </c>
      <c r="AQ17" s="162">
        <f t="shared" si="9"/>
        <v>2009.3999999999999</v>
      </c>
      <c r="AR17" s="162">
        <f t="shared" si="10"/>
        <v>2009.3999999999999</v>
      </c>
      <c r="AS17" s="162"/>
      <c r="AT17" s="203">
        <f t="shared" si="15"/>
        <v>204.3</v>
      </c>
      <c r="AU17" s="202"/>
      <c r="AV17" s="202"/>
      <c r="AW17" s="202"/>
      <c r="AX17" s="202"/>
      <c r="AY17" s="202"/>
      <c r="AZ17" s="123"/>
      <c r="BA17" s="203"/>
      <c r="BB17" s="203"/>
      <c r="BC17" s="155">
        <f t="shared" si="11"/>
        <v>17967.395999999997</v>
      </c>
      <c r="BD17" s="204">
        <f>'[10]Т08'!$S$75+'[10]Т08'!$S$189</f>
        <v>735.654</v>
      </c>
      <c r="BE17" s="279">
        <f t="shared" si="12"/>
        <v>18703.049999999996</v>
      </c>
      <c r="BF17" s="279">
        <f t="shared" si="13"/>
        <v>-423.2099999999955</v>
      </c>
      <c r="BG17" s="280">
        <f t="shared" si="14"/>
        <v>-6449.200000000001</v>
      </c>
      <c r="BH17" s="171"/>
      <c r="BI17" s="275"/>
      <c r="BJ17" s="171"/>
      <c r="BK17" s="75"/>
      <c r="BL17" s="75"/>
      <c r="BM17" s="169"/>
      <c r="BN17" s="169"/>
      <c r="BO17" s="169"/>
      <c r="BP17" s="169"/>
      <c r="BQ17" s="169"/>
    </row>
    <row r="18" spans="1:69" ht="12.75">
      <c r="A18" s="184" t="s">
        <v>53</v>
      </c>
      <c r="B18" s="154">
        <v>2679.2</v>
      </c>
      <c r="C18" s="134">
        <f t="shared" si="0"/>
        <v>22907.16</v>
      </c>
      <c r="D18" s="108">
        <v>411.978</v>
      </c>
      <c r="E18" s="218"/>
      <c r="F18" s="218"/>
      <c r="G18" s="218">
        <v>14064.7</v>
      </c>
      <c r="H18" s="218"/>
      <c r="I18" s="218"/>
      <c r="J18" s="218"/>
      <c r="K18" s="218"/>
      <c r="L18" s="218"/>
      <c r="M18" s="218">
        <v>6829.56</v>
      </c>
      <c r="N18" s="218"/>
      <c r="O18" s="218">
        <v>2368.35</v>
      </c>
      <c r="P18" s="218"/>
      <c r="Q18" s="218"/>
      <c r="R18" s="218"/>
      <c r="S18" s="219">
        <v>300</v>
      </c>
      <c r="T18" s="226"/>
      <c r="U18" s="226">
        <f t="shared" si="1"/>
        <v>23562.61</v>
      </c>
      <c r="V18" s="227">
        <f t="shared" si="1"/>
        <v>0</v>
      </c>
      <c r="W18" s="218">
        <v>227.03</v>
      </c>
      <c r="X18" s="218">
        <v>13613.7</v>
      </c>
      <c r="Y18" s="218">
        <v>307.77</v>
      </c>
      <c r="Z18" s="218">
        <v>512.1</v>
      </c>
      <c r="AA18" s="218">
        <v>7352.88</v>
      </c>
      <c r="AB18" s="218">
        <v>2474.53</v>
      </c>
      <c r="AC18" s="218"/>
      <c r="AD18" s="218"/>
      <c r="AE18" s="219"/>
      <c r="AF18" s="216">
        <f t="shared" si="17"/>
        <v>24488.010000000002</v>
      </c>
      <c r="AG18" s="223">
        <f t="shared" si="16"/>
        <v>24899.988</v>
      </c>
      <c r="AH18" s="200">
        <f t="shared" si="2"/>
        <v>0</v>
      </c>
      <c r="AI18" s="200">
        <f t="shared" si="2"/>
        <v>0</v>
      </c>
      <c r="AJ18" s="201">
        <f>'[10]Т09'!$J$75+'[10]Т09'!$J$189</f>
        <v>1095.612</v>
      </c>
      <c r="AK18" s="162">
        <f>0.67*B18</f>
        <v>1795.064</v>
      </c>
      <c r="AL18" s="162">
        <f>B18*0.2</f>
        <v>535.84</v>
      </c>
      <c r="AM18" s="162">
        <f t="shared" si="5"/>
        <v>2679.2</v>
      </c>
      <c r="AN18" s="162">
        <f t="shared" si="6"/>
        <v>562.632</v>
      </c>
      <c r="AO18" s="162">
        <f t="shared" si="7"/>
        <v>5411.9839999999995</v>
      </c>
      <c r="AP18" s="162">
        <f t="shared" si="8"/>
        <v>2759.576</v>
      </c>
      <c r="AQ18" s="162">
        <f t="shared" si="9"/>
        <v>2009.3999999999999</v>
      </c>
      <c r="AR18" s="162">
        <f t="shared" si="10"/>
        <v>2009.3999999999999</v>
      </c>
      <c r="AS18" s="162"/>
      <c r="AT18" s="203">
        <f t="shared" si="15"/>
        <v>204.3</v>
      </c>
      <c r="AU18" s="202"/>
      <c r="AV18" s="202"/>
      <c r="AW18" s="202">
        <v>373</v>
      </c>
      <c r="AX18" s="202"/>
      <c r="AY18" s="202"/>
      <c r="AZ18" s="123"/>
      <c r="BA18" s="203"/>
      <c r="BB18" s="203"/>
      <c r="BC18" s="155">
        <f t="shared" si="11"/>
        <v>18340.395999999997</v>
      </c>
      <c r="BD18" s="204">
        <f>'[10]Т08'!$S$75+'[10]Т08'!$S$189</f>
        <v>735.654</v>
      </c>
      <c r="BE18" s="279">
        <f t="shared" si="12"/>
        <v>19076.049999999996</v>
      </c>
      <c r="BF18" s="279">
        <f t="shared" si="13"/>
        <v>6919.550000000007</v>
      </c>
      <c r="BG18" s="280">
        <f t="shared" si="14"/>
        <v>925.4000000000015</v>
      </c>
      <c r="BH18" s="171"/>
      <c r="BI18" s="275"/>
      <c r="BJ18" s="171"/>
      <c r="BK18" s="75"/>
      <c r="BL18" s="75"/>
      <c r="BM18" s="169"/>
      <c r="BN18" s="169"/>
      <c r="BO18" s="169"/>
      <c r="BP18" s="169"/>
      <c r="BQ18" s="169"/>
    </row>
    <row r="19" spans="1:69" ht="12.75">
      <c r="A19" s="184" t="s">
        <v>41</v>
      </c>
      <c r="B19" s="154">
        <v>2679.2</v>
      </c>
      <c r="C19" s="134">
        <f t="shared" si="0"/>
        <v>22907.16</v>
      </c>
      <c r="D19" s="228">
        <v>385.968</v>
      </c>
      <c r="E19" s="209"/>
      <c r="F19" s="209"/>
      <c r="G19" s="209">
        <v>14064.7</v>
      </c>
      <c r="H19" s="209"/>
      <c r="I19" s="209"/>
      <c r="J19" s="209"/>
      <c r="K19" s="209"/>
      <c r="L19" s="209"/>
      <c r="M19" s="209">
        <v>6829.55</v>
      </c>
      <c r="N19" s="209"/>
      <c r="O19" s="209">
        <v>2368.34</v>
      </c>
      <c r="P19" s="209"/>
      <c r="Q19" s="209"/>
      <c r="R19" s="209"/>
      <c r="S19" s="215">
        <v>300</v>
      </c>
      <c r="T19" s="229"/>
      <c r="U19" s="230">
        <f t="shared" si="1"/>
        <v>23562.59</v>
      </c>
      <c r="V19" s="231">
        <f t="shared" si="1"/>
        <v>0</v>
      </c>
      <c r="W19" s="209">
        <v>0</v>
      </c>
      <c r="X19" s="209">
        <v>10985.57</v>
      </c>
      <c r="Y19" s="209">
        <v>0</v>
      </c>
      <c r="Z19" s="209">
        <v>0</v>
      </c>
      <c r="AA19" s="209">
        <v>5338.23</v>
      </c>
      <c r="AB19" s="209">
        <v>1856.32</v>
      </c>
      <c r="AC19" s="209"/>
      <c r="AD19" s="209"/>
      <c r="AE19" s="215"/>
      <c r="AF19" s="216">
        <f t="shared" si="17"/>
        <v>18180.12</v>
      </c>
      <c r="AG19" s="223">
        <f t="shared" si="16"/>
        <v>18566.088</v>
      </c>
      <c r="AH19" s="200">
        <f t="shared" si="2"/>
        <v>0</v>
      </c>
      <c r="AI19" s="200">
        <f t="shared" si="2"/>
        <v>0</v>
      </c>
      <c r="AJ19" s="201">
        <f>'[12]Т10'!$J$75+'[12]Т10'!$J$189</f>
        <v>1095.612</v>
      </c>
      <c r="AK19" s="162">
        <f>0.67*B19</f>
        <v>1795.064</v>
      </c>
      <c r="AL19" s="162">
        <f>B19*0.2</f>
        <v>535.84</v>
      </c>
      <c r="AM19" s="162">
        <f t="shared" si="5"/>
        <v>2679.2</v>
      </c>
      <c r="AN19" s="162">
        <f t="shared" si="6"/>
        <v>562.632</v>
      </c>
      <c r="AO19" s="162">
        <f t="shared" si="7"/>
        <v>5411.9839999999995</v>
      </c>
      <c r="AP19" s="162">
        <f t="shared" si="8"/>
        <v>2759.576</v>
      </c>
      <c r="AQ19" s="162">
        <f t="shared" si="9"/>
        <v>2009.3999999999999</v>
      </c>
      <c r="AR19" s="162">
        <f t="shared" si="10"/>
        <v>2009.3999999999999</v>
      </c>
      <c r="AS19" s="232">
        <f>B19*1.15</f>
        <v>3081.0799999999995</v>
      </c>
      <c r="AT19" s="203">
        <f t="shared" si="15"/>
        <v>204.3</v>
      </c>
      <c r="AU19" s="202">
        <v>8937</v>
      </c>
      <c r="AV19" s="202"/>
      <c r="AW19" s="202"/>
      <c r="AX19" s="202">
        <f>8+42+18+300+36.4+27+266.5+294</f>
        <v>991.9</v>
      </c>
      <c r="AY19" s="202"/>
      <c r="AZ19" s="123"/>
      <c r="BA19" s="203"/>
      <c r="BB19" s="203"/>
      <c r="BC19" s="155">
        <f t="shared" si="11"/>
        <v>30977.375999999997</v>
      </c>
      <c r="BD19" s="204">
        <f>'[10]Т10'!$S$75+'[10]Т10'!$S$189</f>
        <v>735.654</v>
      </c>
      <c r="BE19" s="279">
        <f t="shared" si="12"/>
        <v>31713.029999999995</v>
      </c>
      <c r="BF19" s="279">
        <f t="shared" si="13"/>
        <v>-12051.329999999994</v>
      </c>
      <c r="BG19" s="280">
        <f t="shared" si="14"/>
        <v>-5382.470000000001</v>
      </c>
      <c r="BH19" s="171"/>
      <c r="BI19" s="275"/>
      <c r="BJ19" s="171"/>
      <c r="BK19" s="75"/>
      <c r="BL19" s="75"/>
      <c r="BM19" s="169"/>
      <c r="BN19" s="169"/>
      <c r="BO19" s="169"/>
      <c r="BP19" s="169"/>
      <c r="BQ19" s="169"/>
    </row>
    <row r="20" spans="1:69" ht="12.75">
      <c r="A20" s="184" t="s">
        <v>42</v>
      </c>
      <c r="B20" s="154">
        <v>2679.2</v>
      </c>
      <c r="C20" s="134">
        <f t="shared" si="0"/>
        <v>22907.16</v>
      </c>
      <c r="D20" s="228">
        <v>385.968</v>
      </c>
      <c r="E20" s="209"/>
      <c r="F20" s="209"/>
      <c r="G20" s="209">
        <v>14068.48</v>
      </c>
      <c r="H20" s="209"/>
      <c r="I20" s="209"/>
      <c r="J20" s="209"/>
      <c r="K20" s="209"/>
      <c r="L20" s="209"/>
      <c r="M20" s="209">
        <v>6831.42</v>
      </c>
      <c r="N20" s="209"/>
      <c r="O20" s="209">
        <v>2369.01</v>
      </c>
      <c r="P20" s="209"/>
      <c r="Q20" s="209"/>
      <c r="R20" s="209"/>
      <c r="S20" s="215">
        <v>300</v>
      </c>
      <c r="T20" s="229"/>
      <c r="U20" s="230">
        <f t="shared" si="1"/>
        <v>23568.910000000003</v>
      </c>
      <c r="V20" s="231">
        <f t="shared" si="1"/>
        <v>0</v>
      </c>
      <c r="W20" s="209">
        <v>0</v>
      </c>
      <c r="X20" s="209">
        <v>15187.39</v>
      </c>
      <c r="Y20" s="209">
        <v>0</v>
      </c>
      <c r="Z20" s="209">
        <v>0</v>
      </c>
      <c r="AA20" s="209">
        <v>7370.65</v>
      </c>
      <c r="AB20" s="209">
        <v>2550.82</v>
      </c>
      <c r="AC20" s="209"/>
      <c r="AD20" s="209"/>
      <c r="AE20" s="215">
        <v>95.16</v>
      </c>
      <c r="AF20" s="216">
        <f t="shared" si="17"/>
        <v>25204.02</v>
      </c>
      <c r="AG20" s="223">
        <f t="shared" si="16"/>
        <v>25589.988</v>
      </c>
      <c r="AH20" s="200">
        <f t="shared" si="2"/>
        <v>0</v>
      </c>
      <c r="AI20" s="200">
        <f t="shared" si="2"/>
        <v>0</v>
      </c>
      <c r="AJ20" s="201">
        <f>'[10]Т11'!$J$75+'[10]Т11'!$J$189</f>
        <v>1095.612</v>
      </c>
      <c r="AK20" s="162">
        <f>0.67*B20</f>
        <v>1795.064</v>
      </c>
      <c r="AL20" s="162">
        <f>B20*0.2</f>
        <v>535.84</v>
      </c>
      <c r="AM20" s="162">
        <f t="shared" si="5"/>
        <v>2679.2</v>
      </c>
      <c r="AN20" s="162">
        <f t="shared" si="6"/>
        <v>562.632</v>
      </c>
      <c r="AO20" s="162">
        <f t="shared" si="7"/>
        <v>5411.9839999999995</v>
      </c>
      <c r="AP20" s="162">
        <f t="shared" si="8"/>
        <v>2759.576</v>
      </c>
      <c r="AQ20" s="162">
        <f t="shared" si="9"/>
        <v>2009.3999999999999</v>
      </c>
      <c r="AR20" s="162">
        <f t="shared" si="10"/>
        <v>2009.3999999999999</v>
      </c>
      <c r="AS20" s="232">
        <f>B20*1.15</f>
        <v>3081.0799999999995</v>
      </c>
      <c r="AT20" s="203">
        <f t="shared" si="15"/>
        <v>204.3</v>
      </c>
      <c r="AU20" s="202">
        <v>7156</v>
      </c>
      <c r="AV20" s="202"/>
      <c r="AW20" s="202"/>
      <c r="AX20" s="202">
        <f>136+24+697+903</f>
        <v>1760</v>
      </c>
      <c r="AY20" s="202"/>
      <c r="AZ20" s="123"/>
      <c r="BA20" s="203"/>
      <c r="BB20" s="203"/>
      <c r="BC20" s="155">
        <f t="shared" si="11"/>
        <v>29964.475999999995</v>
      </c>
      <c r="BD20" s="204">
        <f>'[10]Т11'!$S$75+'[10]Т11'!$S$189</f>
        <v>735.654</v>
      </c>
      <c r="BE20" s="279">
        <f t="shared" si="12"/>
        <v>30700.129999999994</v>
      </c>
      <c r="BF20" s="279">
        <f t="shared" si="13"/>
        <v>-4014.5299999999916</v>
      </c>
      <c r="BG20" s="280">
        <f t="shared" si="14"/>
        <v>1635.109999999997</v>
      </c>
      <c r="BH20" s="171"/>
      <c r="BI20" s="275"/>
      <c r="BJ20" s="171"/>
      <c r="BK20" s="75"/>
      <c r="BL20" s="75"/>
      <c r="BM20" s="169"/>
      <c r="BN20" s="169"/>
      <c r="BO20" s="169"/>
      <c r="BP20" s="169"/>
      <c r="BQ20" s="169"/>
    </row>
    <row r="21" spans="1:69" ht="13.5" thickBot="1">
      <c r="A21" s="184" t="s">
        <v>43</v>
      </c>
      <c r="B21" s="154">
        <v>2679.2</v>
      </c>
      <c r="C21" s="134">
        <f t="shared" si="0"/>
        <v>22907.16</v>
      </c>
      <c r="D21" s="228">
        <v>385.968</v>
      </c>
      <c r="E21" s="233"/>
      <c r="F21" s="233"/>
      <c r="G21" s="233">
        <v>14067.72</v>
      </c>
      <c r="H21" s="233"/>
      <c r="I21" s="233"/>
      <c r="J21" s="233"/>
      <c r="K21" s="233"/>
      <c r="L21" s="233"/>
      <c r="M21" s="233">
        <v>6831.05</v>
      </c>
      <c r="N21" s="233"/>
      <c r="O21" s="233">
        <v>2368.88</v>
      </c>
      <c r="P21" s="233"/>
      <c r="Q21" s="233"/>
      <c r="R21" s="233"/>
      <c r="S21" s="234">
        <v>300</v>
      </c>
      <c r="T21" s="235"/>
      <c r="U21" s="230">
        <f t="shared" si="1"/>
        <v>23567.65</v>
      </c>
      <c r="V21" s="231">
        <f t="shared" si="1"/>
        <v>0</v>
      </c>
      <c r="W21" s="209">
        <v>0</v>
      </c>
      <c r="X21" s="209">
        <v>15115.81</v>
      </c>
      <c r="Y21" s="209">
        <v>0</v>
      </c>
      <c r="Z21" s="209">
        <v>0</v>
      </c>
      <c r="AA21" s="209">
        <v>10339.77</v>
      </c>
      <c r="AB21" s="209">
        <v>2545.1</v>
      </c>
      <c r="AC21" s="209"/>
      <c r="AD21" s="209"/>
      <c r="AE21" s="215">
        <v>194.19</v>
      </c>
      <c r="AF21" s="216">
        <f t="shared" si="17"/>
        <v>28194.87</v>
      </c>
      <c r="AG21" s="223">
        <f t="shared" si="16"/>
        <v>28580.838</v>
      </c>
      <c r="AH21" s="200">
        <f t="shared" si="2"/>
        <v>0</v>
      </c>
      <c r="AI21" s="200">
        <f t="shared" si="2"/>
        <v>0</v>
      </c>
      <c r="AJ21" s="201">
        <f>'[10]Т12'!$J$75+'[10]Т12'!$J$209</f>
        <v>1095.612</v>
      </c>
      <c r="AK21" s="162">
        <f>0.67*B21</f>
        <v>1795.064</v>
      </c>
      <c r="AL21" s="162">
        <f>B21*0.2</f>
        <v>535.84</v>
      </c>
      <c r="AM21" s="162">
        <f t="shared" si="5"/>
        <v>2679.2</v>
      </c>
      <c r="AN21" s="162">
        <f t="shared" si="6"/>
        <v>562.632</v>
      </c>
      <c r="AO21" s="162">
        <f t="shared" si="7"/>
        <v>5411.9839999999995</v>
      </c>
      <c r="AP21" s="162">
        <f t="shared" si="8"/>
        <v>2759.576</v>
      </c>
      <c r="AQ21" s="162">
        <f t="shared" si="9"/>
        <v>2009.3999999999999</v>
      </c>
      <c r="AR21" s="162">
        <f t="shared" si="10"/>
        <v>2009.3999999999999</v>
      </c>
      <c r="AS21" s="232">
        <f>B21*1.15</f>
        <v>3081.0799999999995</v>
      </c>
      <c r="AT21" s="203">
        <f t="shared" si="15"/>
        <v>204.3</v>
      </c>
      <c r="AU21" s="202"/>
      <c r="AV21" s="202">
        <v>455</v>
      </c>
      <c r="AW21" s="202"/>
      <c r="AX21" s="202">
        <v>1156</v>
      </c>
      <c r="AY21" s="202"/>
      <c r="AZ21" s="123"/>
      <c r="BA21" s="203"/>
      <c r="BB21" s="203"/>
      <c r="BC21" s="155">
        <f t="shared" si="11"/>
        <v>22659.475999999995</v>
      </c>
      <c r="BD21" s="204">
        <f>'[10]Т12'!$S$75+'[10]Т12'!$S$209</f>
        <v>735.654</v>
      </c>
      <c r="BE21" s="279">
        <f t="shared" si="12"/>
        <v>23395.129999999994</v>
      </c>
      <c r="BF21" s="279">
        <f t="shared" si="13"/>
        <v>6281.320000000007</v>
      </c>
      <c r="BG21" s="280">
        <f t="shared" si="14"/>
        <v>4627.2199999999975</v>
      </c>
      <c r="BH21" s="171"/>
      <c r="BI21" s="275"/>
      <c r="BJ21" s="171"/>
      <c r="BK21" s="75"/>
      <c r="BL21" s="75"/>
      <c r="BM21" s="169"/>
      <c r="BN21" s="169"/>
      <c r="BO21" s="169"/>
      <c r="BP21" s="169"/>
      <c r="BQ21" s="169"/>
    </row>
    <row r="22" spans="1:61" s="20" customFormat="1" ht="13.5" thickBot="1">
      <c r="A22" s="236" t="s">
        <v>5</v>
      </c>
      <c r="B22" s="237"/>
      <c r="C22" s="238">
        <f aca="true" t="shared" si="18" ref="C22:BF22">SUM(C10:C21)</f>
        <v>274885.92</v>
      </c>
      <c r="D22" s="238">
        <f t="shared" si="18"/>
        <v>4865.706</v>
      </c>
      <c r="E22" s="238">
        <f t="shared" si="18"/>
        <v>0.1399999999999999</v>
      </c>
      <c r="F22" s="238">
        <f t="shared" si="18"/>
        <v>0</v>
      </c>
      <c r="G22" s="238">
        <f t="shared" si="18"/>
        <v>167085.73</v>
      </c>
      <c r="H22" s="238">
        <f t="shared" si="18"/>
        <v>0</v>
      </c>
      <c r="I22" s="238">
        <f t="shared" si="18"/>
        <v>-0.009999999999999787</v>
      </c>
      <c r="J22" s="238">
        <f t="shared" si="18"/>
        <v>0</v>
      </c>
      <c r="K22" s="238">
        <f t="shared" si="18"/>
        <v>0.07000000000000028</v>
      </c>
      <c r="L22" s="238">
        <f t="shared" si="18"/>
        <v>0</v>
      </c>
      <c r="M22" s="238">
        <f t="shared" si="18"/>
        <v>81134.11</v>
      </c>
      <c r="N22" s="238">
        <f t="shared" si="18"/>
        <v>0</v>
      </c>
      <c r="O22" s="238">
        <f t="shared" si="18"/>
        <v>29635.460000000003</v>
      </c>
      <c r="P22" s="238">
        <f t="shared" si="18"/>
        <v>0</v>
      </c>
      <c r="Q22" s="238">
        <f t="shared" si="18"/>
        <v>0</v>
      </c>
      <c r="R22" s="238">
        <f t="shared" si="18"/>
        <v>0</v>
      </c>
      <c r="S22" s="238">
        <f t="shared" si="18"/>
        <v>3600</v>
      </c>
      <c r="T22" s="238">
        <f t="shared" si="18"/>
        <v>0</v>
      </c>
      <c r="U22" s="238">
        <f t="shared" si="18"/>
        <v>281455.5</v>
      </c>
      <c r="V22" s="238">
        <f t="shared" si="18"/>
        <v>0</v>
      </c>
      <c r="W22" s="238">
        <f t="shared" si="18"/>
        <v>3553.3700000000003</v>
      </c>
      <c r="X22" s="238">
        <f t="shared" si="18"/>
        <v>139232.93</v>
      </c>
      <c r="Y22" s="238">
        <f t="shared" si="18"/>
        <v>4816.35</v>
      </c>
      <c r="Z22" s="238">
        <f t="shared" si="18"/>
        <v>8014.490000000001</v>
      </c>
      <c r="AA22" s="238">
        <f t="shared" si="18"/>
        <v>81230.65999999999</v>
      </c>
      <c r="AB22" s="238">
        <f t="shared" si="18"/>
        <v>26055.889999999996</v>
      </c>
      <c r="AC22" s="238">
        <f t="shared" si="18"/>
        <v>0</v>
      </c>
      <c r="AD22" s="238">
        <f t="shared" si="18"/>
        <v>0</v>
      </c>
      <c r="AE22" s="238">
        <f t="shared" si="18"/>
        <v>666.26</v>
      </c>
      <c r="AF22" s="238">
        <f t="shared" si="18"/>
        <v>263569.95</v>
      </c>
      <c r="AG22" s="238">
        <f t="shared" si="18"/>
        <v>268435.656</v>
      </c>
      <c r="AH22" s="238">
        <f t="shared" si="18"/>
        <v>0</v>
      </c>
      <c r="AI22" s="238">
        <f t="shared" si="18"/>
        <v>0</v>
      </c>
      <c r="AJ22" s="238">
        <f t="shared" si="18"/>
        <v>13147.344000000005</v>
      </c>
      <c r="AK22" s="238">
        <f t="shared" si="18"/>
        <v>21540.767999999996</v>
      </c>
      <c r="AL22" s="238">
        <f t="shared" si="18"/>
        <v>6430.080000000001</v>
      </c>
      <c r="AM22" s="238">
        <f t="shared" si="18"/>
        <v>32150.400000000005</v>
      </c>
      <c r="AN22" s="238">
        <f t="shared" si="18"/>
        <v>6751.583999999998</v>
      </c>
      <c r="AO22" s="238">
        <f t="shared" si="18"/>
        <v>64943.80799999998</v>
      </c>
      <c r="AP22" s="238">
        <f t="shared" si="18"/>
        <v>33114.912000000004</v>
      </c>
      <c r="AQ22" s="238">
        <f t="shared" si="18"/>
        <v>24112.800000000003</v>
      </c>
      <c r="AR22" s="238">
        <f t="shared" si="18"/>
        <v>24112.800000000003</v>
      </c>
      <c r="AS22" s="238">
        <f t="shared" si="18"/>
        <v>18486.479999999996</v>
      </c>
      <c r="AT22" s="238">
        <f t="shared" si="18"/>
        <v>4903.200000000002</v>
      </c>
      <c r="AU22" s="238">
        <f t="shared" si="18"/>
        <v>34541</v>
      </c>
      <c r="AV22" s="238">
        <f t="shared" si="18"/>
        <v>3644</v>
      </c>
      <c r="AW22" s="238">
        <f t="shared" si="18"/>
        <v>373</v>
      </c>
      <c r="AX22" s="238">
        <f t="shared" si="18"/>
        <v>10440.029999999999</v>
      </c>
      <c r="AY22" s="238">
        <f t="shared" si="18"/>
        <v>0</v>
      </c>
      <c r="AZ22" s="238">
        <f t="shared" si="18"/>
        <v>0</v>
      </c>
      <c r="BA22" s="238">
        <f t="shared" si="18"/>
        <v>-489.72</v>
      </c>
      <c r="BB22" s="238">
        <f t="shared" si="18"/>
        <v>0</v>
      </c>
      <c r="BC22" s="238">
        <f t="shared" si="18"/>
        <v>285055.142</v>
      </c>
      <c r="BD22" s="238">
        <f t="shared" si="18"/>
        <v>8827.848000000002</v>
      </c>
      <c r="BE22" s="281">
        <f t="shared" si="18"/>
        <v>293882.98999999993</v>
      </c>
      <c r="BF22" s="281">
        <f t="shared" si="18"/>
        <v>-12299.989999999929</v>
      </c>
      <c r="BG22" s="282">
        <f>SUM(BG10:BG21)</f>
        <v>-17885.549999999996</v>
      </c>
      <c r="BI22" s="74"/>
    </row>
    <row r="23" spans="1:61" s="20" customFormat="1" ht="13.5" thickBot="1">
      <c r="A23" s="239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1"/>
      <c r="BF23" s="240"/>
      <c r="BG23" s="242"/>
      <c r="BI23" s="74"/>
    </row>
    <row r="24" spans="1:59" s="20" customFormat="1" ht="13.5" thickBot="1">
      <c r="A24" s="22" t="s">
        <v>54</v>
      </c>
      <c r="B24" s="240"/>
      <c r="C24" s="243">
        <f aca="true" t="shared" si="19" ref="C24:BG24">C22+C8</f>
        <v>900571.5599999998</v>
      </c>
      <c r="D24" s="243">
        <f t="shared" si="19"/>
        <v>158615.7145182</v>
      </c>
      <c r="E24" s="243">
        <f t="shared" si="19"/>
        <v>53104.19</v>
      </c>
      <c r="F24" s="243">
        <f t="shared" si="19"/>
        <v>10246.410000000002</v>
      </c>
      <c r="G24" s="243">
        <f t="shared" si="19"/>
        <v>167085.73</v>
      </c>
      <c r="H24" s="243">
        <f t="shared" si="19"/>
        <v>0</v>
      </c>
      <c r="I24" s="243">
        <f t="shared" si="19"/>
        <v>71872.37000000001</v>
      </c>
      <c r="J24" s="243">
        <f t="shared" si="19"/>
        <v>13871.65</v>
      </c>
      <c r="K24" s="243">
        <f t="shared" si="19"/>
        <v>119762.93000000001</v>
      </c>
      <c r="L24" s="243">
        <f t="shared" si="19"/>
        <v>23093.06</v>
      </c>
      <c r="M24" s="243">
        <f t="shared" si="19"/>
        <v>253841.89</v>
      </c>
      <c r="N24" s="243">
        <f t="shared" si="19"/>
        <v>33394.880000000005</v>
      </c>
      <c r="O24" s="243">
        <f t="shared" si="19"/>
        <v>72115.78</v>
      </c>
      <c r="P24" s="243">
        <f t="shared" si="19"/>
        <v>8196.92</v>
      </c>
      <c r="Q24" s="243">
        <f t="shared" si="19"/>
        <v>0</v>
      </c>
      <c r="R24" s="243">
        <f t="shared" si="19"/>
        <v>0</v>
      </c>
      <c r="S24" s="243">
        <f t="shared" si="19"/>
        <v>3600</v>
      </c>
      <c r="T24" s="243">
        <f t="shared" si="19"/>
        <v>0</v>
      </c>
      <c r="U24" s="243">
        <f t="shared" si="19"/>
        <v>741382.89</v>
      </c>
      <c r="V24" s="243">
        <f t="shared" si="19"/>
        <v>88802.91999999998</v>
      </c>
      <c r="W24" s="243">
        <f t="shared" si="19"/>
        <v>52617.47</v>
      </c>
      <c r="X24" s="243">
        <f t="shared" si="19"/>
        <v>139232.93</v>
      </c>
      <c r="Y24" s="243">
        <f t="shared" si="19"/>
        <v>71217.91</v>
      </c>
      <c r="Z24" s="243">
        <f t="shared" si="19"/>
        <v>118048.15999999999</v>
      </c>
      <c r="AA24" s="243">
        <f t="shared" si="19"/>
        <v>240799.43</v>
      </c>
      <c r="AB24" s="243">
        <f t="shared" si="19"/>
        <v>65313.75</v>
      </c>
      <c r="AC24" s="243">
        <f t="shared" si="19"/>
        <v>0</v>
      </c>
      <c r="AD24" s="243">
        <f t="shared" si="19"/>
        <v>0</v>
      </c>
      <c r="AE24" s="243">
        <f t="shared" si="19"/>
        <v>666.26</v>
      </c>
      <c r="AF24" s="243">
        <f t="shared" si="19"/>
        <v>687895.91</v>
      </c>
      <c r="AG24" s="243">
        <f t="shared" si="19"/>
        <v>935314.5445182</v>
      </c>
      <c r="AH24" s="243">
        <f t="shared" si="19"/>
        <v>0</v>
      </c>
      <c r="AI24" s="243">
        <f t="shared" si="19"/>
        <v>0</v>
      </c>
      <c r="AJ24" s="243">
        <f t="shared" si="19"/>
        <v>31275.793360000003</v>
      </c>
      <c r="AK24" s="243">
        <f t="shared" si="19"/>
        <v>64298.016</v>
      </c>
      <c r="AL24" s="243">
        <f t="shared" si="19"/>
        <v>20757.241308000004</v>
      </c>
      <c r="AM24" s="243">
        <f t="shared" si="19"/>
        <v>103126.37734346002</v>
      </c>
      <c r="AN24" s="243">
        <f t="shared" si="19"/>
        <v>6751.583999999998</v>
      </c>
      <c r="AO24" s="243">
        <f t="shared" si="19"/>
        <v>135739.13749110798</v>
      </c>
      <c r="AP24" s="243">
        <f t="shared" si="19"/>
        <v>191489.8308862816</v>
      </c>
      <c r="AQ24" s="243">
        <f t="shared" si="19"/>
        <v>24112.800000000003</v>
      </c>
      <c r="AR24" s="243">
        <f t="shared" si="19"/>
        <v>24112.800000000003</v>
      </c>
      <c r="AS24" s="243">
        <f t="shared" si="19"/>
        <v>18486.479999999996</v>
      </c>
      <c r="AT24" s="243">
        <f t="shared" si="19"/>
        <v>9257.187600000001</v>
      </c>
      <c r="AU24" s="243">
        <f t="shared" si="19"/>
        <v>337396.6126</v>
      </c>
      <c r="AV24" s="243">
        <f t="shared" si="19"/>
        <v>3644</v>
      </c>
      <c r="AW24" s="243">
        <f t="shared" si="19"/>
        <v>101286.25</v>
      </c>
      <c r="AX24" s="243">
        <f t="shared" si="19"/>
        <v>23003.5154</v>
      </c>
      <c r="AY24" s="243">
        <f t="shared" si="19"/>
        <v>17726.833599999998</v>
      </c>
      <c r="AZ24" s="243">
        <f t="shared" si="19"/>
        <v>0</v>
      </c>
      <c r="BA24" s="243">
        <f t="shared" si="19"/>
        <v>-489.72</v>
      </c>
      <c r="BB24" s="243">
        <f t="shared" si="19"/>
        <v>0</v>
      </c>
      <c r="BC24" s="243">
        <f t="shared" si="19"/>
        <v>1080698.9462288495</v>
      </c>
      <c r="BD24" s="243">
        <f t="shared" si="19"/>
        <v>16222.991084000001</v>
      </c>
      <c r="BE24" s="243">
        <f t="shared" si="19"/>
        <v>1096921.9373128493</v>
      </c>
      <c r="BF24" s="243">
        <f t="shared" si="19"/>
        <v>-130331.59943464951</v>
      </c>
      <c r="BG24" s="244">
        <f t="shared" si="19"/>
        <v>-53486.98</v>
      </c>
    </row>
    <row r="25" spans="1:59" ht="12.75">
      <c r="A25" s="5" t="s">
        <v>124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62">
        <f>'[7]Лист1'!AB60</f>
        <v>0</v>
      </c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292"/>
      <c r="AZ25" s="292"/>
      <c r="BA25" s="181"/>
      <c r="BB25" s="181"/>
      <c r="BC25" s="181"/>
      <c r="BD25" s="181"/>
      <c r="BE25" s="182"/>
      <c r="BF25" s="180"/>
      <c r="BG25" s="183"/>
    </row>
    <row r="26" spans="1:70" ht="12.75">
      <c r="A26" s="184" t="s">
        <v>45</v>
      </c>
      <c r="B26" s="154">
        <v>2679.2</v>
      </c>
      <c r="C26" s="134">
        <f aca="true" t="shared" si="20" ref="C26:C31">B26*8.55</f>
        <v>22907.16</v>
      </c>
      <c r="D26" s="283">
        <v>385.9680000000001</v>
      </c>
      <c r="E26" s="209"/>
      <c r="F26" s="209"/>
      <c r="G26" s="209">
        <v>14067.72</v>
      </c>
      <c r="H26" s="209"/>
      <c r="I26" s="209"/>
      <c r="J26" s="209"/>
      <c r="K26" s="209"/>
      <c r="L26" s="209"/>
      <c r="M26" s="209">
        <v>6831.05</v>
      </c>
      <c r="N26" s="209"/>
      <c r="O26" s="209">
        <v>2368.88</v>
      </c>
      <c r="P26" s="209"/>
      <c r="Q26" s="209"/>
      <c r="R26" s="209"/>
      <c r="S26" s="215">
        <v>450</v>
      </c>
      <c r="T26" s="235"/>
      <c r="U26" s="230">
        <f aca="true" t="shared" si="21" ref="U26:V31">E26+G26+I26+K26+M26+O26+Q26+S26</f>
        <v>23717.65</v>
      </c>
      <c r="V26" s="231">
        <f t="shared" si="21"/>
        <v>0</v>
      </c>
      <c r="W26" s="209">
        <v>0</v>
      </c>
      <c r="X26" s="209">
        <v>12804.06</v>
      </c>
      <c r="Y26" s="209">
        <v>0</v>
      </c>
      <c r="Z26" s="209">
        <v>0</v>
      </c>
      <c r="AA26" s="209">
        <v>6217.66</v>
      </c>
      <c r="AB26" s="209">
        <v>4156.29</v>
      </c>
      <c r="AC26" s="209"/>
      <c r="AD26" s="209"/>
      <c r="AE26" s="215">
        <v>832.11</v>
      </c>
      <c r="AF26" s="216">
        <f aca="true" t="shared" si="22" ref="AF26:AF31">SUM(W26:AE26)</f>
        <v>24010.120000000003</v>
      </c>
      <c r="AG26" s="223">
        <f aca="true" t="shared" si="23" ref="AG26:AG37">D26+V26+AF26</f>
        <v>24396.088000000003</v>
      </c>
      <c r="AH26" s="200">
        <f aca="true" t="shared" si="24" ref="AH26:AI37">AC26</f>
        <v>0</v>
      </c>
      <c r="AI26" s="200">
        <f t="shared" si="24"/>
        <v>0</v>
      </c>
      <c r="AJ26" s="201">
        <f>'[14]Т01'!$J$50+'[14]Т01'!$J$211</f>
        <v>1370.0700000000002</v>
      </c>
      <c r="AK26" s="162">
        <f aca="true" t="shared" si="25" ref="AK26:AK31">0.67*B26</f>
        <v>1795.064</v>
      </c>
      <c r="AL26" s="162">
        <f aca="true" t="shared" si="26" ref="AL26:AL37">B26*0.2</f>
        <v>535.84</v>
      </c>
      <c r="AM26" s="162">
        <f aca="true" t="shared" si="27" ref="AM26:AM37">B26*1</f>
        <v>2679.2</v>
      </c>
      <c r="AN26" s="162">
        <f aca="true" t="shared" si="28" ref="AN26:AN37">B26*0.21</f>
        <v>562.632</v>
      </c>
      <c r="AO26" s="162">
        <f aca="true" t="shared" si="29" ref="AO26:AO37">2.02*B26</f>
        <v>5411.9839999999995</v>
      </c>
      <c r="AP26" s="162">
        <f aca="true" t="shared" si="30" ref="AP26:AP37">B26*1.03</f>
        <v>2759.576</v>
      </c>
      <c r="AQ26" s="162">
        <f aca="true" t="shared" si="31" ref="AQ26:AQ37">B26*0.75</f>
        <v>2009.3999999999999</v>
      </c>
      <c r="AR26" s="162">
        <f aca="true" t="shared" si="32" ref="AR26:AR37">B26*0.75</f>
        <v>2009.3999999999999</v>
      </c>
      <c r="AS26" s="232">
        <f>B26*1.15</f>
        <v>3081.0799999999995</v>
      </c>
      <c r="AT26" s="203">
        <f aca="true" t="shared" si="33" ref="AT26:AT37">0.45*454</f>
        <v>204.3</v>
      </c>
      <c r="AU26" s="202"/>
      <c r="AV26" s="202"/>
      <c r="AW26" s="202"/>
      <c r="AX26" s="202"/>
      <c r="AY26" s="293"/>
      <c r="AZ26" s="293"/>
      <c r="BA26" s="123"/>
      <c r="BB26" s="203"/>
      <c r="BC26" s="217">
        <f aca="true" t="shared" si="34" ref="BC26:BC37">SUM(AK26:BB26)</f>
        <v>21048.475999999995</v>
      </c>
      <c r="BD26" s="204">
        <f>'[14]Т01'!$S$50+'[14]Т01'!$S$211</f>
        <v>735.654</v>
      </c>
      <c r="BE26" s="279">
        <f>BC26+BD26</f>
        <v>21784.129999999994</v>
      </c>
      <c r="BF26" s="279">
        <f>AG26+AJ26-BE26</f>
        <v>3982.0280000000093</v>
      </c>
      <c r="BG26" s="280">
        <f>AF26-U26</f>
        <v>292.47000000000116</v>
      </c>
      <c r="BH26" s="171"/>
      <c r="BI26" s="275"/>
      <c r="BJ26" s="171"/>
      <c r="BK26" s="171"/>
      <c r="BL26" s="75"/>
      <c r="BM26" s="75"/>
      <c r="BN26" s="193"/>
      <c r="BO26" s="75"/>
      <c r="BP26" s="193"/>
      <c r="BQ26" s="75"/>
      <c r="BR26" s="193"/>
    </row>
    <row r="27" spans="1:69" ht="12.75">
      <c r="A27" s="184" t="s">
        <v>46</v>
      </c>
      <c r="B27" s="154">
        <v>2679.2</v>
      </c>
      <c r="C27" s="134">
        <f t="shared" si="20"/>
        <v>22907.16</v>
      </c>
      <c r="D27" s="283">
        <v>385.9680000000001</v>
      </c>
      <c r="E27" s="218"/>
      <c r="F27" s="218"/>
      <c r="G27" s="218">
        <v>14057.35</v>
      </c>
      <c r="H27" s="218"/>
      <c r="I27" s="218"/>
      <c r="J27" s="218"/>
      <c r="K27" s="218"/>
      <c r="L27" s="218"/>
      <c r="M27" s="218">
        <v>6825.95</v>
      </c>
      <c r="N27" s="218"/>
      <c r="O27" s="218">
        <v>2367.06</v>
      </c>
      <c r="P27" s="218"/>
      <c r="Q27" s="218"/>
      <c r="R27" s="218"/>
      <c r="S27" s="219">
        <v>450</v>
      </c>
      <c r="T27" s="235"/>
      <c r="U27" s="230">
        <f t="shared" si="21"/>
        <v>23700.36</v>
      </c>
      <c r="V27" s="231">
        <f t="shared" si="21"/>
        <v>0</v>
      </c>
      <c r="W27" s="218">
        <v>0</v>
      </c>
      <c r="X27" s="218">
        <v>11712.06</v>
      </c>
      <c r="Y27" s="218">
        <v>0</v>
      </c>
      <c r="Z27" s="218">
        <v>0</v>
      </c>
      <c r="AA27" s="218">
        <v>5687.16</v>
      </c>
      <c r="AB27" s="218">
        <v>1972.31</v>
      </c>
      <c r="AC27" s="218"/>
      <c r="AD27" s="218"/>
      <c r="AE27" s="219">
        <v>214.21</v>
      </c>
      <c r="AF27" s="216">
        <f t="shared" si="22"/>
        <v>19585.74</v>
      </c>
      <c r="AG27" s="223">
        <f t="shared" si="23"/>
        <v>19971.708000000002</v>
      </c>
      <c r="AH27" s="200">
        <f t="shared" si="24"/>
        <v>0</v>
      </c>
      <c r="AI27" s="200">
        <f t="shared" si="24"/>
        <v>0</v>
      </c>
      <c r="AJ27" s="201">
        <f>'[14]Т01'!$J$50+'[14]Т01'!$J$211</f>
        <v>1370.0700000000002</v>
      </c>
      <c r="AK27" s="157">
        <f t="shared" si="25"/>
        <v>1795.064</v>
      </c>
      <c r="AL27" s="162">
        <f t="shared" si="26"/>
        <v>535.84</v>
      </c>
      <c r="AM27" s="162">
        <f t="shared" si="27"/>
        <v>2679.2</v>
      </c>
      <c r="AN27" s="162">
        <f t="shared" si="28"/>
        <v>562.632</v>
      </c>
      <c r="AO27" s="162">
        <f t="shared" si="29"/>
        <v>5411.9839999999995</v>
      </c>
      <c r="AP27" s="162">
        <f t="shared" si="30"/>
        <v>2759.576</v>
      </c>
      <c r="AQ27" s="162">
        <f t="shared" si="31"/>
        <v>2009.3999999999999</v>
      </c>
      <c r="AR27" s="162">
        <f t="shared" si="32"/>
        <v>2009.3999999999999</v>
      </c>
      <c r="AS27" s="232">
        <f>B27*1.15</f>
        <v>3081.0799999999995</v>
      </c>
      <c r="AT27" s="203">
        <f t="shared" si="33"/>
        <v>204.3</v>
      </c>
      <c r="AU27" s="284">
        <v>35821</v>
      </c>
      <c r="AV27" s="202"/>
      <c r="AW27" s="202"/>
      <c r="AX27" s="202">
        <f>5653</f>
        <v>5653</v>
      </c>
      <c r="AY27" s="293"/>
      <c r="AZ27" s="293"/>
      <c r="BA27" s="123"/>
      <c r="BB27" s="203"/>
      <c r="BC27" s="155">
        <f t="shared" si="34"/>
        <v>62522.475999999995</v>
      </c>
      <c r="BD27" s="204">
        <f>'[14]Т01'!$S$50+'[14]Т01'!$S$211</f>
        <v>735.654</v>
      </c>
      <c r="BE27" s="279">
        <f aca="true" t="shared" si="35" ref="BE27:BE37">BC27+BD27</f>
        <v>63258.13</v>
      </c>
      <c r="BF27" s="279">
        <f aca="true" t="shared" si="36" ref="BF27:BF37">AG27+AJ27-BE27</f>
        <v>-41916.352</v>
      </c>
      <c r="BG27" s="280">
        <f aca="true" t="shared" si="37" ref="BG27:BG37">AF27-U27</f>
        <v>-4114.619999999999</v>
      </c>
      <c r="BH27" s="171"/>
      <c r="BI27" s="275"/>
      <c r="BJ27" s="171"/>
      <c r="BK27" s="171"/>
      <c r="BL27" s="75"/>
      <c r="BM27" s="75"/>
      <c r="BN27" s="193"/>
      <c r="BO27" s="193"/>
      <c r="BP27" s="193"/>
      <c r="BQ27" s="169"/>
    </row>
    <row r="28" spans="1:69" ht="12.75">
      <c r="A28" s="184" t="s">
        <v>47</v>
      </c>
      <c r="B28" s="285">
        <v>2679.2</v>
      </c>
      <c r="C28" s="134">
        <f t="shared" si="20"/>
        <v>22907.16</v>
      </c>
      <c r="D28" s="283">
        <v>385.9680000000001</v>
      </c>
      <c r="E28" s="218"/>
      <c r="F28" s="218"/>
      <c r="G28" s="218">
        <v>14063.92</v>
      </c>
      <c r="H28" s="218"/>
      <c r="I28" s="218"/>
      <c r="J28" s="218"/>
      <c r="K28" s="218"/>
      <c r="L28" s="218"/>
      <c r="M28" s="218">
        <v>6829.19</v>
      </c>
      <c r="N28" s="218"/>
      <c r="O28" s="218">
        <v>2368.21</v>
      </c>
      <c r="P28" s="218"/>
      <c r="Q28" s="218"/>
      <c r="R28" s="218"/>
      <c r="S28" s="219">
        <v>450</v>
      </c>
      <c r="T28" s="235"/>
      <c r="U28" s="230">
        <f t="shared" si="21"/>
        <v>23711.32</v>
      </c>
      <c r="V28" s="231">
        <f t="shared" si="21"/>
        <v>0</v>
      </c>
      <c r="W28" s="209">
        <v>0</v>
      </c>
      <c r="X28" s="209">
        <v>14199.08</v>
      </c>
      <c r="Y28" s="209">
        <v>0</v>
      </c>
      <c r="Z28" s="209">
        <v>0</v>
      </c>
      <c r="AA28" s="209">
        <v>5690.19</v>
      </c>
      <c r="AB28" s="209">
        <v>1973.17</v>
      </c>
      <c r="AC28" s="209"/>
      <c r="AD28" s="209"/>
      <c r="AE28" s="215">
        <v>171.5</v>
      </c>
      <c r="AF28" s="216">
        <f t="shared" si="22"/>
        <v>22033.940000000002</v>
      </c>
      <c r="AG28" s="223">
        <f t="shared" si="23"/>
        <v>22419.908000000003</v>
      </c>
      <c r="AH28" s="200">
        <f t="shared" si="24"/>
        <v>0</v>
      </c>
      <c r="AI28" s="200">
        <f t="shared" si="24"/>
        <v>0</v>
      </c>
      <c r="AJ28" s="201">
        <f>'[14]Т01'!$J$50+'[14]Т01'!$J$211</f>
        <v>1370.0700000000002</v>
      </c>
      <c r="AK28" s="157">
        <f t="shared" si="25"/>
        <v>1795.064</v>
      </c>
      <c r="AL28" s="162">
        <f t="shared" si="26"/>
        <v>535.84</v>
      </c>
      <c r="AM28" s="162">
        <f t="shared" si="27"/>
        <v>2679.2</v>
      </c>
      <c r="AN28" s="162">
        <f t="shared" si="28"/>
        <v>562.632</v>
      </c>
      <c r="AO28" s="162">
        <f t="shared" si="29"/>
        <v>5411.9839999999995</v>
      </c>
      <c r="AP28" s="162">
        <f t="shared" si="30"/>
        <v>2759.576</v>
      </c>
      <c r="AQ28" s="162">
        <f t="shared" si="31"/>
        <v>2009.3999999999999</v>
      </c>
      <c r="AR28" s="162">
        <f t="shared" si="32"/>
        <v>2009.3999999999999</v>
      </c>
      <c r="AS28" s="232">
        <f>B28*1.15</f>
        <v>3081.0799999999995</v>
      </c>
      <c r="AT28" s="203">
        <f t="shared" si="33"/>
        <v>204.3</v>
      </c>
      <c r="AU28" s="284">
        <v>1870</v>
      </c>
      <c r="AV28" s="202"/>
      <c r="AW28" s="202"/>
      <c r="AX28" s="202">
        <f>100+842.78</f>
        <v>942.78</v>
      </c>
      <c r="AY28" s="293"/>
      <c r="AZ28" s="293"/>
      <c r="BA28" s="123"/>
      <c r="BB28" s="203"/>
      <c r="BC28" s="217">
        <f t="shared" si="34"/>
        <v>23861.255999999994</v>
      </c>
      <c r="BD28" s="204">
        <f>'[14]Т01'!$S$50+'[14]Т01'!$S$211</f>
        <v>735.654</v>
      </c>
      <c r="BE28" s="279">
        <f t="shared" si="35"/>
        <v>24596.909999999993</v>
      </c>
      <c r="BF28" s="279">
        <f t="shared" si="36"/>
        <v>-806.9319999999898</v>
      </c>
      <c r="BG28" s="280">
        <f t="shared" si="37"/>
        <v>-1677.3799999999974</v>
      </c>
      <c r="BH28" s="171"/>
      <c r="BI28" s="275"/>
      <c r="BJ28" s="171"/>
      <c r="BK28" s="75"/>
      <c r="BL28" s="75"/>
      <c r="BM28" s="193"/>
      <c r="BN28" s="193"/>
      <c r="BO28" s="169"/>
      <c r="BP28" s="169"/>
      <c r="BQ28" s="169"/>
    </row>
    <row r="29" spans="1:69" ht="12.75">
      <c r="A29" s="184" t="s">
        <v>48</v>
      </c>
      <c r="B29" s="285">
        <v>2679.2</v>
      </c>
      <c r="C29" s="134">
        <f t="shared" si="20"/>
        <v>22907.16</v>
      </c>
      <c r="D29" s="283">
        <v>385.9680000000001</v>
      </c>
      <c r="E29" s="218"/>
      <c r="F29" s="218"/>
      <c r="G29" s="218">
        <v>14150.64</v>
      </c>
      <c r="H29" s="218"/>
      <c r="I29" s="218"/>
      <c r="J29" s="218"/>
      <c r="K29" s="218"/>
      <c r="L29" s="218"/>
      <c r="M29" s="218">
        <v>6871.74</v>
      </c>
      <c r="N29" s="218"/>
      <c r="O29" s="218">
        <v>2383.42</v>
      </c>
      <c r="P29" s="218"/>
      <c r="Q29" s="218"/>
      <c r="R29" s="218"/>
      <c r="S29" s="219">
        <v>450</v>
      </c>
      <c r="T29" s="235"/>
      <c r="U29" s="230">
        <f t="shared" si="21"/>
        <v>23855.799999999996</v>
      </c>
      <c r="V29" s="231">
        <f t="shared" si="21"/>
        <v>0</v>
      </c>
      <c r="W29" s="233">
        <v>0</v>
      </c>
      <c r="X29" s="233">
        <v>13638.11</v>
      </c>
      <c r="Y29" s="233">
        <v>0</v>
      </c>
      <c r="Z29" s="233">
        <v>0</v>
      </c>
      <c r="AA29" s="233">
        <v>5344.74</v>
      </c>
      <c r="AB29" s="233">
        <v>1853.66</v>
      </c>
      <c r="AC29" s="233"/>
      <c r="AD29" s="233"/>
      <c r="AE29" s="234">
        <v>0</v>
      </c>
      <c r="AF29" s="216">
        <f t="shared" si="22"/>
        <v>20836.51</v>
      </c>
      <c r="AG29" s="223">
        <f t="shared" si="23"/>
        <v>21222.478</v>
      </c>
      <c r="AH29" s="200">
        <f t="shared" si="24"/>
        <v>0</v>
      </c>
      <c r="AI29" s="200">
        <f t="shared" si="24"/>
        <v>0</v>
      </c>
      <c r="AJ29" s="201">
        <f>'[14]Т01'!$J$50+'[14]Т01'!$J$211</f>
        <v>1370.0700000000002</v>
      </c>
      <c r="AK29" s="157">
        <f t="shared" si="25"/>
        <v>1795.064</v>
      </c>
      <c r="AL29" s="162">
        <f t="shared" si="26"/>
        <v>535.84</v>
      </c>
      <c r="AM29" s="162">
        <f t="shared" si="27"/>
        <v>2679.2</v>
      </c>
      <c r="AN29" s="162">
        <f t="shared" si="28"/>
        <v>562.632</v>
      </c>
      <c r="AO29" s="162">
        <f t="shared" si="29"/>
        <v>5411.9839999999995</v>
      </c>
      <c r="AP29" s="162">
        <f t="shared" si="30"/>
        <v>2759.576</v>
      </c>
      <c r="AQ29" s="162">
        <f t="shared" si="31"/>
        <v>2009.3999999999999</v>
      </c>
      <c r="AR29" s="162">
        <f t="shared" si="32"/>
        <v>2009.3999999999999</v>
      </c>
      <c r="AS29" s="232"/>
      <c r="AT29" s="203">
        <f t="shared" si="33"/>
        <v>204.3</v>
      </c>
      <c r="AU29" s="284">
        <v>2765</v>
      </c>
      <c r="AV29" s="202"/>
      <c r="AW29" s="202"/>
      <c r="AX29" s="202">
        <f>370+25.65+1000</f>
        <v>1395.65</v>
      </c>
      <c r="AY29" s="293"/>
      <c r="AZ29" s="293"/>
      <c r="BA29" s="123"/>
      <c r="BB29" s="203"/>
      <c r="BC29" s="217">
        <f t="shared" si="34"/>
        <v>22128.046</v>
      </c>
      <c r="BD29" s="204">
        <f>'[14]Т01'!$S$50+'[14]Т01'!$S$211</f>
        <v>735.654</v>
      </c>
      <c r="BE29" s="279">
        <f t="shared" si="35"/>
        <v>22863.699999999997</v>
      </c>
      <c r="BF29" s="279">
        <f t="shared" si="36"/>
        <v>-271.1519999999982</v>
      </c>
      <c r="BG29" s="280">
        <f t="shared" si="37"/>
        <v>-3019.2899999999972</v>
      </c>
      <c r="BH29" s="171"/>
      <c r="BI29" s="275"/>
      <c r="BJ29" s="171"/>
      <c r="BK29" s="75"/>
      <c r="BL29" s="75"/>
      <c r="BM29" s="75"/>
      <c r="BN29" s="193"/>
      <c r="BO29" s="193"/>
      <c r="BP29" s="193"/>
      <c r="BQ29" s="169"/>
    </row>
    <row r="30" spans="1:69" ht="12.75">
      <c r="A30" s="184" t="s">
        <v>49</v>
      </c>
      <c r="B30" s="285">
        <v>2679.2</v>
      </c>
      <c r="C30" s="134">
        <f t="shared" si="20"/>
        <v>22907.16</v>
      </c>
      <c r="D30" s="283">
        <v>385.9680000000001</v>
      </c>
      <c r="E30" s="218"/>
      <c r="F30" s="218"/>
      <c r="G30" s="218">
        <v>14069.71</v>
      </c>
      <c r="H30" s="218"/>
      <c r="I30" s="218"/>
      <c r="J30" s="218"/>
      <c r="K30" s="218"/>
      <c r="L30" s="218"/>
      <c r="M30" s="218">
        <v>6832.03</v>
      </c>
      <c r="N30" s="218"/>
      <c r="O30" s="218">
        <v>2369.23</v>
      </c>
      <c r="P30" s="218"/>
      <c r="Q30" s="218"/>
      <c r="R30" s="218"/>
      <c r="S30" s="219">
        <v>450</v>
      </c>
      <c r="T30" s="235"/>
      <c r="U30" s="230">
        <f t="shared" si="21"/>
        <v>23720.969999999998</v>
      </c>
      <c r="V30" s="231">
        <f t="shared" si="21"/>
        <v>0</v>
      </c>
      <c r="W30" s="233">
        <v>0</v>
      </c>
      <c r="X30" s="233">
        <v>14582.86</v>
      </c>
      <c r="Y30" s="233">
        <v>0</v>
      </c>
      <c r="Z30" s="233">
        <v>0</v>
      </c>
      <c r="AA30" s="233">
        <v>6783.73</v>
      </c>
      <c r="AB30" s="233">
        <v>2352.66</v>
      </c>
      <c r="AC30" s="233"/>
      <c r="AD30" s="233"/>
      <c r="AE30" s="233">
        <v>3386.93</v>
      </c>
      <c r="AF30" s="216">
        <f t="shared" si="22"/>
        <v>27106.18</v>
      </c>
      <c r="AG30" s="223">
        <f t="shared" si="23"/>
        <v>27492.148</v>
      </c>
      <c r="AH30" s="200">
        <f t="shared" si="24"/>
        <v>0</v>
      </c>
      <c r="AI30" s="200">
        <f t="shared" si="24"/>
        <v>0</v>
      </c>
      <c r="AJ30" s="201">
        <f>'[14]Т05'!$J$47+'[14]Т05'!$J$218</f>
        <v>1370.0700000000002</v>
      </c>
      <c r="AK30" s="157">
        <f t="shared" si="25"/>
        <v>1795.064</v>
      </c>
      <c r="AL30" s="162">
        <f t="shared" si="26"/>
        <v>535.84</v>
      </c>
      <c r="AM30" s="162">
        <f t="shared" si="27"/>
        <v>2679.2</v>
      </c>
      <c r="AN30" s="162">
        <f t="shared" si="28"/>
        <v>562.632</v>
      </c>
      <c r="AO30" s="162">
        <f t="shared" si="29"/>
        <v>5411.9839999999995</v>
      </c>
      <c r="AP30" s="162">
        <f t="shared" si="30"/>
        <v>2759.576</v>
      </c>
      <c r="AQ30" s="162">
        <f t="shared" si="31"/>
        <v>2009.3999999999999</v>
      </c>
      <c r="AR30" s="162">
        <f t="shared" si="32"/>
        <v>2009.3999999999999</v>
      </c>
      <c r="AS30" s="232"/>
      <c r="AT30" s="203">
        <f t="shared" si="33"/>
        <v>204.3</v>
      </c>
      <c r="AU30" s="284">
        <v>5730</v>
      </c>
      <c r="AV30" s="202"/>
      <c r="AW30" s="202"/>
      <c r="AX30" s="202">
        <f>814+25.65</f>
        <v>839.65</v>
      </c>
      <c r="AY30" s="293"/>
      <c r="AZ30" s="293"/>
      <c r="BA30" s="123"/>
      <c r="BB30" s="203"/>
      <c r="BC30" s="217">
        <f t="shared" si="34"/>
        <v>24537.046</v>
      </c>
      <c r="BD30" s="204">
        <f>'[14]Т05'!$S$47+'[14]Т05'!$S$218</f>
        <v>735.654</v>
      </c>
      <c r="BE30" s="279">
        <f t="shared" si="35"/>
        <v>25272.699999999997</v>
      </c>
      <c r="BF30" s="279">
        <f t="shared" si="36"/>
        <v>3589.5180000000037</v>
      </c>
      <c r="BG30" s="280">
        <f t="shared" si="37"/>
        <v>3385.2100000000028</v>
      </c>
      <c r="BH30" s="171"/>
      <c r="BI30" s="275"/>
      <c r="BJ30" s="171"/>
      <c r="BK30" s="75"/>
      <c r="BL30" s="75"/>
      <c r="BM30" s="193"/>
      <c r="BN30" s="193"/>
      <c r="BO30" s="193"/>
      <c r="BP30" s="169"/>
      <c r="BQ30" s="169"/>
    </row>
    <row r="31" spans="1:69" ht="12.75">
      <c r="A31" s="184" t="s">
        <v>50</v>
      </c>
      <c r="B31" s="154">
        <v>2679.2</v>
      </c>
      <c r="C31" s="134">
        <f t="shared" si="20"/>
        <v>22907.16</v>
      </c>
      <c r="D31" s="283">
        <v>337.722</v>
      </c>
      <c r="E31" s="218"/>
      <c r="F31" s="218"/>
      <c r="G31" s="218">
        <v>14074.69</v>
      </c>
      <c r="H31" s="218"/>
      <c r="I31" s="218"/>
      <c r="J31" s="218"/>
      <c r="K31" s="218"/>
      <c r="L31" s="218"/>
      <c r="M31" s="218">
        <v>6834.48</v>
      </c>
      <c r="N31" s="218"/>
      <c r="O31" s="218">
        <v>2370.11</v>
      </c>
      <c r="P31" s="218"/>
      <c r="Q31" s="218"/>
      <c r="R31" s="218"/>
      <c r="S31" s="219">
        <v>450</v>
      </c>
      <c r="T31" s="235"/>
      <c r="U31" s="230">
        <f t="shared" si="21"/>
        <v>23729.28</v>
      </c>
      <c r="V31" s="231">
        <f t="shared" si="21"/>
        <v>0</v>
      </c>
      <c r="W31" s="233"/>
      <c r="X31" s="286">
        <v>12539.4</v>
      </c>
      <c r="Y31" s="233"/>
      <c r="Z31" s="233"/>
      <c r="AA31" s="286">
        <v>5395.92</v>
      </c>
      <c r="AB31" s="286">
        <v>1871.6</v>
      </c>
      <c r="AC31" s="233"/>
      <c r="AD31" s="286"/>
      <c r="AE31" s="287">
        <v>99.98</v>
      </c>
      <c r="AF31" s="216">
        <f t="shared" si="22"/>
        <v>19906.899999999998</v>
      </c>
      <c r="AG31" s="223">
        <f t="shared" si="23"/>
        <v>20244.622</v>
      </c>
      <c r="AH31" s="200">
        <f t="shared" si="24"/>
        <v>0</v>
      </c>
      <c r="AI31" s="200">
        <f t="shared" si="24"/>
        <v>0</v>
      </c>
      <c r="AJ31" s="201">
        <f>'[14]Т06'!$J$47+'[14]Т06'!$J$174+'[14]Т06'!$J$249</f>
        <v>1470.0700000000002</v>
      </c>
      <c r="AK31" s="157">
        <f t="shared" si="25"/>
        <v>1795.064</v>
      </c>
      <c r="AL31" s="162">
        <f t="shared" si="26"/>
        <v>535.84</v>
      </c>
      <c r="AM31" s="162">
        <f t="shared" si="27"/>
        <v>2679.2</v>
      </c>
      <c r="AN31" s="162">
        <f t="shared" si="28"/>
        <v>562.632</v>
      </c>
      <c r="AO31" s="162">
        <f t="shared" si="29"/>
        <v>5411.9839999999995</v>
      </c>
      <c r="AP31" s="162">
        <f t="shared" si="30"/>
        <v>2759.576</v>
      </c>
      <c r="AQ31" s="162">
        <f t="shared" si="31"/>
        <v>2009.3999999999999</v>
      </c>
      <c r="AR31" s="162">
        <f t="shared" si="32"/>
        <v>2009.3999999999999</v>
      </c>
      <c r="AS31" s="232"/>
      <c r="AT31" s="203">
        <f t="shared" si="33"/>
        <v>204.3</v>
      </c>
      <c r="AU31" s="284">
        <v>6841</v>
      </c>
      <c r="AV31" s="202"/>
      <c r="AW31" s="202">
        <v>696</v>
      </c>
      <c r="AX31" s="202">
        <f>1016+115+96.05</f>
        <v>1227.05</v>
      </c>
      <c r="AY31" s="293"/>
      <c r="AZ31" s="293"/>
      <c r="BA31" s="123"/>
      <c r="BB31" s="203"/>
      <c r="BC31" s="217">
        <f t="shared" si="34"/>
        <v>26731.445999999996</v>
      </c>
      <c r="BD31" s="204">
        <f>'[14]Т06'!$S$47+'[14]Т06'!$S$174+'[14]Т06'!$S$249</f>
        <v>760.654</v>
      </c>
      <c r="BE31" s="279">
        <f t="shared" si="35"/>
        <v>27492.099999999995</v>
      </c>
      <c r="BF31" s="279">
        <f t="shared" si="36"/>
        <v>-5777.407999999996</v>
      </c>
      <c r="BG31" s="280">
        <f t="shared" si="37"/>
        <v>-3822.380000000001</v>
      </c>
      <c r="BH31" s="171"/>
      <c r="BI31" s="275"/>
      <c r="BJ31" s="171"/>
      <c r="BK31" s="75"/>
      <c r="BL31" s="75"/>
      <c r="BM31" s="193"/>
      <c r="BN31" s="193"/>
      <c r="BO31" s="193"/>
      <c r="BP31" s="169"/>
      <c r="BQ31" s="169"/>
    </row>
    <row r="32" spans="1:69" ht="12.75">
      <c r="A32" s="184" t="s">
        <v>51</v>
      </c>
      <c r="B32" s="154">
        <v>2679.2</v>
      </c>
      <c r="C32" s="134">
        <f aca="true" t="shared" si="38" ref="C32:C37">B32*9.51</f>
        <v>25479.192</v>
      </c>
      <c r="D32" s="283">
        <v>451.95150000000007</v>
      </c>
      <c r="E32" s="218"/>
      <c r="F32" s="218"/>
      <c r="G32" s="218">
        <v>25903</v>
      </c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9">
        <v>450</v>
      </c>
      <c r="T32" s="235"/>
      <c r="U32" s="230">
        <f aca="true" t="shared" si="39" ref="U32:V37">G32+M32+O32+Q32+S32</f>
        <v>26353</v>
      </c>
      <c r="V32" s="288">
        <f t="shared" si="39"/>
        <v>0</v>
      </c>
      <c r="W32" s="233"/>
      <c r="X32" s="209">
        <v>13406.4</v>
      </c>
      <c r="Y32" s="233"/>
      <c r="Z32" s="233"/>
      <c r="AA32" s="209">
        <v>6017.09</v>
      </c>
      <c r="AB32" s="209">
        <v>2086.75</v>
      </c>
      <c r="AC32" s="233"/>
      <c r="AD32" s="209"/>
      <c r="AE32" s="215">
        <v>403.34</v>
      </c>
      <c r="AF32" s="216">
        <f aca="true" t="shared" si="40" ref="AF32:AF37">SUM(X32:AE32)</f>
        <v>21913.579999999998</v>
      </c>
      <c r="AG32" s="223">
        <f t="shared" si="23"/>
        <v>22365.531499999997</v>
      </c>
      <c r="AH32" s="289">
        <v>0</v>
      </c>
      <c r="AI32" s="200">
        <f t="shared" si="24"/>
        <v>0</v>
      </c>
      <c r="AJ32" s="201">
        <f>'[14]Т07'!$J$47+'[14]Т07'!$J$176+'[14]Т07'!$J$251</f>
        <v>1470.0700000000002</v>
      </c>
      <c r="AK32" s="162">
        <f aca="true" t="shared" si="41" ref="AK32:AK37">0.75*B32</f>
        <v>2009.3999999999999</v>
      </c>
      <c r="AL32" s="162">
        <f t="shared" si="26"/>
        <v>535.84</v>
      </c>
      <c r="AM32" s="162">
        <f t="shared" si="27"/>
        <v>2679.2</v>
      </c>
      <c r="AN32" s="162">
        <f t="shared" si="28"/>
        <v>562.632</v>
      </c>
      <c r="AO32" s="162">
        <f t="shared" si="29"/>
        <v>5411.9839999999995</v>
      </c>
      <c r="AP32" s="162">
        <f t="shared" si="30"/>
        <v>2759.576</v>
      </c>
      <c r="AQ32" s="162">
        <f t="shared" si="31"/>
        <v>2009.3999999999999</v>
      </c>
      <c r="AR32" s="162">
        <f t="shared" si="32"/>
        <v>2009.3999999999999</v>
      </c>
      <c r="AS32" s="232"/>
      <c r="AT32" s="203">
        <f t="shared" si="33"/>
        <v>204.3</v>
      </c>
      <c r="AU32" s="284"/>
      <c r="AV32" s="202"/>
      <c r="AW32" s="202"/>
      <c r="AX32" s="202">
        <f>658.31</f>
        <v>658.31</v>
      </c>
      <c r="AY32" s="293"/>
      <c r="AZ32" s="293"/>
      <c r="BA32" s="123"/>
      <c r="BB32" s="203"/>
      <c r="BC32" s="217">
        <f t="shared" si="34"/>
        <v>18840.041999999998</v>
      </c>
      <c r="BD32" s="204">
        <f>'[14]Т07'!$S$47+'[14]Т07'!$S$176+'[14]Т07'!$S$251</f>
        <v>760.654</v>
      </c>
      <c r="BE32" s="279">
        <f t="shared" si="35"/>
        <v>19600.695999999996</v>
      </c>
      <c r="BF32" s="279">
        <f t="shared" si="36"/>
        <v>4234.905500000001</v>
      </c>
      <c r="BG32" s="280">
        <f t="shared" si="37"/>
        <v>-4439.420000000002</v>
      </c>
      <c r="BH32" s="171"/>
      <c r="BI32" s="275"/>
      <c r="BJ32" s="171"/>
      <c r="BK32" s="75"/>
      <c r="BL32" s="75"/>
      <c r="BM32" s="169"/>
      <c r="BN32" s="169"/>
      <c r="BO32" s="169"/>
      <c r="BP32" s="169"/>
      <c r="BQ32" s="169"/>
    </row>
    <row r="33" spans="1:69" ht="12.75">
      <c r="A33" s="184" t="s">
        <v>52</v>
      </c>
      <c r="B33" s="154">
        <v>2679.2</v>
      </c>
      <c r="C33" s="134">
        <f t="shared" si="38"/>
        <v>25479.192</v>
      </c>
      <c r="D33" s="283"/>
      <c r="E33" s="218"/>
      <c r="F33" s="218"/>
      <c r="G33" s="218">
        <v>25909.9</v>
      </c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9">
        <v>450</v>
      </c>
      <c r="T33" s="235"/>
      <c r="U33" s="230">
        <f t="shared" si="39"/>
        <v>26359.9</v>
      </c>
      <c r="V33" s="288">
        <f t="shared" si="39"/>
        <v>0</v>
      </c>
      <c r="W33" s="233"/>
      <c r="X33" s="209">
        <v>21161.56</v>
      </c>
      <c r="Y33" s="233"/>
      <c r="Z33" s="233"/>
      <c r="AA33" s="209">
        <v>1086.6</v>
      </c>
      <c r="AB33" s="209">
        <v>376.7</v>
      </c>
      <c r="AC33" s="233"/>
      <c r="AD33" s="209"/>
      <c r="AE33" s="215">
        <v>150.18</v>
      </c>
      <c r="AF33" s="216">
        <f t="shared" si="40"/>
        <v>22775.04</v>
      </c>
      <c r="AG33" s="223">
        <f t="shared" si="23"/>
        <v>22775.04</v>
      </c>
      <c r="AH33" s="289">
        <v>0</v>
      </c>
      <c r="AI33" s="200">
        <f t="shared" si="24"/>
        <v>0</v>
      </c>
      <c r="AJ33" s="201">
        <f>'[14]Т08'!$J$176+'[14]Т08'!$J$47+'[14]Т08'!$J$251+'[14]Т08'!$J$298</f>
        <v>2070.07</v>
      </c>
      <c r="AK33" s="162">
        <f t="shared" si="41"/>
        <v>2009.3999999999999</v>
      </c>
      <c r="AL33" s="162">
        <f t="shared" si="26"/>
        <v>535.84</v>
      </c>
      <c r="AM33" s="162">
        <f t="shared" si="27"/>
        <v>2679.2</v>
      </c>
      <c r="AN33" s="162">
        <f t="shared" si="28"/>
        <v>562.632</v>
      </c>
      <c r="AO33" s="162">
        <f t="shared" si="29"/>
        <v>5411.9839999999995</v>
      </c>
      <c r="AP33" s="162">
        <f t="shared" si="30"/>
        <v>2759.576</v>
      </c>
      <c r="AQ33" s="162">
        <f t="shared" si="31"/>
        <v>2009.3999999999999</v>
      </c>
      <c r="AR33" s="162">
        <f t="shared" si="32"/>
        <v>2009.3999999999999</v>
      </c>
      <c r="AS33" s="232"/>
      <c r="AT33" s="203">
        <f t="shared" si="33"/>
        <v>204.3</v>
      </c>
      <c r="AU33" s="284"/>
      <c r="AV33" s="202"/>
      <c r="AW33" s="202">
        <v>904</v>
      </c>
      <c r="AX33" s="202">
        <f>44.6</f>
        <v>44.6</v>
      </c>
      <c r="AY33" s="293"/>
      <c r="AZ33" s="293"/>
      <c r="BA33" s="123"/>
      <c r="BB33" s="203"/>
      <c r="BC33" s="217">
        <f t="shared" si="34"/>
        <v>19130.331999999995</v>
      </c>
      <c r="BD33" s="204">
        <f>'[14]Т08'!$S$47+'[14]Т08'!$S$176+'[14]Т08'!$S$251+'[14]Т08'!$S$298</f>
        <v>910.654</v>
      </c>
      <c r="BE33" s="279">
        <f t="shared" si="35"/>
        <v>20040.985999999994</v>
      </c>
      <c r="BF33" s="279">
        <f t="shared" si="36"/>
        <v>4804.124000000007</v>
      </c>
      <c r="BG33" s="280">
        <f t="shared" si="37"/>
        <v>-3584.8600000000006</v>
      </c>
      <c r="BH33" s="171"/>
      <c r="BI33" s="275"/>
      <c r="BJ33" s="171"/>
      <c r="BK33" s="75"/>
      <c r="BL33" s="75"/>
      <c r="BM33" s="169"/>
      <c r="BN33" s="169"/>
      <c r="BO33" s="169"/>
      <c r="BP33" s="169"/>
      <c r="BQ33" s="169"/>
    </row>
    <row r="34" spans="1:69" ht="12.75">
      <c r="A34" s="184" t="s">
        <v>53</v>
      </c>
      <c r="B34" s="154">
        <v>2679.2</v>
      </c>
      <c r="C34" s="134">
        <f t="shared" si="38"/>
        <v>25479.192</v>
      </c>
      <c r="D34" s="283"/>
      <c r="E34" s="218"/>
      <c r="F34" s="218"/>
      <c r="G34" s="218">
        <v>25908.97</v>
      </c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9">
        <v>450</v>
      </c>
      <c r="T34" s="235"/>
      <c r="U34" s="230">
        <f t="shared" si="39"/>
        <v>26358.97</v>
      </c>
      <c r="V34" s="288">
        <f t="shared" si="39"/>
        <v>0</v>
      </c>
      <c r="W34" s="233"/>
      <c r="X34" s="209">
        <v>21005.49</v>
      </c>
      <c r="Y34" s="233"/>
      <c r="Z34" s="233"/>
      <c r="AA34" s="209">
        <v>434.23</v>
      </c>
      <c r="AB34" s="209">
        <v>150.5</v>
      </c>
      <c r="AC34" s="233"/>
      <c r="AD34" s="209"/>
      <c r="AE34" s="215">
        <v>300.02</v>
      </c>
      <c r="AF34" s="216">
        <f t="shared" si="40"/>
        <v>21890.24</v>
      </c>
      <c r="AG34" s="223">
        <f t="shared" si="23"/>
        <v>21890.24</v>
      </c>
      <c r="AH34" s="289">
        <v>0</v>
      </c>
      <c r="AI34" s="200">
        <f t="shared" si="24"/>
        <v>0</v>
      </c>
      <c r="AJ34" s="201">
        <f>'[14]Т09'!$J$47+'[14]Т09'!$J$179+'[14]Т09'!$J$251+'[14]Т09'!$J$298</f>
        <v>1670.0700000000002</v>
      </c>
      <c r="AK34" s="162">
        <f t="shared" si="41"/>
        <v>2009.3999999999999</v>
      </c>
      <c r="AL34" s="162">
        <f t="shared" si="26"/>
        <v>535.84</v>
      </c>
      <c r="AM34" s="162">
        <f t="shared" si="27"/>
        <v>2679.2</v>
      </c>
      <c r="AN34" s="162">
        <f t="shared" si="28"/>
        <v>562.632</v>
      </c>
      <c r="AO34" s="162">
        <f t="shared" si="29"/>
        <v>5411.9839999999995</v>
      </c>
      <c r="AP34" s="162">
        <f t="shared" si="30"/>
        <v>2759.576</v>
      </c>
      <c r="AQ34" s="162">
        <f t="shared" si="31"/>
        <v>2009.3999999999999</v>
      </c>
      <c r="AR34" s="162">
        <f t="shared" si="32"/>
        <v>2009.3999999999999</v>
      </c>
      <c r="AS34" s="232"/>
      <c r="AT34" s="203">
        <f t="shared" si="33"/>
        <v>204.3</v>
      </c>
      <c r="AU34" s="284"/>
      <c r="AV34" s="202"/>
      <c r="AW34" s="202">
        <v>1169</v>
      </c>
      <c r="AX34" s="202">
        <f>4.9+362.86+1216.38</f>
        <v>1584.14</v>
      </c>
      <c r="AY34" s="293"/>
      <c r="AZ34" s="293"/>
      <c r="BA34" s="123"/>
      <c r="BB34" s="203"/>
      <c r="BC34" s="217">
        <f t="shared" si="34"/>
        <v>20934.871999999996</v>
      </c>
      <c r="BD34" s="204">
        <f>'[14]Т09'!$S$47+'[14]Т09'!$S$179+'[14]Т09'!$S$251+'[14]Т09'!$S$298</f>
        <v>810.654</v>
      </c>
      <c r="BE34" s="279">
        <f t="shared" si="35"/>
        <v>21745.525999999994</v>
      </c>
      <c r="BF34" s="279">
        <f t="shared" si="36"/>
        <v>1814.784000000007</v>
      </c>
      <c r="BG34" s="280">
        <f t="shared" si="37"/>
        <v>-4468.73</v>
      </c>
      <c r="BH34" s="171"/>
      <c r="BI34" s="275"/>
      <c r="BJ34" s="171"/>
      <c r="BK34" s="75"/>
      <c r="BL34" s="75"/>
      <c r="BM34" s="169"/>
      <c r="BN34" s="169"/>
      <c r="BO34" s="169"/>
      <c r="BP34" s="169"/>
      <c r="BQ34" s="169"/>
    </row>
    <row r="35" spans="1:69" ht="12.75">
      <c r="A35" s="184" t="s">
        <v>41</v>
      </c>
      <c r="B35" s="154">
        <v>2679.2</v>
      </c>
      <c r="C35" s="134">
        <f t="shared" si="38"/>
        <v>25479.192</v>
      </c>
      <c r="D35" s="283"/>
      <c r="E35" s="218"/>
      <c r="F35" s="218"/>
      <c r="G35" s="218">
        <v>25863.5</v>
      </c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9">
        <v>450</v>
      </c>
      <c r="T35" s="235"/>
      <c r="U35" s="230">
        <f t="shared" si="39"/>
        <v>26313.5</v>
      </c>
      <c r="V35" s="288">
        <f t="shared" si="39"/>
        <v>0</v>
      </c>
      <c r="W35" s="233"/>
      <c r="X35" s="209">
        <v>27102.49</v>
      </c>
      <c r="Y35" s="233"/>
      <c r="Z35" s="233"/>
      <c r="AA35" s="209">
        <v>1514.75</v>
      </c>
      <c r="AB35" s="209">
        <v>525.04</v>
      </c>
      <c r="AC35" s="233"/>
      <c r="AD35" s="209"/>
      <c r="AE35" s="215">
        <v>315.84</v>
      </c>
      <c r="AF35" s="216">
        <f t="shared" si="40"/>
        <v>29458.120000000003</v>
      </c>
      <c r="AG35" s="223">
        <f t="shared" si="23"/>
        <v>29458.120000000003</v>
      </c>
      <c r="AH35" s="289">
        <v>0</v>
      </c>
      <c r="AI35" s="200">
        <f t="shared" si="24"/>
        <v>0</v>
      </c>
      <c r="AJ35" s="201">
        <f>'[14]Т10'!$J$47+'[14]Т10'!$J$178+'[14]Т10'!$J$250+'[14]Т10'!$J$297</f>
        <v>1670.0700000000002</v>
      </c>
      <c r="AK35" s="162">
        <f t="shared" si="41"/>
        <v>2009.3999999999999</v>
      </c>
      <c r="AL35" s="162">
        <f t="shared" si="26"/>
        <v>535.84</v>
      </c>
      <c r="AM35" s="162">
        <f t="shared" si="27"/>
        <v>2679.2</v>
      </c>
      <c r="AN35" s="162">
        <f t="shared" si="28"/>
        <v>562.632</v>
      </c>
      <c r="AO35" s="162">
        <f t="shared" si="29"/>
        <v>5411.9839999999995</v>
      </c>
      <c r="AP35" s="162">
        <f t="shared" si="30"/>
        <v>2759.576</v>
      </c>
      <c r="AQ35" s="162">
        <f t="shared" si="31"/>
        <v>2009.3999999999999</v>
      </c>
      <c r="AR35" s="162">
        <f t="shared" si="32"/>
        <v>2009.3999999999999</v>
      </c>
      <c r="AS35" s="232">
        <f>B35*1.15</f>
        <v>3081.0799999999995</v>
      </c>
      <c r="AT35" s="203">
        <f t="shared" si="33"/>
        <v>204.3</v>
      </c>
      <c r="AU35" s="290">
        <v>2481</v>
      </c>
      <c r="AV35" s="202"/>
      <c r="AW35" s="202"/>
      <c r="AX35" s="202">
        <f>1141+62+63+18+1590</f>
        <v>2874</v>
      </c>
      <c r="AY35" s="293"/>
      <c r="AZ35" s="293"/>
      <c r="BA35" s="123"/>
      <c r="BB35" s="203"/>
      <c r="BC35" s="217">
        <f t="shared" si="34"/>
        <v>26617.811999999994</v>
      </c>
      <c r="BD35" s="204">
        <f>'[14]Т10'!$S$178+'[14]Т10'!$S$47+'[14]Т10'!$S$250+'[14]Т10'!$S$297</f>
        <v>810.654</v>
      </c>
      <c r="BE35" s="279">
        <f t="shared" si="35"/>
        <v>27428.465999999993</v>
      </c>
      <c r="BF35" s="279">
        <f t="shared" si="36"/>
        <v>3699.7240000000093</v>
      </c>
      <c r="BG35" s="280">
        <f t="shared" si="37"/>
        <v>3144.6200000000026</v>
      </c>
      <c r="BH35" s="171"/>
      <c r="BI35" s="275"/>
      <c r="BJ35" s="171"/>
      <c r="BK35" s="75"/>
      <c r="BL35" s="75"/>
      <c r="BM35" s="169"/>
      <c r="BN35" s="169"/>
      <c r="BO35" s="169"/>
      <c r="BP35" s="169"/>
      <c r="BQ35" s="169"/>
    </row>
    <row r="36" spans="1:69" ht="12.75">
      <c r="A36" s="184" t="s">
        <v>42</v>
      </c>
      <c r="B36" s="291">
        <v>2679.2</v>
      </c>
      <c r="C36" s="134">
        <f t="shared" si="38"/>
        <v>25479.192</v>
      </c>
      <c r="D36" s="283"/>
      <c r="E36" s="218"/>
      <c r="F36" s="218"/>
      <c r="G36" s="209">
        <v>25832.35</v>
      </c>
      <c r="H36" s="209"/>
      <c r="I36" s="218"/>
      <c r="J36" s="218"/>
      <c r="K36" s="218"/>
      <c r="L36" s="218"/>
      <c r="M36" s="209"/>
      <c r="N36" s="209"/>
      <c r="O36" s="209"/>
      <c r="P36" s="209"/>
      <c r="Q36" s="209"/>
      <c r="R36" s="209"/>
      <c r="S36" s="215">
        <v>450</v>
      </c>
      <c r="T36" s="235"/>
      <c r="U36" s="230">
        <f t="shared" si="39"/>
        <v>26282.35</v>
      </c>
      <c r="V36" s="288">
        <f t="shared" si="39"/>
        <v>0</v>
      </c>
      <c r="W36" s="233"/>
      <c r="X36" s="209">
        <v>32361.92</v>
      </c>
      <c r="Y36" s="233"/>
      <c r="Z36" s="233"/>
      <c r="AA36" s="209">
        <v>740.43</v>
      </c>
      <c r="AB36" s="209">
        <v>256.91</v>
      </c>
      <c r="AC36" s="233"/>
      <c r="AD36" s="209"/>
      <c r="AE36" s="215">
        <v>543.79</v>
      </c>
      <c r="AF36" s="216">
        <f t="shared" si="40"/>
        <v>33903.05</v>
      </c>
      <c r="AG36" s="223">
        <f t="shared" si="23"/>
        <v>33903.05</v>
      </c>
      <c r="AH36" s="289">
        <v>0</v>
      </c>
      <c r="AI36" s="200">
        <f t="shared" si="24"/>
        <v>0</v>
      </c>
      <c r="AJ36" s="201">
        <f>'[14]Т11'!$J$47+'[14]Т11'!$J$180+'[14]Т11'!$J$252+'[14]Т11'!$J$299</f>
        <v>1670.0700000000002</v>
      </c>
      <c r="AK36" s="162">
        <f t="shared" si="41"/>
        <v>2009.3999999999999</v>
      </c>
      <c r="AL36" s="162">
        <f t="shared" si="26"/>
        <v>535.84</v>
      </c>
      <c r="AM36" s="162">
        <f t="shared" si="27"/>
        <v>2679.2</v>
      </c>
      <c r="AN36" s="162">
        <f t="shared" si="28"/>
        <v>562.632</v>
      </c>
      <c r="AO36" s="162">
        <f t="shared" si="29"/>
        <v>5411.9839999999995</v>
      </c>
      <c r="AP36" s="162">
        <f t="shared" si="30"/>
        <v>2759.576</v>
      </c>
      <c r="AQ36" s="162">
        <f t="shared" si="31"/>
        <v>2009.3999999999999</v>
      </c>
      <c r="AR36" s="162">
        <f t="shared" si="32"/>
        <v>2009.3999999999999</v>
      </c>
      <c r="AS36" s="232">
        <f>B36*1.15</f>
        <v>3081.0799999999995</v>
      </c>
      <c r="AT36" s="203">
        <f t="shared" si="33"/>
        <v>204.3</v>
      </c>
      <c r="AU36" s="284">
        <v>3502</v>
      </c>
      <c r="AV36" s="202"/>
      <c r="AW36" s="202"/>
      <c r="AX36" s="202">
        <f>1053</f>
        <v>1053</v>
      </c>
      <c r="AY36" s="293"/>
      <c r="AZ36" s="293"/>
      <c r="BA36" s="123"/>
      <c r="BB36" s="203"/>
      <c r="BC36" s="217">
        <f t="shared" si="34"/>
        <v>25817.811999999994</v>
      </c>
      <c r="BD36" s="204">
        <f>'[14]Т11'!$S$47+'[14]Т11'!$S$180+'[14]Т11'!$S$252+'[14]Т11'!$S$299</f>
        <v>810.654</v>
      </c>
      <c r="BE36" s="279">
        <f t="shared" si="35"/>
        <v>26628.465999999993</v>
      </c>
      <c r="BF36" s="279">
        <f t="shared" si="36"/>
        <v>8944.65400000001</v>
      </c>
      <c r="BG36" s="280">
        <f t="shared" si="37"/>
        <v>7620.700000000004</v>
      </c>
      <c r="BH36" s="171"/>
      <c r="BI36" s="275"/>
      <c r="BJ36" s="171"/>
      <c r="BK36" s="75"/>
      <c r="BL36" s="75"/>
      <c r="BM36" s="169"/>
      <c r="BN36" s="169"/>
      <c r="BO36" s="169"/>
      <c r="BP36" s="169"/>
      <c r="BQ36" s="169"/>
    </row>
    <row r="37" spans="1:69" ht="13.5" thickBot="1">
      <c r="A37" s="184" t="s">
        <v>43</v>
      </c>
      <c r="B37" s="291">
        <v>2679.2</v>
      </c>
      <c r="C37" s="134">
        <f t="shared" si="38"/>
        <v>25479.192</v>
      </c>
      <c r="D37" s="283"/>
      <c r="E37" s="209"/>
      <c r="F37" s="209"/>
      <c r="G37" s="209">
        <v>25872.33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15">
        <v>450</v>
      </c>
      <c r="T37" s="235"/>
      <c r="U37" s="230">
        <f t="shared" si="39"/>
        <v>26322.33</v>
      </c>
      <c r="V37" s="288">
        <f t="shared" si="39"/>
        <v>0</v>
      </c>
      <c r="W37" s="233"/>
      <c r="X37" s="209">
        <v>27090.17</v>
      </c>
      <c r="Y37" s="209"/>
      <c r="Z37" s="209"/>
      <c r="AA37" s="209">
        <v>203.62</v>
      </c>
      <c r="AB37" s="209">
        <v>70.62</v>
      </c>
      <c r="AC37" s="209"/>
      <c r="AD37" s="209"/>
      <c r="AE37" s="215"/>
      <c r="AF37" s="216">
        <f t="shared" si="40"/>
        <v>27364.409999999996</v>
      </c>
      <c r="AG37" s="223">
        <f t="shared" si="23"/>
        <v>27364.409999999996</v>
      </c>
      <c r="AH37" s="289">
        <v>0</v>
      </c>
      <c r="AI37" s="200">
        <f t="shared" si="24"/>
        <v>0</v>
      </c>
      <c r="AJ37" s="201">
        <f>'[14]Т12'!$J$47+'[14]Т12'!$J$182+'[14]Т12'!$J$254+'[14]Т12'!$J$301</f>
        <v>1670.0700000000002</v>
      </c>
      <c r="AK37" s="162">
        <f t="shared" si="41"/>
        <v>2009.3999999999999</v>
      </c>
      <c r="AL37" s="162">
        <f t="shared" si="26"/>
        <v>535.84</v>
      </c>
      <c r="AM37" s="162">
        <f t="shared" si="27"/>
        <v>2679.2</v>
      </c>
      <c r="AN37" s="162">
        <f t="shared" si="28"/>
        <v>562.632</v>
      </c>
      <c r="AO37" s="162">
        <f t="shared" si="29"/>
        <v>5411.9839999999995</v>
      </c>
      <c r="AP37" s="162">
        <f t="shared" si="30"/>
        <v>2759.576</v>
      </c>
      <c r="AQ37" s="162">
        <f t="shared" si="31"/>
        <v>2009.3999999999999</v>
      </c>
      <c r="AR37" s="162">
        <f t="shared" si="32"/>
        <v>2009.3999999999999</v>
      </c>
      <c r="AS37" s="232">
        <f>B37*1.15</f>
        <v>3081.0799999999995</v>
      </c>
      <c r="AT37" s="203">
        <f t="shared" si="33"/>
        <v>204.3</v>
      </c>
      <c r="AU37" s="284"/>
      <c r="AV37" s="202">
        <v>110</v>
      </c>
      <c r="AW37" s="202"/>
      <c r="AX37" s="202">
        <f>45</f>
        <v>45</v>
      </c>
      <c r="AY37" s="293"/>
      <c r="AZ37" s="293"/>
      <c r="BA37" s="123"/>
      <c r="BB37" s="203"/>
      <c r="BC37" s="217">
        <f t="shared" si="34"/>
        <v>21417.811999999994</v>
      </c>
      <c r="BD37" s="204">
        <f>'[14]Т12'!$S$47+'[14]Т12'!$S$182+'[14]Т12'!$S$254+'[14]Т12'!$S$301</f>
        <v>810.654</v>
      </c>
      <c r="BE37" s="279">
        <f t="shared" si="35"/>
        <v>22228.465999999993</v>
      </c>
      <c r="BF37" s="279">
        <f t="shared" si="36"/>
        <v>6806.014000000003</v>
      </c>
      <c r="BG37" s="280">
        <f t="shared" si="37"/>
        <v>1042.0799999999945</v>
      </c>
      <c r="BH37" s="171"/>
      <c r="BI37" s="275"/>
      <c r="BJ37" s="171"/>
      <c r="BK37" s="75"/>
      <c r="BL37" s="75"/>
      <c r="BM37" s="169"/>
      <c r="BN37" s="169"/>
      <c r="BO37" s="169"/>
      <c r="BP37" s="169"/>
      <c r="BQ37" s="169"/>
    </row>
    <row r="38" spans="1:61" s="20" customFormat="1" ht="13.5" thickBot="1">
      <c r="A38" s="236" t="s">
        <v>5</v>
      </c>
      <c r="B38" s="237"/>
      <c r="C38" s="238">
        <f aca="true" t="shared" si="42" ref="C38:BF38">SUM(C26:C37)</f>
        <v>290318.112</v>
      </c>
      <c r="D38" s="238">
        <f t="shared" si="42"/>
        <v>2719.5135000000005</v>
      </c>
      <c r="E38" s="238">
        <f t="shared" si="42"/>
        <v>0</v>
      </c>
      <c r="F38" s="238">
        <f t="shared" si="42"/>
        <v>0</v>
      </c>
      <c r="G38" s="238">
        <f t="shared" si="42"/>
        <v>239774.08000000002</v>
      </c>
      <c r="H38" s="238">
        <f t="shared" si="42"/>
        <v>0</v>
      </c>
      <c r="I38" s="238">
        <f t="shared" si="42"/>
        <v>0</v>
      </c>
      <c r="J38" s="238">
        <f t="shared" si="42"/>
        <v>0</v>
      </c>
      <c r="K38" s="238">
        <f t="shared" si="42"/>
        <v>0</v>
      </c>
      <c r="L38" s="238">
        <f t="shared" si="42"/>
        <v>0</v>
      </c>
      <c r="M38" s="238">
        <f t="shared" si="42"/>
        <v>41024.44</v>
      </c>
      <c r="N38" s="238">
        <f t="shared" si="42"/>
        <v>0</v>
      </c>
      <c r="O38" s="238">
        <f t="shared" si="42"/>
        <v>14226.91</v>
      </c>
      <c r="P38" s="238">
        <f t="shared" si="42"/>
        <v>0</v>
      </c>
      <c r="Q38" s="238">
        <f t="shared" si="42"/>
        <v>0</v>
      </c>
      <c r="R38" s="238">
        <f t="shared" si="42"/>
        <v>0</v>
      </c>
      <c r="S38" s="238">
        <f t="shared" si="42"/>
        <v>5400</v>
      </c>
      <c r="T38" s="238">
        <f t="shared" si="42"/>
        <v>0</v>
      </c>
      <c r="U38" s="238">
        <f t="shared" si="42"/>
        <v>300425.43</v>
      </c>
      <c r="V38" s="238">
        <f t="shared" si="42"/>
        <v>0</v>
      </c>
      <c r="W38" s="238">
        <f t="shared" si="42"/>
        <v>0</v>
      </c>
      <c r="X38" s="238">
        <f t="shared" si="42"/>
        <v>221603.59999999998</v>
      </c>
      <c r="Y38" s="238">
        <f t="shared" si="42"/>
        <v>0</v>
      </c>
      <c r="Z38" s="238">
        <f t="shared" si="42"/>
        <v>0</v>
      </c>
      <c r="AA38" s="238">
        <f t="shared" si="42"/>
        <v>45116.12000000001</v>
      </c>
      <c r="AB38" s="238">
        <f t="shared" si="42"/>
        <v>17646.21</v>
      </c>
      <c r="AC38" s="238">
        <f t="shared" si="42"/>
        <v>0</v>
      </c>
      <c r="AD38" s="238">
        <f t="shared" si="42"/>
        <v>0</v>
      </c>
      <c r="AE38" s="238">
        <f t="shared" si="42"/>
        <v>6417.900000000001</v>
      </c>
      <c r="AF38" s="238">
        <f t="shared" si="42"/>
        <v>290783.82999999996</v>
      </c>
      <c r="AG38" s="238">
        <f t="shared" si="42"/>
        <v>293503.34349999996</v>
      </c>
      <c r="AH38" s="238">
        <f t="shared" si="42"/>
        <v>0</v>
      </c>
      <c r="AI38" s="238">
        <f t="shared" si="42"/>
        <v>0</v>
      </c>
      <c r="AJ38" s="238">
        <f t="shared" si="42"/>
        <v>18540.84</v>
      </c>
      <c r="AK38" s="238">
        <f t="shared" si="42"/>
        <v>22826.784000000003</v>
      </c>
      <c r="AL38" s="238">
        <f t="shared" si="42"/>
        <v>6430.080000000001</v>
      </c>
      <c r="AM38" s="238">
        <f t="shared" si="42"/>
        <v>32150.400000000005</v>
      </c>
      <c r="AN38" s="238">
        <f t="shared" si="42"/>
        <v>6751.583999999998</v>
      </c>
      <c r="AO38" s="238">
        <f t="shared" si="42"/>
        <v>64943.80799999998</v>
      </c>
      <c r="AP38" s="238">
        <f t="shared" si="42"/>
        <v>33114.912000000004</v>
      </c>
      <c r="AQ38" s="238">
        <f t="shared" si="42"/>
        <v>24112.800000000003</v>
      </c>
      <c r="AR38" s="238">
        <f t="shared" si="42"/>
        <v>24112.800000000003</v>
      </c>
      <c r="AS38" s="238">
        <f t="shared" si="42"/>
        <v>18486.479999999996</v>
      </c>
      <c r="AT38" s="238">
        <f t="shared" si="42"/>
        <v>2451.6</v>
      </c>
      <c r="AU38" s="238">
        <f t="shared" si="42"/>
        <v>59010</v>
      </c>
      <c r="AV38" s="238">
        <f t="shared" si="42"/>
        <v>110</v>
      </c>
      <c r="AW38" s="238">
        <f t="shared" si="42"/>
        <v>2769</v>
      </c>
      <c r="AX38" s="238">
        <f t="shared" si="42"/>
        <v>16317.179999999998</v>
      </c>
      <c r="AY38" s="281"/>
      <c r="AZ38" s="281"/>
      <c r="BA38" s="238">
        <f t="shared" si="42"/>
        <v>0</v>
      </c>
      <c r="BB38" s="238">
        <f t="shared" si="42"/>
        <v>0</v>
      </c>
      <c r="BC38" s="238">
        <f t="shared" si="42"/>
        <v>313587.4279999999</v>
      </c>
      <c r="BD38" s="238">
        <f t="shared" si="42"/>
        <v>9352.848000000002</v>
      </c>
      <c r="BE38" s="281">
        <f t="shared" si="42"/>
        <v>322940.276</v>
      </c>
      <c r="BF38" s="281">
        <f t="shared" si="42"/>
        <v>-10896.092499999937</v>
      </c>
      <c r="BG38" s="282">
        <f>SUM(BG26:BG37)</f>
        <v>-9641.599999999991</v>
      </c>
      <c r="BI38" s="74"/>
    </row>
    <row r="39" spans="1:61" s="20" customFormat="1" ht="13.5" thickBot="1">
      <c r="A39" s="239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94"/>
      <c r="AZ39" s="294"/>
      <c r="BA39" s="240"/>
      <c r="BB39" s="240"/>
      <c r="BC39" s="240"/>
      <c r="BD39" s="240"/>
      <c r="BE39" s="241"/>
      <c r="BF39" s="240"/>
      <c r="BG39" s="242"/>
      <c r="BI39" s="74"/>
    </row>
    <row r="40" spans="1:59" s="20" customFormat="1" ht="13.5" thickBot="1">
      <c r="A40" s="22" t="s">
        <v>54</v>
      </c>
      <c r="B40" s="240"/>
      <c r="C40" s="243">
        <f aca="true" t="shared" si="43" ref="C40:AX40">C38+C24</f>
        <v>1190889.6719999998</v>
      </c>
      <c r="D40" s="243">
        <f t="shared" si="43"/>
        <v>161335.2280182</v>
      </c>
      <c r="E40" s="243">
        <f t="shared" si="43"/>
        <v>53104.19</v>
      </c>
      <c r="F40" s="243">
        <f t="shared" si="43"/>
        <v>10246.410000000002</v>
      </c>
      <c r="G40" s="243">
        <f t="shared" si="43"/>
        <v>406859.81000000006</v>
      </c>
      <c r="H40" s="243">
        <f t="shared" si="43"/>
        <v>0</v>
      </c>
      <c r="I40" s="243">
        <f t="shared" si="43"/>
        <v>71872.37000000001</v>
      </c>
      <c r="J40" s="243">
        <f t="shared" si="43"/>
        <v>13871.65</v>
      </c>
      <c r="K40" s="243">
        <f t="shared" si="43"/>
        <v>119762.93000000001</v>
      </c>
      <c r="L40" s="243">
        <f t="shared" si="43"/>
        <v>23093.06</v>
      </c>
      <c r="M40" s="243">
        <f t="shared" si="43"/>
        <v>294866.33</v>
      </c>
      <c r="N40" s="243">
        <f t="shared" si="43"/>
        <v>33394.880000000005</v>
      </c>
      <c r="O40" s="243">
        <f t="shared" si="43"/>
        <v>86342.69</v>
      </c>
      <c r="P40" s="243">
        <f t="shared" si="43"/>
        <v>8196.92</v>
      </c>
      <c r="Q40" s="243">
        <f t="shared" si="43"/>
        <v>0</v>
      </c>
      <c r="R40" s="243">
        <f t="shared" si="43"/>
        <v>0</v>
      </c>
      <c r="S40" s="243">
        <f t="shared" si="43"/>
        <v>9000</v>
      </c>
      <c r="T40" s="243">
        <f t="shared" si="43"/>
        <v>0</v>
      </c>
      <c r="U40" s="243">
        <f t="shared" si="43"/>
        <v>1041808.3200000001</v>
      </c>
      <c r="V40" s="243">
        <f t="shared" si="43"/>
        <v>88802.91999999998</v>
      </c>
      <c r="W40" s="243">
        <f t="shared" si="43"/>
        <v>52617.47</v>
      </c>
      <c r="X40" s="243">
        <f t="shared" si="43"/>
        <v>360836.52999999997</v>
      </c>
      <c r="Y40" s="243">
        <f t="shared" si="43"/>
        <v>71217.91</v>
      </c>
      <c r="Z40" s="243">
        <f t="shared" si="43"/>
        <v>118048.15999999999</v>
      </c>
      <c r="AA40" s="243">
        <f t="shared" si="43"/>
        <v>285915.55</v>
      </c>
      <c r="AB40" s="243">
        <f t="shared" si="43"/>
        <v>82959.95999999999</v>
      </c>
      <c r="AC40" s="243">
        <f t="shared" si="43"/>
        <v>0</v>
      </c>
      <c r="AD40" s="243">
        <f t="shared" si="43"/>
        <v>0</v>
      </c>
      <c r="AE40" s="243">
        <f t="shared" si="43"/>
        <v>7084.160000000001</v>
      </c>
      <c r="AF40" s="243">
        <f t="shared" si="43"/>
        <v>978679.74</v>
      </c>
      <c r="AG40" s="243">
        <f t="shared" si="43"/>
        <v>1228817.8880182</v>
      </c>
      <c r="AH40" s="243">
        <f t="shared" si="43"/>
        <v>0</v>
      </c>
      <c r="AI40" s="243">
        <f t="shared" si="43"/>
        <v>0</v>
      </c>
      <c r="AJ40" s="243">
        <f t="shared" si="43"/>
        <v>49816.63336000001</v>
      </c>
      <c r="AK40" s="243">
        <f t="shared" si="43"/>
        <v>87124.8</v>
      </c>
      <c r="AL40" s="243">
        <f t="shared" si="43"/>
        <v>27187.321308000006</v>
      </c>
      <c r="AM40" s="243">
        <f t="shared" si="43"/>
        <v>135276.77734346</v>
      </c>
      <c r="AN40" s="243">
        <f t="shared" si="43"/>
        <v>13503.167999999996</v>
      </c>
      <c r="AO40" s="243">
        <f t="shared" si="43"/>
        <v>200682.94549110797</v>
      </c>
      <c r="AP40" s="243">
        <f t="shared" si="43"/>
        <v>224604.7428862816</v>
      </c>
      <c r="AQ40" s="243">
        <f t="shared" si="43"/>
        <v>48225.600000000006</v>
      </c>
      <c r="AR40" s="243">
        <f t="shared" si="43"/>
        <v>48225.600000000006</v>
      </c>
      <c r="AS40" s="243">
        <f t="shared" si="43"/>
        <v>36972.95999999999</v>
      </c>
      <c r="AT40" s="243">
        <f t="shared" si="43"/>
        <v>11708.787600000001</v>
      </c>
      <c r="AU40" s="243">
        <f t="shared" si="43"/>
        <v>396406.6126</v>
      </c>
      <c r="AV40" s="243">
        <f t="shared" si="43"/>
        <v>3754</v>
      </c>
      <c r="AW40" s="243">
        <f t="shared" si="43"/>
        <v>104055.25</v>
      </c>
      <c r="AX40" s="243">
        <f t="shared" si="43"/>
        <v>39320.6954</v>
      </c>
      <c r="AY40" s="295"/>
      <c r="AZ40" s="295"/>
      <c r="BA40" s="243">
        <f>BA38+AY24</f>
        <v>17726.833599999998</v>
      </c>
      <c r="BB40" s="243">
        <f>BB38+AZ24</f>
        <v>0</v>
      </c>
      <c r="BC40" s="243">
        <f>BC38+BA24</f>
        <v>313097.7079999999</v>
      </c>
      <c r="BD40" s="243">
        <f>BD38+BB24</f>
        <v>9352.848000000002</v>
      </c>
      <c r="BE40" s="243">
        <f>BE38+BE24</f>
        <v>1419862.2133128494</v>
      </c>
      <c r="BF40" s="243">
        <f>BF38+BF24</f>
        <v>-141227.69193464945</v>
      </c>
      <c r="BG40" s="244">
        <f>BG38+BG24</f>
        <v>-63128.579999999994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F49" sqref="F49"/>
    </sheetView>
  </sheetViews>
  <sheetFormatPr defaultColWidth="9.00390625" defaultRowHeight="12.75"/>
  <cols>
    <col min="1" max="1" width="10.00390625" style="170" customWidth="1"/>
    <col min="2" max="2" width="9.00390625" style="170" customWidth="1"/>
    <col min="3" max="3" width="11.00390625" style="170" customWidth="1"/>
    <col min="4" max="4" width="10.75390625" style="170" customWidth="1"/>
    <col min="5" max="5" width="12.625" style="170" customWidth="1"/>
    <col min="6" max="6" width="9.00390625" style="170" customWidth="1"/>
    <col min="7" max="7" width="9.875" style="170" customWidth="1"/>
    <col min="8" max="8" width="11.75390625" style="170" customWidth="1"/>
    <col min="9" max="9" width="10.375" style="170" customWidth="1"/>
    <col min="10" max="10" width="10.25390625" style="170" customWidth="1"/>
    <col min="11" max="12" width="9.875" style="170" customWidth="1"/>
    <col min="13" max="13" width="10.125" style="170" customWidth="1"/>
    <col min="14" max="14" width="9.625" style="170" customWidth="1"/>
    <col min="15" max="15" width="12.00390625" style="170" customWidth="1"/>
    <col min="16" max="16" width="10.375" style="170" customWidth="1"/>
    <col min="17" max="17" width="10.25390625" style="170" customWidth="1"/>
    <col min="18" max="18" width="10.25390625" style="170" hidden="1" customWidth="1"/>
    <col min="19" max="16384" width="9.125" style="170" customWidth="1"/>
  </cols>
  <sheetData>
    <row r="1" spans="2:9" ht="20.25" customHeight="1">
      <c r="B1" s="352" t="s">
        <v>55</v>
      </c>
      <c r="C1" s="352"/>
      <c r="D1" s="352"/>
      <c r="E1" s="352"/>
      <c r="F1" s="352"/>
      <c r="G1" s="352"/>
      <c r="H1" s="352"/>
      <c r="I1" s="153"/>
    </row>
    <row r="2" spans="2:12" ht="21" customHeight="1">
      <c r="B2" s="352" t="s">
        <v>56</v>
      </c>
      <c r="C2" s="352"/>
      <c r="D2" s="352"/>
      <c r="E2" s="352"/>
      <c r="F2" s="352"/>
      <c r="G2" s="352"/>
      <c r="H2" s="352"/>
      <c r="I2" s="153"/>
      <c r="K2" s="169"/>
      <c r="L2" s="169"/>
    </row>
    <row r="5" spans="1:14" ht="12.75">
      <c r="A5" s="354" t="s">
        <v>121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</row>
    <row r="6" spans="1:14" ht="12.75">
      <c r="A6" s="355" t="s">
        <v>126</v>
      </c>
      <c r="B6" s="355"/>
      <c r="C6" s="355"/>
      <c r="D6" s="355"/>
      <c r="E6" s="355"/>
      <c r="F6" s="355"/>
      <c r="G6" s="355"/>
      <c r="H6" s="105"/>
      <c r="I6" s="105"/>
      <c r="J6" s="105"/>
      <c r="K6" s="105"/>
      <c r="L6" s="105"/>
      <c r="M6" s="105"/>
      <c r="N6" s="105"/>
    </row>
    <row r="7" spans="1:15" ht="13.5" thickBot="1">
      <c r="A7" s="296" t="s">
        <v>125</v>
      </c>
      <c r="B7" s="297"/>
      <c r="C7" s="297"/>
      <c r="D7" s="297"/>
      <c r="E7" s="297"/>
      <c r="F7" s="297"/>
      <c r="J7" s="245"/>
      <c r="K7" s="245"/>
      <c r="L7" s="245"/>
      <c r="M7" s="245"/>
      <c r="N7" s="245"/>
      <c r="O7" s="245"/>
    </row>
    <row r="8" spans="1:18" ht="12.75" customHeight="1">
      <c r="A8" s="299" t="s">
        <v>58</v>
      </c>
      <c r="B8" s="356" t="s">
        <v>1</v>
      </c>
      <c r="C8" s="346" t="s">
        <v>127</v>
      </c>
      <c r="D8" s="349" t="s">
        <v>3</v>
      </c>
      <c r="E8" s="370" t="s">
        <v>60</v>
      </c>
      <c r="F8" s="371"/>
      <c r="G8" s="374" t="s">
        <v>61</v>
      </c>
      <c r="H8" s="375"/>
      <c r="I8" s="464" t="s">
        <v>117</v>
      </c>
      <c r="J8" s="467" t="s">
        <v>10</v>
      </c>
      <c r="K8" s="468"/>
      <c r="L8" s="468"/>
      <c r="M8" s="468"/>
      <c r="N8" s="468"/>
      <c r="O8" s="469"/>
      <c r="P8" s="473" t="s">
        <v>62</v>
      </c>
      <c r="Q8" s="473" t="s">
        <v>12</v>
      </c>
      <c r="R8" s="473" t="s">
        <v>122</v>
      </c>
    </row>
    <row r="9" spans="1:18" ht="12.75">
      <c r="A9" s="300"/>
      <c r="B9" s="357"/>
      <c r="C9" s="347"/>
      <c r="D9" s="350"/>
      <c r="E9" s="372"/>
      <c r="F9" s="373"/>
      <c r="G9" s="376"/>
      <c r="H9" s="377"/>
      <c r="I9" s="465"/>
      <c r="J9" s="470"/>
      <c r="K9" s="471"/>
      <c r="L9" s="471"/>
      <c r="M9" s="471"/>
      <c r="N9" s="471"/>
      <c r="O9" s="472"/>
      <c r="P9" s="474"/>
      <c r="Q9" s="474"/>
      <c r="R9" s="474"/>
    </row>
    <row r="10" spans="1:18" ht="26.25" customHeight="1">
      <c r="A10" s="300"/>
      <c r="B10" s="357"/>
      <c r="C10" s="347"/>
      <c r="D10" s="350"/>
      <c r="E10" s="362" t="s">
        <v>63</v>
      </c>
      <c r="F10" s="363"/>
      <c r="G10" s="91" t="s">
        <v>64</v>
      </c>
      <c r="H10" s="364" t="s">
        <v>7</v>
      </c>
      <c r="I10" s="465"/>
      <c r="J10" s="366" t="s">
        <v>65</v>
      </c>
      <c r="K10" s="368" t="s">
        <v>118</v>
      </c>
      <c r="L10" s="368" t="s">
        <v>66</v>
      </c>
      <c r="M10" s="368" t="s">
        <v>37</v>
      </c>
      <c r="N10" s="369" t="s">
        <v>119</v>
      </c>
      <c r="O10" s="365" t="s">
        <v>39</v>
      </c>
      <c r="P10" s="474"/>
      <c r="Q10" s="474"/>
      <c r="R10" s="474"/>
    </row>
    <row r="11" spans="1:18" ht="66.75" customHeight="1" thickBot="1">
      <c r="A11" s="390"/>
      <c r="B11" s="358"/>
      <c r="C11" s="348"/>
      <c r="D11" s="351"/>
      <c r="E11" s="65" t="s">
        <v>68</v>
      </c>
      <c r="F11" s="69" t="s">
        <v>21</v>
      </c>
      <c r="G11" s="84" t="s">
        <v>69</v>
      </c>
      <c r="H11" s="365"/>
      <c r="I11" s="466"/>
      <c r="J11" s="367"/>
      <c r="K11" s="369"/>
      <c r="L11" s="369"/>
      <c r="M11" s="369"/>
      <c r="N11" s="476"/>
      <c r="O11" s="459"/>
      <c r="P11" s="475"/>
      <c r="Q11" s="475"/>
      <c r="R11" s="475"/>
    </row>
    <row r="12" spans="1:18" ht="13.5" thickBot="1">
      <c r="A12" s="66">
        <v>1</v>
      </c>
      <c r="B12" s="67">
        <v>2</v>
      </c>
      <c r="C12" s="66">
        <v>3</v>
      </c>
      <c r="D12" s="67">
        <v>4</v>
      </c>
      <c r="E12" s="246">
        <v>5</v>
      </c>
      <c r="F12" s="176">
        <v>6</v>
      </c>
      <c r="G12" s="246">
        <v>7</v>
      </c>
      <c r="H12" s="176">
        <v>8</v>
      </c>
      <c r="I12" s="247">
        <v>9</v>
      </c>
      <c r="J12" s="246">
        <v>10</v>
      </c>
      <c r="K12" s="176">
        <v>11</v>
      </c>
      <c r="L12" s="247">
        <v>12</v>
      </c>
      <c r="M12" s="66">
        <v>13</v>
      </c>
      <c r="N12" s="246">
        <v>14</v>
      </c>
      <c r="O12" s="176">
        <v>15</v>
      </c>
      <c r="P12" s="247">
        <v>16</v>
      </c>
      <c r="Q12" s="176">
        <v>17</v>
      </c>
      <c r="R12" s="176">
        <v>18</v>
      </c>
    </row>
    <row r="13" spans="1:18" ht="13.5" thickBot="1">
      <c r="A13" s="378" t="s">
        <v>93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248"/>
      <c r="P13" s="249"/>
      <c r="Q13" s="249"/>
      <c r="R13" s="276"/>
    </row>
    <row r="14" spans="1:19" s="20" customFormat="1" ht="13.5" hidden="1" thickBot="1">
      <c r="A14" s="83" t="s">
        <v>54</v>
      </c>
      <c r="B14" s="38"/>
      <c r="C14" s="39">
        <f>'2012 полн'!C8</f>
        <v>625685.6399999999</v>
      </c>
      <c r="D14" s="39">
        <f>'2012 полн'!D8</f>
        <v>153750.0085182</v>
      </c>
      <c r="E14" s="39">
        <f>'2012 полн'!U8</f>
        <v>459927.39</v>
      </c>
      <c r="F14" s="39">
        <f>'2012 полн'!V8</f>
        <v>88802.91999999998</v>
      </c>
      <c r="G14" s="39">
        <f>'2012 полн'!AF8</f>
        <v>424325.96</v>
      </c>
      <c r="H14" s="39">
        <f>'2012 полн'!AG8</f>
        <v>666878.8885182</v>
      </c>
      <c r="I14" s="39">
        <f>'2012 полн'!AJ8</f>
        <v>18128.44936</v>
      </c>
      <c r="J14" s="39">
        <f>'2012 полн'!AK8</f>
        <v>42757.24800000001</v>
      </c>
      <c r="K14" s="39">
        <f>'2012 полн'!AL8</f>
        <v>14327.161308000002</v>
      </c>
      <c r="L14" s="39">
        <f>'2012 полн'!AM8+'2012 полн'!AN8+'2012 полн'!AO8+'2012 полн'!AP8+'2012 полн'!AQ8+'2012 полн'!AR8+'2012 полн'!AS8+'2012 полн'!AT8+'2012 полн'!AX8+'2012 полн'!AY8-489.72</f>
        <v>334300.8123208496</v>
      </c>
      <c r="M14" s="39">
        <f>'2012 полн'!AU8+'2012 полн'!AV8+'2012 полн'!AW8</f>
        <v>403768.8626</v>
      </c>
      <c r="N14" s="39">
        <f>'2012 полн'!BD8</f>
        <v>7395.143083999999</v>
      </c>
      <c r="O14" s="39">
        <f>SUM(J14:N14)</f>
        <v>802549.2273128496</v>
      </c>
      <c r="P14" s="39">
        <f>H14+I14-O14</f>
        <v>-117541.88943464961</v>
      </c>
      <c r="Q14" s="39">
        <f>'2012 полн'!BG8</f>
        <v>-35601.43000000001</v>
      </c>
      <c r="R14" s="277">
        <v>-12839.17</v>
      </c>
      <c r="S14" s="74"/>
    </row>
    <row r="15" spans="1:19" ht="13.5" hidden="1" thickBot="1">
      <c r="A15" s="250" t="s">
        <v>116</v>
      </c>
      <c r="B15" s="251"/>
      <c r="C15" s="252"/>
      <c r="D15" s="253"/>
      <c r="E15" s="254"/>
      <c r="F15" s="255"/>
      <c r="G15" s="256"/>
      <c r="H15" s="255"/>
      <c r="I15" s="257"/>
      <c r="J15" s="256"/>
      <c r="K15" s="258"/>
      <c r="L15" s="258"/>
      <c r="M15" s="259"/>
      <c r="N15" s="260"/>
      <c r="O15" s="261"/>
      <c r="P15" s="262"/>
      <c r="Q15" s="262"/>
      <c r="R15" s="276"/>
      <c r="S15" s="169"/>
    </row>
    <row r="16" spans="1:19" ht="13.5" hidden="1" thickBot="1">
      <c r="A16" s="263" t="s">
        <v>45</v>
      </c>
      <c r="B16" s="264">
        <f>'2012 полн'!B10</f>
        <v>2679.2</v>
      </c>
      <c r="C16" s="265">
        <f>'2012 полн'!C10</f>
        <v>22907.16</v>
      </c>
      <c r="D16" s="266">
        <f>'2012 полн'!D10</f>
        <v>411.978</v>
      </c>
      <c r="E16" s="267">
        <f>'2012 полн'!U10</f>
        <v>23099.1</v>
      </c>
      <c r="F16" s="267">
        <f>'2012 полн'!V10</f>
        <v>0</v>
      </c>
      <c r="G16" s="268">
        <f>'2012 полн'!AF10</f>
        <v>21527.530000000002</v>
      </c>
      <c r="H16" s="268">
        <f>'2012 полн'!AG10</f>
        <v>21939.508</v>
      </c>
      <c r="I16" s="268">
        <f>'2012 полн'!AJ10</f>
        <v>1095.612</v>
      </c>
      <c r="J16" s="268">
        <f>'2012 полн'!AK10</f>
        <v>1795.064</v>
      </c>
      <c r="K16" s="268">
        <f>'2012 полн'!AL10</f>
        <v>535.84</v>
      </c>
      <c r="L16" s="267">
        <f>'2012 полн'!AM10+'2012 полн'!AN10+'2012 полн'!AO10+'2012 полн'!AP10+'2012 полн'!AQ10+'2012 полн'!AR10+'2012 полн'!AS10+'2012 полн'!AT10</f>
        <v>21169.172</v>
      </c>
      <c r="M16" s="269">
        <f>'2012 полн'!AU10+'2012 полн'!AV10+'2012 полн'!AW10+'2012 полн'!AX10</f>
        <v>733.87</v>
      </c>
      <c r="N16" s="270">
        <f>'2012 полн'!BD10</f>
        <v>735.654</v>
      </c>
      <c r="O16" s="271">
        <f>SUM(J16:N16)</f>
        <v>24969.599999999995</v>
      </c>
      <c r="P16" s="272">
        <f>H16+I16-O16</f>
        <v>-1934.4799999999923</v>
      </c>
      <c r="Q16" s="272">
        <f>'2012 полн'!BG10</f>
        <v>-1571.569999999996</v>
      </c>
      <c r="R16" s="276">
        <v>-981.61</v>
      </c>
      <c r="S16" s="169"/>
    </row>
    <row r="17" spans="1:19" ht="13.5" hidden="1" thickBot="1">
      <c r="A17" s="184" t="s">
        <v>46</v>
      </c>
      <c r="B17" s="264">
        <f>'2012 полн'!B11</f>
        <v>2679.2</v>
      </c>
      <c r="C17" s="265">
        <f>'2012 полн'!C11</f>
        <v>22907.16</v>
      </c>
      <c r="D17" s="266">
        <f>'2012 полн'!D11</f>
        <v>411.978</v>
      </c>
      <c r="E17" s="267">
        <f>'2012 полн'!U11</f>
        <v>22664.92</v>
      </c>
      <c r="F17" s="267">
        <f>'2012 полн'!V11</f>
        <v>0</v>
      </c>
      <c r="G17" s="268">
        <f>'2012 полн'!AF11</f>
        <v>20032.67</v>
      </c>
      <c r="H17" s="268">
        <f>'2012 полн'!AG11</f>
        <v>20444.647999999997</v>
      </c>
      <c r="I17" s="268">
        <f>'2012 полн'!AJ11</f>
        <v>1095.612</v>
      </c>
      <c r="J17" s="268">
        <f>'2012 полн'!AK11</f>
        <v>1795.064</v>
      </c>
      <c r="K17" s="268">
        <f>'2012 полн'!AL11</f>
        <v>535.84</v>
      </c>
      <c r="L17" s="267">
        <f>'2012 полн'!AM11+'2012 полн'!AN11+'2012 полн'!AO11+'2012 полн'!AP11+'2012 полн'!AQ11+'2012 полн'!AR11+'2012 полн'!AS11+'2012 полн'!AT11</f>
        <v>18717.571999999996</v>
      </c>
      <c r="M17" s="269">
        <f>'2012 полн'!AU11+'2012 полн'!AV11+'2012 полн'!AW11+'2012 полн'!AX11</f>
        <v>2719.56</v>
      </c>
      <c r="N17" s="270">
        <f>'2012 полн'!BD11</f>
        <v>735.654</v>
      </c>
      <c r="O17" s="271">
        <f aca="true" t="shared" si="0" ref="O17:O27">SUM(J17:N17)</f>
        <v>24503.689999999995</v>
      </c>
      <c r="P17" s="272">
        <f aca="true" t="shared" si="1" ref="P17:P27">H17+I17-O17</f>
        <v>-2963.4299999999967</v>
      </c>
      <c r="Q17" s="272">
        <f>'2012 полн'!BG11</f>
        <v>-2632.25</v>
      </c>
      <c r="R17" s="276">
        <v>-981.61</v>
      </c>
      <c r="S17" s="169"/>
    </row>
    <row r="18" spans="1:19" ht="13.5" hidden="1" thickBot="1">
      <c r="A18" s="184" t="s">
        <v>47</v>
      </c>
      <c r="B18" s="264">
        <f>'2012 полн'!B12</f>
        <v>2679.2</v>
      </c>
      <c r="C18" s="265">
        <f>'2012 полн'!C12</f>
        <v>22907.16</v>
      </c>
      <c r="D18" s="266">
        <f>'2012 полн'!D12</f>
        <v>411.978</v>
      </c>
      <c r="E18" s="267">
        <f>'2012 полн'!U12</f>
        <v>24682.04</v>
      </c>
      <c r="F18" s="267">
        <f>'2012 полн'!V12</f>
        <v>0</v>
      </c>
      <c r="G18" s="268">
        <f>'2012 полн'!AF12</f>
        <v>19444.06</v>
      </c>
      <c r="H18" s="268">
        <f>'2012 полн'!AG12</f>
        <v>19856.038</v>
      </c>
      <c r="I18" s="268">
        <f>'2012 полн'!AJ12</f>
        <v>1095.612</v>
      </c>
      <c r="J18" s="268">
        <f>'2012 полн'!AK12</f>
        <v>1795.064</v>
      </c>
      <c r="K18" s="268">
        <f>'2012 полн'!AL12</f>
        <v>535.84</v>
      </c>
      <c r="L18" s="267">
        <f>'2012 полн'!AM12+'2012 полн'!AN12+'2012 полн'!AO12+'2012 полн'!AP12+'2012 полн'!AQ12+'2012 полн'!AR12+'2012 полн'!AS12+'2012 полн'!AT12</f>
        <v>18717.571999999996</v>
      </c>
      <c r="M18" s="269">
        <f>'2012 полн'!AU12+'2012 полн'!AV12+'2012 полн'!AW12+'2012 полн'!AX12</f>
        <v>12156.06</v>
      </c>
      <c r="N18" s="270">
        <f>'2012 полн'!BD12</f>
        <v>735.654</v>
      </c>
      <c r="O18" s="271">
        <f t="shared" si="0"/>
        <v>33940.189999999995</v>
      </c>
      <c r="P18" s="272">
        <f t="shared" si="1"/>
        <v>-12988.539999999994</v>
      </c>
      <c r="Q18" s="272">
        <f>'2012 полн'!BG12</f>
        <v>-5237.98</v>
      </c>
      <c r="R18" s="276">
        <v>-981.61</v>
      </c>
      <c r="S18" s="169"/>
    </row>
    <row r="19" spans="1:19" ht="13.5" hidden="1" thickBot="1">
      <c r="A19" s="184" t="s">
        <v>48</v>
      </c>
      <c r="B19" s="264">
        <f>'2012 полн'!B13</f>
        <v>2679.2</v>
      </c>
      <c r="C19" s="265">
        <f>'2012 полн'!C13</f>
        <v>22907.16</v>
      </c>
      <c r="D19" s="266">
        <f>'2012 полн'!D13</f>
        <v>411.978</v>
      </c>
      <c r="E19" s="267">
        <f>'2012 полн'!U13</f>
        <v>23577.39</v>
      </c>
      <c r="F19" s="267">
        <f>'2012 полн'!V13</f>
        <v>0</v>
      </c>
      <c r="G19" s="268">
        <f>'2012 полн'!AF13</f>
        <v>21729.050000000003</v>
      </c>
      <c r="H19" s="268">
        <f>'2012 полн'!AG13</f>
        <v>22141.028000000002</v>
      </c>
      <c r="I19" s="268">
        <f>'2012 полн'!AJ13</f>
        <v>1095.612</v>
      </c>
      <c r="J19" s="268">
        <f>'2012 полн'!AK13</f>
        <v>1795.064</v>
      </c>
      <c r="K19" s="268">
        <f>'2012 полн'!AL13</f>
        <v>535.84</v>
      </c>
      <c r="L19" s="267">
        <f>'2012 полн'!AM13+'2012 полн'!AN13+'2012 полн'!AO13+'2012 полн'!AP13+'2012 полн'!AQ13+'2012 полн'!AR13+'2012 полн'!AS13+'2012 полн'!AT13</f>
        <v>15636.491999999998</v>
      </c>
      <c r="M19" s="269">
        <f>'2012 полн'!AU13+'2012 полн'!AV13+'2012 полн'!AW13+'2012 полн'!AX13</f>
        <v>2687</v>
      </c>
      <c r="N19" s="270">
        <f>'2012 полн'!BD13</f>
        <v>735.654</v>
      </c>
      <c r="O19" s="271">
        <f t="shared" si="0"/>
        <v>21390.049999999996</v>
      </c>
      <c r="P19" s="272">
        <f t="shared" si="1"/>
        <v>1846.5900000000074</v>
      </c>
      <c r="Q19" s="272">
        <f>'2012 полн'!BG13</f>
        <v>-1848.3399999999965</v>
      </c>
      <c r="R19" s="276">
        <v>-981.61</v>
      </c>
      <c r="S19" s="169"/>
    </row>
    <row r="20" spans="1:19" ht="13.5" hidden="1" thickBot="1">
      <c r="A20" s="184" t="s">
        <v>49</v>
      </c>
      <c r="B20" s="264">
        <f>'2012 полн'!B14</f>
        <v>2679.2</v>
      </c>
      <c r="C20" s="265">
        <f>'2012 полн'!C14</f>
        <v>22907.16</v>
      </c>
      <c r="D20" s="266">
        <f>'2012 полн'!D14</f>
        <v>411.978</v>
      </c>
      <c r="E20" s="267">
        <f>'2012 полн'!U14</f>
        <v>23521.45</v>
      </c>
      <c r="F20" s="267">
        <f>'2012 полн'!V14</f>
        <v>0</v>
      </c>
      <c r="G20" s="268">
        <f>'2012 полн'!AF14</f>
        <v>16278.14</v>
      </c>
      <c r="H20" s="268">
        <f>'2012 полн'!AG14</f>
        <v>16690.118</v>
      </c>
      <c r="I20" s="268">
        <f>'2012 полн'!AJ14</f>
        <v>1095.612</v>
      </c>
      <c r="J20" s="268">
        <f>'2012 полн'!AK14</f>
        <v>1795.064</v>
      </c>
      <c r="K20" s="268">
        <f>'2012 полн'!AL14</f>
        <v>535.84</v>
      </c>
      <c r="L20" s="267">
        <f>'2012 полн'!AM14+'2012 полн'!AN14+'2012 полн'!AO14+'2012 полн'!AP14+'2012 полн'!AQ14+'2012 полн'!AR14+'2012 полн'!AS14+'2012 полн'!AT14</f>
        <v>15636.491999999998</v>
      </c>
      <c r="M20" s="269">
        <f>'2012 полн'!AU14+'2012 полн'!AV14+'2012 полн'!AW14+'2012 полн'!AX14</f>
        <v>312</v>
      </c>
      <c r="N20" s="270">
        <f>'2012 полн'!BD14</f>
        <v>735.654</v>
      </c>
      <c r="O20" s="271">
        <f t="shared" si="0"/>
        <v>19015.049999999996</v>
      </c>
      <c r="P20" s="272">
        <f t="shared" si="1"/>
        <v>-1229.319999999996</v>
      </c>
      <c r="Q20" s="272">
        <f>'2012 полн'!BG14</f>
        <v>-7243.310000000001</v>
      </c>
      <c r="R20" s="276">
        <v>-981.61</v>
      </c>
      <c r="S20" s="169"/>
    </row>
    <row r="21" spans="1:19" ht="13.5" hidden="1" thickBot="1">
      <c r="A21" s="184" t="s">
        <v>50</v>
      </c>
      <c r="B21" s="264">
        <f>'2012 полн'!B15</f>
        <v>2679.2</v>
      </c>
      <c r="C21" s="265">
        <f>'2012 полн'!C15</f>
        <v>22907.16</v>
      </c>
      <c r="D21" s="266">
        <f>'2012 полн'!D15</f>
        <v>411.978</v>
      </c>
      <c r="E21" s="267">
        <f>'2012 полн'!U15</f>
        <v>23221.44</v>
      </c>
      <c r="F21" s="267">
        <f>'2012 полн'!V15</f>
        <v>0</v>
      </c>
      <c r="G21" s="268">
        <f>'2012 полн'!AF15</f>
        <v>28352.46</v>
      </c>
      <c r="H21" s="268">
        <f>'2012 полн'!AG15</f>
        <v>28764.438</v>
      </c>
      <c r="I21" s="268">
        <f>'2012 полн'!AJ15</f>
        <v>1095.612</v>
      </c>
      <c r="J21" s="268">
        <f>'2012 полн'!AK15</f>
        <v>1795.064</v>
      </c>
      <c r="K21" s="268">
        <f>'2012 полн'!AL15</f>
        <v>535.84</v>
      </c>
      <c r="L21" s="267">
        <f>'2012 полн'!AM15+'2012 полн'!AN15+'2012 полн'!AO15+'2012 полн'!AP15+'2012 полн'!AQ15+'2012 полн'!AR15+'2012 полн'!AS15+'2012 полн'!AT15</f>
        <v>15636.491999999998</v>
      </c>
      <c r="M21" s="269">
        <f>'2012 полн'!AU15+'2012 полн'!AV15+'2012 полн'!AW15+'2012 полн'!AX15</f>
        <v>1400</v>
      </c>
      <c r="N21" s="270">
        <f>'2012 полн'!BD15</f>
        <v>735.654</v>
      </c>
      <c r="O21" s="271">
        <f t="shared" si="0"/>
        <v>20103.049999999996</v>
      </c>
      <c r="P21" s="272">
        <f t="shared" si="1"/>
        <v>9757.000000000004</v>
      </c>
      <c r="Q21" s="272">
        <f>'2012 полн'!BG15</f>
        <v>5131.02</v>
      </c>
      <c r="R21" s="276">
        <v>-981.61</v>
      </c>
      <c r="S21" s="169"/>
    </row>
    <row r="22" spans="1:18" ht="13.5" hidden="1" thickBot="1">
      <c r="A22" s="184" t="s">
        <v>51</v>
      </c>
      <c r="B22" s="264">
        <f>'2012 полн'!B16</f>
        <v>2679.2</v>
      </c>
      <c r="C22" s="265">
        <f>'2012 полн'!C16</f>
        <v>22907.16</v>
      </c>
      <c r="D22" s="266">
        <f>'2012 полн'!D16</f>
        <v>411.978</v>
      </c>
      <c r="E22" s="267">
        <f>'2012 полн'!U16</f>
        <v>23205.949999999997</v>
      </c>
      <c r="F22" s="267">
        <f>'2012 полн'!V16</f>
        <v>0</v>
      </c>
      <c r="G22" s="268">
        <f>'2012 полн'!AF16</f>
        <v>23366.77</v>
      </c>
      <c r="H22" s="268">
        <f>'2012 полн'!AG16</f>
        <v>23778.748</v>
      </c>
      <c r="I22" s="268">
        <f>'2012 полн'!AJ16</f>
        <v>1095.612</v>
      </c>
      <c r="J22" s="268">
        <f>'2012 полн'!AK16</f>
        <v>1795.064</v>
      </c>
      <c r="K22" s="268">
        <f>'2012 полн'!AL16</f>
        <v>535.84</v>
      </c>
      <c r="L22" s="267">
        <f>'2012 полн'!AM16+'2012 полн'!AN16+'2012 полн'!AO16+'2012 полн'!AP16+'2012 полн'!AQ16+'2012 полн'!AR16+'2012 полн'!AS16+'2012 полн'!AT16</f>
        <v>15636.491999999998</v>
      </c>
      <c r="M22" s="269">
        <f>'2012 полн'!AU16+'2012 полн'!AV16+'2012 полн'!AW16+'2012 полн'!AX16</f>
        <v>8160.639999999999</v>
      </c>
      <c r="N22" s="270">
        <f>'2012 полн'!BD16</f>
        <v>735.654</v>
      </c>
      <c r="O22" s="271">
        <f t="shared" si="0"/>
        <v>26863.689999999995</v>
      </c>
      <c r="P22" s="272">
        <f t="shared" si="1"/>
        <v>-1989.3299999999945</v>
      </c>
      <c r="Q22" s="272">
        <f>'2012 полн'!BG16</f>
        <v>160.82000000000335</v>
      </c>
      <c r="R22" s="276">
        <v>-981.61</v>
      </c>
    </row>
    <row r="23" spans="1:18" ht="13.5" hidden="1" thickBot="1">
      <c r="A23" s="184" t="s">
        <v>52</v>
      </c>
      <c r="B23" s="264">
        <f>'2012 полн'!B17</f>
        <v>2679.2</v>
      </c>
      <c r="C23" s="265">
        <f>'2012 полн'!C17</f>
        <v>22907.16</v>
      </c>
      <c r="D23" s="266">
        <f>'2012 полн'!D17</f>
        <v>411.978</v>
      </c>
      <c r="E23" s="267">
        <f>'2012 полн'!U17</f>
        <v>23221.45</v>
      </c>
      <c r="F23" s="267">
        <f>'2012 полн'!V17</f>
        <v>0</v>
      </c>
      <c r="G23" s="268">
        <f>'2012 полн'!AF17</f>
        <v>16772.25</v>
      </c>
      <c r="H23" s="268">
        <f>'2012 полн'!AG17</f>
        <v>17184.228</v>
      </c>
      <c r="I23" s="268">
        <f>'2012 полн'!AJ17</f>
        <v>1095.612</v>
      </c>
      <c r="J23" s="268">
        <f>'2012 полн'!AK17</f>
        <v>1795.064</v>
      </c>
      <c r="K23" s="268">
        <f>'2012 полн'!AL17</f>
        <v>535.84</v>
      </c>
      <c r="L23" s="267">
        <f>'2012 полн'!AM17+'2012 полн'!AN17+'2012 полн'!AO17+'2012 полн'!AP17+'2012 полн'!AQ17+'2012 полн'!AR17+'2012 полн'!AS17+'2012 полн'!AT17</f>
        <v>15636.491999999998</v>
      </c>
      <c r="M23" s="269">
        <f>'2012 полн'!AU17+'2012 полн'!AV17+'2012 полн'!AW17+'2012 полн'!AX17</f>
        <v>0</v>
      </c>
      <c r="N23" s="270">
        <f>'2012 полн'!BD17</f>
        <v>735.654</v>
      </c>
      <c r="O23" s="271">
        <f t="shared" si="0"/>
        <v>18703.049999999996</v>
      </c>
      <c r="P23" s="272">
        <f t="shared" si="1"/>
        <v>-423.2099999999955</v>
      </c>
      <c r="Q23" s="272">
        <f>'2012 полн'!BG17</f>
        <v>-6449.200000000001</v>
      </c>
      <c r="R23" s="276">
        <v>-981.61</v>
      </c>
    </row>
    <row r="24" spans="1:18" ht="13.5" hidden="1" thickBot="1">
      <c r="A24" s="184" t="s">
        <v>53</v>
      </c>
      <c r="B24" s="264">
        <f>'2012 полн'!B18</f>
        <v>2679.2</v>
      </c>
      <c r="C24" s="265">
        <f>'2012 полн'!C18</f>
        <v>22907.16</v>
      </c>
      <c r="D24" s="266">
        <f>'2012 полн'!D18</f>
        <v>411.978</v>
      </c>
      <c r="E24" s="267">
        <f>'2012 полн'!U18</f>
        <v>23562.61</v>
      </c>
      <c r="F24" s="267">
        <f>'2012 полн'!V18</f>
        <v>0</v>
      </c>
      <c r="G24" s="268">
        <f>'2012 полн'!AF18</f>
        <v>24488.010000000002</v>
      </c>
      <c r="H24" s="268">
        <f>'2012 полн'!AG18</f>
        <v>24899.988</v>
      </c>
      <c r="I24" s="268">
        <f>'2012 полн'!AJ18</f>
        <v>1095.612</v>
      </c>
      <c r="J24" s="268">
        <f>'2012 полн'!AK18</f>
        <v>1795.064</v>
      </c>
      <c r="K24" s="268">
        <f>'2012 полн'!AL18</f>
        <v>535.84</v>
      </c>
      <c r="L24" s="267">
        <f>'2012 полн'!AM18+'2012 полн'!AN18+'2012 полн'!AO18+'2012 полн'!AP18+'2012 полн'!AQ18+'2012 полн'!AR18+'2012 полн'!AS18+'2012 полн'!AT18</f>
        <v>15636.491999999998</v>
      </c>
      <c r="M24" s="269">
        <f>'2012 полн'!AU18+'2012 полн'!AV18+'2012 полн'!AW18+'2012 полн'!AX18</f>
        <v>373</v>
      </c>
      <c r="N24" s="270">
        <f>'2012 полн'!BD18</f>
        <v>735.654</v>
      </c>
      <c r="O24" s="271">
        <f t="shared" si="0"/>
        <v>19076.049999999996</v>
      </c>
      <c r="P24" s="272">
        <f t="shared" si="1"/>
        <v>6919.550000000007</v>
      </c>
      <c r="Q24" s="272">
        <f>'2012 полн'!BG18</f>
        <v>925.4000000000015</v>
      </c>
      <c r="R24" s="276">
        <v>-981.61</v>
      </c>
    </row>
    <row r="25" spans="1:18" ht="13.5" hidden="1" thickBot="1">
      <c r="A25" s="184" t="s">
        <v>41</v>
      </c>
      <c r="B25" s="264">
        <f>'2012 полн'!B19</f>
        <v>2679.2</v>
      </c>
      <c r="C25" s="265">
        <f>'2012 полн'!C19</f>
        <v>22907.16</v>
      </c>
      <c r="D25" s="266">
        <f>'2012 полн'!D19</f>
        <v>385.968</v>
      </c>
      <c r="E25" s="267">
        <f>'2012 полн'!U19</f>
        <v>23562.59</v>
      </c>
      <c r="F25" s="267">
        <f>'2012 полн'!V19</f>
        <v>0</v>
      </c>
      <c r="G25" s="268">
        <f>'2012 полн'!AF19</f>
        <v>18180.12</v>
      </c>
      <c r="H25" s="268">
        <f>'2012 полн'!AG19</f>
        <v>18566.088</v>
      </c>
      <c r="I25" s="268">
        <f>'2012 полн'!AJ19</f>
        <v>1095.612</v>
      </c>
      <c r="J25" s="268">
        <f>'2012 полн'!AK19</f>
        <v>1795.064</v>
      </c>
      <c r="K25" s="268">
        <f>'2012 полн'!AL19</f>
        <v>535.84</v>
      </c>
      <c r="L25" s="267">
        <f>'2012 полн'!AM19+'2012 полн'!AN19+'2012 полн'!AO19+'2012 полн'!AP19+'2012 полн'!AQ19+'2012 полн'!AR19+'2012 полн'!AS19+'2012 полн'!AT19</f>
        <v>18717.571999999996</v>
      </c>
      <c r="M25" s="269">
        <f>'2012 полн'!AU19+'2012 полн'!AV19+'2012 полн'!AW19+'2012 полн'!AX19</f>
        <v>9928.9</v>
      </c>
      <c r="N25" s="270">
        <f>'2012 полн'!BD19</f>
        <v>735.654</v>
      </c>
      <c r="O25" s="271">
        <f t="shared" si="0"/>
        <v>31713.029999999995</v>
      </c>
      <c r="P25" s="272">
        <f t="shared" si="1"/>
        <v>-12051.329999999994</v>
      </c>
      <c r="Q25" s="272">
        <f>'2012 полн'!BG19</f>
        <v>-5382.470000000001</v>
      </c>
      <c r="R25" s="276">
        <v>-981.61</v>
      </c>
    </row>
    <row r="26" spans="1:18" ht="13.5" hidden="1" thickBot="1">
      <c r="A26" s="184" t="s">
        <v>42</v>
      </c>
      <c r="B26" s="264">
        <f>'2012 полн'!B20</f>
        <v>2679.2</v>
      </c>
      <c r="C26" s="265">
        <f>'2012 полн'!C20</f>
        <v>22907.16</v>
      </c>
      <c r="D26" s="266">
        <f>'2012 полн'!D20</f>
        <v>385.968</v>
      </c>
      <c r="E26" s="267">
        <f>'2012 полн'!U20</f>
        <v>23568.910000000003</v>
      </c>
      <c r="F26" s="267">
        <f>'2012 полн'!V20</f>
        <v>0</v>
      </c>
      <c r="G26" s="268">
        <f>'2012 полн'!AF20</f>
        <v>25204.02</v>
      </c>
      <c r="H26" s="268">
        <f>'2012 полн'!AG20</f>
        <v>25589.988</v>
      </c>
      <c r="I26" s="268">
        <f>'2012 полн'!AJ20</f>
        <v>1095.612</v>
      </c>
      <c r="J26" s="268">
        <f>'2012 полн'!AK20</f>
        <v>1795.064</v>
      </c>
      <c r="K26" s="268">
        <f>'2012 полн'!AL20</f>
        <v>535.84</v>
      </c>
      <c r="L26" s="267">
        <f>'2012 полн'!AM20+'2012 полн'!AN20+'2012 полн'!AO20+'2012 полн'!AP20+'2012 полн'!AQ20+'2012 полн'!AR20+'2012 полн'!AS20+'2012 полн'!AT20</f>
        <v>18717.571999999996</v>
      </c>
      <c r="M26" s="269">
        <f>'2012 полн'!AU20+'2012 полн'!AV20+'2012 полн'!AW20+'2012 полн'!AX20</f>
        <v>8916</v>
      </c>
      <c r="N26" s="270">
        <f>'2012 полн'!BD20</f>
        <v>735.654</v>
      </c>
      <c r="O26" s="271">
        <f t="shared" si="0"/>
        <v>30700.129999999994</v>
      </c>
      <c r="P26" s="272">
        <f t="shared" si="1"/>
        <v>-4014.5299999999916</v>
      </c>
      <c r="Q26" s="272">
        <f>'2012 полн'!BG20</f>
        <v>1635.109999999997</v>
      </c>
      <c r="R26" s="276">
        <v>-981.61</v>
      </c>
    </row>
    <row r="27" spans="1:18" ht="13.5" hidden="1" thickBot="1">
      <c r="A27" s="273" t="s">
        <v>43</v>
      </c>
      <c r="B27" s="264">
        <f>'2012 полн'!B21</f>
        <v>2679.2</v>
      </c>
      <c r="C27" s="265">
        <f>'2012 полн'!C21</f>
        <v>22907.16</v>
      </c>
      <c r="D27" s="266">
        <f>'2012 полн'!D21</f>
        <v>385.968</v>
      </c>
      <c r="E27" s="267">
        <f>'2012 полн'!U21</f>
        <v>23567.65</v>
      </c>
      <c r="F27" s="267">
        <f>'2012 полн'!V21</f>
        <v>0</v>
      </c>
      <c r="G27" s="268">
        <f>'2012 полн'!AF21</f>
        <v>28194.87</v>
      </c>
      <c r="H27" s="268">
        <f>'2012 полн'!AG21</f>
        <v>28580.838</v>
      </c>
      <c r="I27" s="268">
        <f>'2012 полн'!AJ21</f>
        <v>1095.612</v>
      </c>
      <c r="J27" s="268">
        <f>'2012 полн'!AK21</f>
        <v>1795.064</v>
      </c>
      <c r="K27" s="268">
        <f>'2012 полн'!AL21</f>
        <v>535.84</v>
      </c>
      <c r="L27" s="267">
        <f>'2012 полн'!AM21+'2012 полн'!AN21+'2012 полн'!AO21+'2012 полн'!AP21+'2012 полн'!AQ21+'2012 полн'!AR21+'2012 полн'!AS21+'2012 полн'!AT21</f>
        <v>18717.571999999996</v>
      </c>
      <c r="M27" s="269">
        <f>'2012 полн'!AU21+'2012 полн'!AV21+'2012 полн'!AW21+'2012 полн'!AX21</f>
        <v>1611</v>
      </c>
      <c r="N27" s="270">
        <f>'2012 полн'!BD21</f>
        <v>735.654</v>
      </c>
      <c r="O27" s="271">
        <f t="shared" si="0"/>
        <v>23395.129999999994</v>
      </c>
      <c r="P27" s="272">
        <f t="shared" si="1"/>
        <v>6281.320000000007</v>
      </c>
      <c r="Q27" s="272">
        <f>'2012 полн'!BG21</f>
        <v>4627.2199999999975</v>
      </c>
      <c r="R27" s="276">
        <v>-981.61</v>
      </c>
    </row>
    <row r="28" spans="1:19" s="20" customFormat="1" ht="13.5" hidden="1" thickBot="1">
      <c r="A28" s="34" t="s">
        <v>5</v>
      </c>
      <c r="B28" s="35"/>
      <c r="C28" s="78">
        <f aca="true" t="shared" si="2" ref="C28:P28">SUM(C16:C27)</f>
        <v>274885.92</v>
      </c>
      <c r="D28" s="78">
        <f t="shared" si="2"/>
        <v>4865.706</v>
      </c>
      <c r="E28" s="78">
        <f t="shared" si="2"/>
        <v>281455.5</v>
      </c>
      <c r="F28" s="78">
        <f t="shared" si="2"/>
        <v>0</v>
      </c>
      <c r="G28" s="78">
        <f t="shared" si="2"/>
        <v>263569.95</v>
      </c>
      <c r="H28" s="78">
        <f t="shared" si="2"/>
        <v>268435.656</v>
      </c>
      <c r="I28" s="78">
        <f t="shared" si="2"/>
        <v>13147.344000000005</v>
      </c>
      <c r="J28" s="78">
        <f t="shared" si="2"/>
        <v>21540.767999999996</v>
      </c>
      <c r="K28" s="78">
        <f t="shared" si="2"/>
        <v>6430.080000000001</v>
      </c>
      <c r="L28" s="78">
        <f t="shared" si="2"/>
        <v>208575.98399999994</v>
      </c>
      <c r="M28" s="78">
        <f t="shared" si="2"/>
        <v>48998.03</v>
      </c>
      <c r="N28" s="78">
        <f t="shared" si="2"/>
        <v>8827.848000000002</v>
      </c>
      <c r="O28" s="78">
        <f t="shared" si="2"/>
        <v>294372.7099999999</v>
      </c>
      <c r="P28" s="78">
        <f t="shared" si="2"/>
        <v>-12789.70999999993</v>
      </c>
      <c r="Q28" s="78">
        <f>SUM(Q16:Q27)</f>
        <v>-17885.549999999996</v>
      </c>
      <c r="R28" s="78">
        <f>SUM(R16:R27)</f>
        <v>-11779.320000000002</v>
      </c>
      <c r="S28" s="74"/>
    </row>
    <row r="29" spans="1:18" ht="13.5" hidden="1" thickBot="1">
      <c r="A29" s="378" t="s">
        <v>70</v>
      </c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248"/>
      <c r="P29" s="249"/>
      <c r="Q29" s="249"/>
      <c r="R29" s="278"/>
    </row>
    <row r="30" spans="1:19" s="20" customFormat="1" ht="13.5" thickBot="1">
      <c r="A30" s="83" t="s">
        <v>54</v>
      </c>
      <c r="B30" s="38"/>
      <c r="C30" s="39">
        <f aca="true" t="shared" si="3" ref="C30:R30">C28+C14</f>
        <v>900571.5599999998</v>
      </c>
      <c r="D30" s="39">
        <f t="shared" si="3"/>
        <v>158615.7145182</v>
      </c>
      <c r="E30" s="39">
        <f t="shared" si="3"/>
        <v>741382.89</v>
      </c>
      <c r="F30" s="39">
        <f t="shared" si="3"/>
        <v>88802.91999999998</v>
      </c>
      <c r="G30" s="39">
        <f>G28+G14</f>
        <v>687895.91</v>
      </c>
      <c r="H30" s="39">
        <f>H28+H14</f>
        <v>935314.5445182</v>
      </c>
      <c r="I30" s="39">
        <f>I28+I14</f>
        <v>31275.793360000003</v>
      </c>
      <c r="J30" s="39">
        <f>J28+J14</f>
        <v>64298.016</v>
      </c>
      <c r="K30" s="39">
        <f t="shared" si="3"/>
        <v>20757.241308000004</v>
      </c>
      <c r="L30" s="39">
        <f t="shared" si="3"/>
        <v>542876.7963208496</v>
      </c>
      <c r="M30" s="39">
        <f t="shared" si="3"/>
        <v>452766.8926</v>
      </c>
      <c r="N30" s="39">
        <f t="shared" si="3"/>
        <v>16222.991084000001</v>
      </c>
      <c r="O30" s="39">
        <f t="shared" si="3"/>
        <v>1096921.9373128496</v>
      </c>
      <c r="P30" s="39">
        <f t="shared" si="3"/>
        <v>-130331.59943464954</v>
      </c>
      <c r="Q30" s="39">
        <f t="shared" si="3"/>
        <v>-53486.98</v>
      </c>
      <c r="R30" s="39">
        <f t="shared" si="3"/>
        <v>-24618.49</v>
      </c>
      <c r="S30" s="74"/>
    </row>
    <row r="31" spans="1:19" ht="13.5" thickBot="1">
      <c r="A31" s="250" t="s">
        <v>124</v>
      </c>
      <c r="B31" s="251"/>
      <c r="C31" s="252"/>
      <c r="D31" s="253"/>
      <c r="E31" s="254"/>
      <c r="F31" s="255"/>
      <c r="G31" s="256"/>
      <c r="H31" s="255"/>
      <c r="I31" s="257"/>
      <c r="J31" s="256"/>
      <c r="K31" s="258"/>
      <c r="L31" s="258"/>
      <c r="M31" s="259"/>
      <c r="N31" s="260"/>
      <c r="O31" s="261"/>
      <c r="P31" s="262"/>
      <c r="Q31" s="262"/>
      <c r="R31" s="276"/>
      <c r="S31" s="169"/>
    </row>
    <row r="32" spans="1:19" ht="13.5" thickBot="1">
      <c r="A32" s="263" t="s">
        <v>45</v>
      </c>
      <c r="B32" s="264">
        <f>'2012 полн'!B26</f>
        <v>2679.2</v>
      </c>
      <c r="C32" s="265">
        <f>'2012 полн'!C26</f>
        <v>22907.16</v>
      </c>
      <c r="D32" s="266">
        <f>'2012 полн'!D26</f>
        <v>385.9680000000001</v>
      </c>
      <c r="E32" s="267">
        <f>'2012 полн'!U26</f>
        <v>23717.65</v>
      </c>
      <c r="F32" s="267">
        <f>'2012 полн'!V26</f>
        <v>0</v>
      </c>
      <c r="G32" s="268">
        <f>'2012 полн'!AF26</f>
        <v>24010.120000000003</v>
      </c>
      <c r="H32" s="268">
        <f>'2012 полн'!AG26</f>
        <v>24396.088000000003</v>
      </c>
      <c r="I32" s="268">
        <f>'2012 полн'!AJ26</f>
        <v>1370.0700000000002</v>
      </c>
      <c r="J32" s="268">
        <f>'2012 полн'!AK26</f>
        <v>1795.064</v>
      </c>
      <c r="K32" s="268">
        <f>'2012 полн'!AL26</f>
        <v>535.84</v>
      </c>
      <c r="L32" s="267">
        <f>'2012 полн'!AM26+'2012 полн'!AN26+'2012 полн'!AO26+'2012 полн'!AP26+'2012 полн'!AQ26+'2012 полн'!AR26+'2012 полн'!AS26+'2012 полн'!AT26</f>
        <v>18717.571999999996</v>
      </c>
      <c r="M32" s="269">
        <f>'2012 полн'!AU26+'2012 полн'!AV26+'2012 полн'!AW26+'2012 полн'!AX26</f>
        <v>0</v>
      </c>
      <c r="N32" s="270">
        <f>'2012 полн'!BD26</f>
        <v>735.654</v>
      </c>
      <c r="O32" s="271">
        <f>SUM(J32:N32)</f>
        <v>21784.129999999994</v>
      </c>
      <c r="P32" s="272">
        <f>H32+I32-O32</f>
        <v>3982.0280000000093</v>
      </c>
      <c r="Q32" s="272">
        <f>'2012 полн'!BG26</f>
        <v>292.47000000000116</v>
      </c>
      <c r="R32" s="276">
        <v>-981.61</v>
      </c>
      <c r="S32" s="169"/>
    </row>
    <row r="33" spans="1:19" ht="13.5" thickBot="1">
      <c r="A33" s="184" t="s">
        <v>46</v>
      </c>
      <c r="B33" s="264">
        <f>'2012 полн'!B27</f>
        <v>2679.2</v>
      </c>
      <c r="C33" s="265">
        <f>'2012 полн'!C27</f>
        <v>22907.16</v>
      </c>
      <c r="D33" s="266">
        <f>'2012 полн'!D27</f>
        <v>385.9680000000001</v>
      </c>
      <c r="E33" s="267">
        <f>'2012 полн'!U27</f>
        <v>23700.36</v>
      </c>
      <c r="F33" s="267">
        <f>'2012 полн'!V27</f>
        <v>0</v>
      </c>
      <c r="G33" s="268">
        <f>'2012 полн'!AF27</f>
        <v>19585.74</v>
      </c>
      <c r="H33" s="268">
        <f>'2012 полн'!AG27</f>
        <v>19971.708000000002</v>
      </c>
      <c r="I33" s="268">
        <f>'2012 полн'!AJ27</f>
        <v>1370.0700000000002</v>
      </c>
      <c r="J33" s="268">
        <f>'2012 полн'!AK27</f>
        <v>1795.064</v>
      </c>
      <c r="K33" s="268">
        <f>'2012 полн'!AL27</f>
        <v>535.84</v>
      </c>
      <c r="L33" s="267">
        <f>'2012 полн'!AM27+'2012 полн'!AN27+'2012 полн'!AO27+'2012 полн'!AP27+'2012 полн'!AQ27+'2012 полн'!AR27+'2012 полн'!AS27+'2012 полн'!AT27</f>
        <v>18717.571999999996</v>
      </c>
      <c r="M33" s="269">
        <f>'2012 полн'!AU27+'2012 полн'!AV27+'2012 полн'!AW27+'2012 полн'!AX27</f>
        <v>41474</v>
      </c>
      <c r="N33" s="270">
        <f>'2012 полн'!BD27</f>
        <v>735.654</v>
      </c>
      <c r="O33" s="271">
        <f aca="true" t="shared" si="4" ref="O33:O43">SUM(J33:N33)</f>
        <v>63258.13</v>
      </c>
      <c r="P33" s="272">
        <f aca="true" t="shared" si="5" ref="P33:P43">H33+I33-O33</f>
        <v>-41916.352</v>
      </c>
      <c r="Q33" s="272">
        <f>'2012 полн'!BG27</f>
        <v>-4114.619999999999</v>
      </c>
      <c r="R33" s="276">
        <v>-981.61</v>
      </c>
      <c r="S33" s="169"/>
    </row>
    <row r="34" spans="1:19" ht="13.5" thickBot="1">
      <c r="A34" s="184" t="s">
        <v>47</v>
      </c>
      <c r="B34" s="264">
        <f>'2012 полн'!B28</f>
        <v>2679.2</v>
      </c>
      <c r="C34" s="265">
        <f>'2012 полн'!C28</f>
        <v>22907.16</v>
      </c>
      <c r="D34" s="266">
        <f>'2012 полн'!D28</f>
        <v>385.9680000000001</v>
      </c>
      <c r="E34" s="267">
        <f>'2012 полн'!U28</f>
        <v>23711.32</v>
      </c>
      <c r="F34" s="267">
        <f>'2012 полн'!V28</f>
        <v>0</v>
      </c>
      <c r="G34" s="268">
        <f>'2012 полн'!AF28</f>
        <v>22033.940000000002</v>
      </c>
      <c r="H34" s="268">
        <f>'2012 полн'!AG28</f>
        <v>22419.908000000003</v>
      </c>
      <c r="I34" s="268">
        <f>'2012 полн'!AJ28</f>
        <v>1370.0700000000002</v>
      </c>
      <c r="J34" s="268">
        <f>'2012 полн'!AK28</f>
        <v>1795.064</v>
      </c>
      <c r="K34" s="268">
        <f>'2012 полн'!AL28</f>
        <v>535.84</v>
      </c>
      <c r="L34" s="267">
        <f>'2012 полн'!AM28+'2012 полн'!AN28+'2012 полн'!AO28+'2012 полн'!AP28+'2012 полн'!AQ28+'2012 полн'!AR28+'2012 полн'!AS28+'2012 полн'!AT28</f>
        <v>18717.571999999996</v>
      </c>
      <c r="M34" s="269">
        <f>'2012 полн'!AU28+'2012 полн'!AV28+'2012 полн'!AW28+'2012 полн'!AX28</f>
        <v>2812.7799999999997</v>
      </c>
      <c r="N34" s="270">
        <f>'2012 полн'!BD28</f>
        <v>735.654</v>
      </c>
      <c r="O34" s="271">
        <f t="shared" si="4"/>
        <v>24596.909999999993</v>
      </c>
      <c r="P34" s="272">
        <f t="shared" si="5"/>
        <v>-806.9319999999898</v>
      </c>
      <c r="Q34" s="272">
        <f>'2012 полн'!BG28</f>
        <v>-1677.3799999999974</v>
      </c>
      <c r="R34" s="276">
        <v>-981.61</v>
      </c>
      <c r="S34" s="169"/>
    </row>
    <row r="35" spans="1:19" ht="13.5" thickBot="1">
      <c r="A35" s="184" t="s">
        <v>48</v>
      </c>
      <c r="B35" s="264">
        <f>'2012 полн'!B29</f>
        <v>2679.2</v>
      </c>
      <c r="C35" s="265">
        <f>'2012 полн'!C29</f>
        <v>22907.16</v>
      </c>
      <c r="D35" s="266">
        <f>'2012 полн'!D29</f>
        <v>385.9680000000001</v>
      </c>
      <c r="E35" s="267">
        <f>'2012 полн'!U29</f>
        <v>23855.799999999996</v>
      </c>
      <c r="F35" s="267">
        <f>'2012 полн'!V29</f>
        <v>0</v>
      </c>
      <c r="G35" s="268">
        <f>'2012 полн'!AF29</f>
        <v>20836.51</v>
      </c>
      <c r="H35" s="268">
        <f>'2012 полн'!AG29</f>
        <v>21222.478</v>
      </c>
      <c r="I35" s="268">
        <f>'2012 полн'!AJ29</f>
        <v>1370.0700000000002</v>
      </c>
      <c r="J35" s="268">
        <f>'2012 полн'!AK29</f>
        <v>1795.064</v>
      </c>
      <c r="K35" s="268">
        <f>'2012 полн'!AL29</f>
        <v>535.84</v>
      </c>
      <c r="L35" s="267">
        <f>'2012 полн'!AM29+'2012 полн'!AN29+'2012 полн'!AO29+'2012 полн'!AP29+'2012 полн'!AQ29+'2012 полн'!AR29+'2012 полн'!AS29+'2012 полн'!AT29</f>
        <v>15636.491999999998</v>
      </c>
      <c r="M35" s="269">
        <f>'2012 полн'!AU29+'2012 полн'!AV29+'2012 полн'!AW29+'2012 полн'!AX29</f>
        <v>4160.65</v>
      </c>
      <c r="N35" s="270">
        <f>'2012 полн'!BD29</f>
        <v>735.654</v>
      </c>
      <c r="O35" s="271">
        <f t="shared" si="4"/>
        <v>22863.699999999993</v>
      </c>
      <c r="P35" s="272">
        <f t="shared" si="5"/>
        <v>-271.1519999999946</v>
      </c>
      <c r="Q35" s="272">
        <f>'2012 полн'!BG29</f>
        <v>-3019.2899999999972</v>
      </c>
      <c r="R35" s="276">
        <v>-981.61</v>
      </c>
      <c r="S35" s="169"/>
    </row>
    <row r="36" spans="1:19" ht="13.5" thickBot="1">
      <c r="A36" s="184" t="s">
        <v>49</v>
      </c>
      <c r="B36" s="264">
        <f>'2012 полн'!B30</f>
        <v>2679.2</v>
      </c>
      <c r="C36" s="265">
        <f>'2012 полн'!C30</f>
        <v>22907.16</v>
      </c>
      <c r="D36" s="266">
        <f>'2012 полн'!D30</f>
        <v>385.9680000000001</v>
      </c>
      <c r="E36" s="267">
        <f>'2012 полн'!U30</f>
        <v>23720.969999999998</v>
      </c>
      <c r="F36" s="267">
        <f>'2012 полн'!V30</f>
        <v>0</v>
      </c>
      <c r="G36" s="268">
        <f>'2012 полн'!AF30</f>
        <v>27106.18</v>
      </c>
      <c r="H36" s="268">
        <f>'2012 полн'!AG30</f>
        <v>27492.148</v>
      </c>
      <c r="I36" s="268">
        <f>'2012 полн'!AJ30</f>
        <v>1370.0700000000002</v>
      </c>
      <c r="J36" s="268">
        <f>'2012 полн'!AK30</f>
        <v>1795.064</v>
      </c>
      <c r="K36" s="268">
        <f>'2012 полн'!AL30</f>
        <v>535.84</v>
      </c>
      <c r="L36" s="267">
        <f>'2012 полн'!AM30+'2012 полн'!AN30+'2012 полн'!AO30+'2012 полн'!AP30+'2012 полн'!AQ30+'2012 полн'!AR30+'2012 полн'!AS30+'2012 полн'!AT30</f>
        <v>15636.491999999998</v>
      </c>
      <c r="M36" s="269">
        <f>'2012 полн'!AU30+'2012 полн'!AV30+'2012 полн'!AW30+'2012 полн'!AX30</f>
        <v>6569.65</v>
      </c>
      <c r="N36" s="270">
        <f>'2012 полн'!BD30</f>
        <v>735.654</v>
      </c>
      <c r="O36" s="271">
        <f t="shared" si="4"/>
        <v>25272.699999999993</v>
      </c>
      <c r="P36" s="272">
        <f t="shared" si="5"/>
        <v>3589.5180000000073</v>
      </c>
      <c r="Q36" s="272">
        <f>'2012 полн'!BG30</f>
        <v>3385.2100000000028</v>
      </c>
      <c r="R36" s="276">
        <v>-981.61</v>
      </c>
      <c r="S36" s="169"/>
    </row>
    <row r="37" spans="1:19" ht="13.5" thickBot="1">
      <c r="A37" s="184" t="s">
        <v>50</v>
      </c>
      <c r="B37" s="264">
        <f>'2012 полн'!B31</f>
        <v>2679.2</v>
      </c>
      <c r="C37" s="265">
        <f>'2012 полн'!C31</f>
        <v>22907.16</v>
      </c>
      <c r="D37" s="266">
        <f>'2012 полн'!D31</f>
        <v>337.722</v>
      </c>
      <c r="E37" s="267">
        <f>'2012 полн'!U31</f>
        <v>23729.28</v>
      </c>
      <c r="F37" s="267">
        <f>'2012 полн'!V31</f>
        <v>0</v>
      </c>
      <c r="G37" s="268">
        <f>'2012 полн'!AF31</f>
        <v>19906.899999999998</v>
      </c>
      <c r="H37" s="268">
        <f>'2012 полн'!AG31</f>
        <v>20244.622</v>
      </c>
      <c r="I37" s="268">
        <f>'2012 полн'!AJ31</f>
        <v>1470.0700000000002</v>
      </c>
      <c r="J37" s="268">
        <f>'2012 полн'!AK31</f>
        <v>1795.064</v>
      </c>
      <c r="K37" s="268">
        <f>'2012 полн'!AL31</f>
        <v>535.84</v>
      </c>
      <c r="L37" s="267">
        <f>'2012 полн'!AM31+'2012 полн'!AN31+'2012 полн'!AO31+'2012 полн'!AP31+'2012 полн'!AQ31+'2012 полн'!AR31+'2012 полн'!AS31+'2012 полн'!AT31</f>
        <v>15636.491999999998</v>
      </c>
      <c r="M37" s="269">
        <f>'2012 полн'!AU31+'2012 полн'!AV31+'2012 полн'!AW31+'2012 полн'!AX31</f>
        <v>8764.05</v>
      </c>
      <c r="N37" s="270">
        <f>'2012 полн'!BD31</f>
        <v>760.654</v>
      </c>
      <c r="O37" s="271">
        <f t="shared" si="4"/>
        <v>27492.099999999995</v>
      </c>
      <c r="P37" s="272">
        <f t="shared" si="5"/>
        <v>-5777.407999999996</v>
      </c>
      <c r="Q37" s="272">
        <f>'2012 полн'!BG31</f>
        <v>-3822.380000000001</v>
      </c>
      <c r="R37" s="276">
        <v>-981.61</v>
      </c>
      <c r="S37" s="169"/>
    </row>
    <row r="38" spans="1:18" ht="13.5" thickBot="1">
      <c r="A38" s="184" t="s">
        <v>51</v>
      </c>
      <c r="B38" s="264">
        <f>'2012 полн'!B32</f>
        <v>2679.2</v>
      </c>
      <c r="C38" s="265">
        <f>'2012 полн'!C32</f>
        <v>25479.192</v>
      </c>
      <c r="D38" s="266">
        <f>'2012 полн'!D32</f>
        <v>451.95150000000007</v>
      </c>
      <c r="E38" s="267">
        <f>'2012 полн'!U32</f>
        <v>26353</v>
      </c>
      <c r="F38" s="267">
        <f>'2012 полн'!V32</f>
        <v>0</v>
      </c>
      <c r="G38" s="268">
        <f>'2012 полн'!AF32</f>
        <v>21913.579999999998</v>
      </c>
      <c r="H38" s="268">
        <f>'2012 полн'!AG32</f>
        <v>22365.531499999997</v>
      </c>
      <c r="I38" s="268">
        <f>'2012 полн'!AJ32</f>
        <v>1470.0700000000002</v>
      </c>
      <c r="J38" s="268">
        <f>'2012 полн'!AK32</f>
        <v>2009.3999999999999</v>
      </c>
      <c r="K38" s="268">
        <f>'2012 полн'!AL32</f>
        <v>535.84</v>
      </c>
      <c r="L38" s="267">
        <f>'2012 полн'!AM32+'2012 полн'!AN32+'2012 полн'!AO32+'2012 полн'!AP32+'2012 полн'!AQ32+'2012 полн'!AR32+'2012 полн'!AS32+'2012 полн'!AT32</f>
        <v>15636.491999999998</v>
      </c>
      <c r="M38" s="269">
        <f>'2012 полн'!AU32+'2012 полн'!AV32+'2012 полн'!AW32+'2012 полн'!AX32</f>
        <v>658.31</v>
      </c>
      <c r="N38" s="270">
        <f>'2012 полн'!BD32</f>
        <v>760.654</v>
      </c>
      <c r="O38" s="271">
        <f t="shared" si="4"/>
        <v>19600.695999999996</v>
      </c>
      <c r="P38" s="272">
        <f t="shared" si="5"/>
        <v>4234.905500000001</v>
      </c>
      <c r="Q38" s="272">
        <f>'2012 полн'!BG32</f>
        <v>-4439.420000000002</v>
      </c>
      <c r="R38" s="276">
        <v>-981.61</v>
      </c>
    </row>
    <row r="39" spans="1:18" ht="13.5" thickBot="1">
      <c r="A39" s="184" t="s">
        <v>52</v>
      </c>
      <c r="B39" s="264">
        <f>'2012 полн'!B33</f>
        <v>2679.2</v>
      </c>
      <c r="C39" s="265">
        <f>'2012 полн'!C33</f>
        <v>25479.192</v>
      </c>
      <c r="D39" s="266">
        <f>'2012 полн'!D33</f>
        <v>0</v>
      </c>
      <c r="E39" s="267">
        <f>'2012 полн'!U33</f>
        <v>26359.9</v>
      </c>
      <c r="F39" s="267">
        <f>'2012 полн'!V33</f>
        <v>0</v>
      </c>
      <c r="G39" s="268">
        <f>'2012 полн'!AF33</f>
        <v>22775.04</v>
      </c>
      <c r="H39" s="268">
        <f>'2012 полн'!AG33</f>
        <v>22775.04</v>
      </c>
      <c r="I39" s="268">
        <f>'2012 полн'!AJ33</f>
        <v>2070.07</v>
      </c>
      <c r="J39" s="268">
        <f>'2012 полн'!AK33</f>
        <v>2009.3999999999999</v>
      </c>
      <c r="K39" s="268">
        <f>'2012 полн'!AL33</f>
        <v>535.84</v>
      </c>
      <c r="L39" s="267">
        <f>'2012 полн'!AM33+'2012 полн'!AN33+'2012 полн'!AO33+'2012 полн'!AP33+'2012 полн'!AQ33+'2012 полн'!AR33+'2012 полн'!AS33+'2012 полн'!AT33</f>
        <v>15636.491999999998</v>
      </c>
      <c r="M39" s="269">
        <f>'2012 полн'!AU33+'2012 полн'!AV33+'2012 полн'!AW33+'2012 полн'!AX33</f>
        <v>948.6</v>
      </c>
      <c r="N39" s="270">
        <f>'2012 полн'!BD33</f>
        <v>910.654</v>
      </c>
      <c r="O39" s="271">
        <f t="shared" si="4"/>
        <v>20040.985999999994</v>
      </c>
      <c r="P39" s="272">
        <f t="shared" si="5"/>
        <v>4804.124000000007</v>
      </c>
      <c r="Q39" s="272">
        <f>'2012 полн'!BG33</f>
        <v>-3584.8600000000006</v>
      </c>
      <c r="R39" s="276">
        <v>-981.61</v>
      </c>
    </row>
    <row r="40" spans="1:18" ht="13.5" thickBot="1">
      <c r="A40" s="184" t="s">
        <v>53</v>
      </c>
      <c r="B40" s="264">
        <f>'2012 полн'!B34</f>
        <v>2679.2</v>
      </c>
      <c r="C40" s="265">
        <f>'2012 полн'!C34</f>
        <v>25479.192</v>
      </c>
      <c r="D40" s="266">
        <f>'2012 полн'!D34</f>
        <v>0</v>
      </c>
      <c r="E40" s="267">
        <f>'2012 полн'!U34</f>
        <v>26358.97</v>
      </c>
      <c r="F40" s="267">
        <f>'2012 полн'!V34</f>
        <v>0</v>
      </c>
      <c r="G40" s="268">
        <f>'2012 полн'!AF34</f>
        <v>21890.24</v>
      </c>
      <c r="H40" s="268">
        <f>'2012 полн'!AG34</f>
        <v>21890.24</v>
      </c>
      <c r="I40" s="268">
        <f>'2012 полн'!AJ34</f>
        <v>1670.0700000000002</v>
      </c>
      <c r="J40" s="268">
        <f>'2012 полн'!AK34</f>
        <v>2009.3999999999999</v>
      </c>
      <c r="K40" s="268">
        <f>'2012 полн'!AL34</f>
        <v>535.84</v>
      </c>
      <c r="L40" s="267">
        <f>'2012 полн'!AM34+'2012 полн'!AN34+'2012 полн'!AO34+'2012 полн'!AP34+'2012 полн'!AQ34+'2012 полн'!AR34+'2012 полн'!AS34+'2012 полн'!AT34</f>
        <v>15636.491999999998</v>
      </c>
      <c r="M40" s="269">
        <f>'2012 полн'!AU34+'2012 полн'!AV34+'2012 полн'!AW34+'2012 полн'!AX34</f>
        <v>2753.1400000000003</v>
      </c>
      <c r="N40" s="270">
        <f>'2012 полн'!BD34</f>
        <v>810.654</v>
      </c>
      <c r="O40" s="271">
        <f t="shared" si="4"/>
        <v>21745.525999999994</v>
      </c>
      <c r="P40" s="272">
        <f t="shared" si="5"/>
        <v>1814.784000000007</v>
      </c>
      <c r="Q40" s="272">
        <f>'2012 полн'!BG34</f>
        <v>-4468.73</v>
      </c>
      <c r="R40" s="276">
        <v>-981.61</v>
      </c>
    </row>
    <row r="41" spans="1:18" ht="13.5" thickBot="1">
      <c r="A41" s="184" t="s">
        <v>41</v>
      </c>
      <c r="B41" s="264">
        <f>'2012 полн'!B35</f>
        <v>2679.2</v>
      </c>
      <c r="C41" s="265">
        <f>'2012 полн'!C35</f>
        <v>25479.192</v>
      </c>
      <c r="D41" s="266">
        <f>'2012 полн'!D35</f>
        <v>0</v>
      </c>
      <c r="E41" s="267">
        <f>'2012 полн'!U35</f>
        <v>26313.5</v>
      </c>
      <c r="F41" s="267">
        <f>'2012 полн'!V35</f>
        <v>0</v>
      </c>
      <c r="G41" s="268">
        <f>'2012 полн'!AF35</f>
        <v>29458.120000000003</v>
      </c>
      <c r="H41" s="268">
        <f>'2012 полн'!AG35</f>
        <v>29458.120000000003</v>
      </c>
      <c r="I41" s="268">
        <f>'2012 полн'!AJ35</f>
        <v>1670.0700000000002</v>
      </c>
      <c r="J41" s="268">
        <f>'2012 полн'!AK35</f>
        <v>2009.3999999999999</v>
      </c>
      <c r="K41" s="268">
        <f>'2012 полн'!AL35</f>
        <v>535.84</v>
      </c>
      <c r="L41" s="267">
        <f>'2012 полн'!AM35+'2012 полн'!AN35+'2012 полн'!AO35+'2012 полн'!AP35+'2012 полн'!AQ35+'2012 полн'!AR35+'2012 полн'!AS35+'2012 полн'!AT35</f>
        <v>18717.571999999996</v>
      </c>
      <c r="M41" s="269">
        <f>'2012 полн'!AU35+'2012 полн'!AV35+'2012 полн'!AW35+'2012 полн'!AX35</f>
        <v>5355</v>
      </c>
      <c r="N41" s="270">
        <f>'2012 полн'!BD35</f>
        <v>810.654</v>
      </c>
      <c r="O41" s="271">
        <f t="shared" si="4"/>
        <v>27428.465999999997</v>
      </c>
      <c r="P41" s="272">
        <f t="shared" si="5"/>
        <v>3699.7240000000056</v>
      </c>
      <c r="Q41" s="272">
        <f>'2012 полн'!BG35</f>
        <v>3144.6200000000026</v>
      </c>
      <c r="R41" s="276">
        <v>-981.61</v>
      </c>
    </row>
    <row r="42" spans="1:18" ht="13.5" thickBot="1">
      <c r="A42" s="184" t="s">
        <v>42</v>
      </c>
      <c r="B42" s="264">
        <f>'2012 полн'!B36</f>
        <v>2679.2</v>
      </c>
      <c r="C42" s="265">
        <f>'2012 полн'!C36</f>
        <v>25479.192</v>
      </c>
      <c r="D42" s="266">
        <f>'2012 полн'!D36</f>
        <v>0</v>
      </c>
      <c r="E42" s="267">
        <f>'2012 полн'!U36</f>
        <v>26282.35</v>
      </c>
      <c r="F42" s="267">
        <f>'2012 полн'!V36</f>
        <v>0</v>
      </c>
      <c r="G42" s="268">
        <f>'2012 полн'!AF36</f>
        <v>33903.05</v>
      </c>
      <c r="H42" s="268">
        <f>'2012 полн'!AG36</f>
        <v>33903.05</v>
      </c>
      <c r="I42" s="268">
        <f>'2012 полн'!AJ36</f>
        <v>1670.0700000000002</v>
      </c>
      <c r="J42" s="268">
        <f>'2012 полн'!AK36</f>
        <v>2009.3999999999999</v>
      </c>
      <c r="K42" s="268">
        <f>'2012 полн'!AL36</f>
        <v>535.84</v>
      </c>
      <c r="L42" s="267">
        <f>'2012 полн'!AM36+'2012 полн'!AN36+'2012 полн'!AO36+'2012 полн'!AP36+'2012 полн'!AQ36+'2012 полн'!AR36+'2012 полн'!AS36+'2012 полн'!AT36</f>
        <v>18717.571999999996</v>
      </c>
      <c r="M42" s="269">
        <f>'2012 полн'!AU36+'2012 полн'!AV36+'2012 полн'!AW36+'2012 полн'!AX36</f>
        <v>4555</v>
      </c>
      <c r="N42" s="270">
        <f>'2012 полн'!BD36</f>
        <v>810.654</v>
      </c>
      <c r="O42" s="271">
        <f t="shared" si="4"/>
        <v>26628.465999999997</v>
      </c>
      <c r="P42" s="272">
        <f t="shared" si="5"/>
        <v>8944.654000000006</v>
      </c>
      <c r="Q42" s="272">
        <f>'2012 полн'!BG36</f>
        <v>7620.700000000004</v>
      </c>
      <c r="R42" s="276">
        <v>-981.61</v>
      </c>
    </row>
    <row r="43" spans="1:18" ht="13.5" thickBot="1">
      <c r="A43" s="273" t="s">
        <v>43</v>
      </c>
      <c r="B43" s="264">
        <f>'2012 полн'!B37</f>
        <v>2679.2</v>
      </c>
      <c r="C43" s="265">
        <f>'2012 полн'!C37</f>
        <v>25479.192</v>
      </c>
      <c r="D43" s="266">
        <f>'2012 полн'!D37</f>
        <v>0</v>
      </c>
      <c r="E43" s="267">
        <f>'2012 полн'!U37</f>
        <v>26322.33</v>
      </c>
      <c r="F43" s="267">
        <f>'2012 полн'!V37</f>
        <v>0</v>
      </c>
      <c r="G43" s="268">
        <f>'2012 полн'!AF37</f>
        <v>27364.409999999996</v>
      </c>
      <c r="H43" s="268">
        <f>'2012 полн'!AG37</f>
        <v>27364.409999999996</v>
      </c>
      <c r="I43" s="268">
        <f>'2012 полн'!AJ37</f>
        <v>1670.0700000000002</v>
      </c>
      <c r="J43" s="268">
        <f>'2012 полн'!AK37</f>
        <v>2009.3999999999999</v>
      </c>
      <c r="K43" s="268">
        <f>'2012 полн'!AL37</f>
        <v>535.84</v>
      </c>
      <c r="L43" s="267">
        <f>'2012 полн'!AM37+'2012 полн'!AN37+'2012 полн'!AO37+'2012 полн'!AP37+'2012 полн'!AQ37+'2012 полн'!AR37+'2012 полн'!AS37+'2012 полн'!AT37</f>
        <v>18717.571999999996</v>
      </c>
      <c r="M43" s="269">
        <f>'2012 полн'!AU37+'2012 полн'!AV37+'2012 полн'!AW37+'2012 полн'!AX37</f>
        <v>155</v>
      </c>
      <c r="N43" s="270">
        <f>'2012 полн'!BD37</f>
        <v>810.654</v>
      </c>
      <c r="O43" s="271">
        <f t="shared" si="4"/>
        <v>22228.465999999997</v>
      </c>
      <c r="P43" s="272">
        <f t="shared" si="5"/>
        <v>6806.013999999999</v>
      </c>
      <c r="Q43" s="272">
        <f>'2012 полн'!BG37</f>
        <v>1042.0799999999945</v>
      </c>
      <c r="R43" s="276">
        <v>-981.61</v>
      </c>
    </row>
    <row r="44" spans="1:19" s="20" customFormat="1" ht="13.5" thickBot="1">
      <c r="A44" s="34" t="s">
        <v>5</v>
      </c>
      <c r="B44" s="35"/>
      <c r="C44" s="78">
        <f aca="true" t="shared" si="6" ref="C44:P44">SUM(C32:C43)</f>
        <v>290318.112</v>
      </c>
      <c r="D44" s="78">
        <f t="shared" si="6"/>
        <v>2719.5135000000005</v>
      </c>
      <c r="E44" s="78">
        <f t="shared" si="6"/>
        <v>300425.43</v>
      </c>
      <c r="F44" s="78">
        <f t="shared" si="6"/>
        <v>0</v>
      </c>
      <c r="G44" s="78">
        <f t="shared" si="6"/>
        <v>290783.82999999996</v>
      </c>
      <c r="H44" s="78">
        <f t="shared" si="6"/>
        <v>293503.34349999996</v>
      </c>
      <c r="I44" s="78">
        <f t="shared" si="6"/>
        <v>18540.84</v>
      </c>
      <c r="J44" s="78">
        <f t="shared" si="6"/>
        <v>22826.784000000003</v>
      </c>
      <c r="K44" s="78">
        <f t="shared" si="6"/>
        <v>6430.080000000001</v>
      </c>
      <c r="L44" s="78">
        <f t="shared" si="6"/>
        <v>206124.38399999993</v>
      </c>
      <c r="M44" s="78">
        <f t="shared" si="6"/>
        <v>78206.18000000001</v>
      </c>
      <c r="N44" s="78">
        <f t="shared" si="6"/>
        <v>9352.848000000002</v>
      </c>
      <c r="O44" s="78">
        <f t="shared" si="6"/>
        <v>322940.27599999995</v>
      </c>
      <c r="P44" s="78">
        <f t="shared" si="6"/>
        <v>-10896.09249999994</v>
      </c>
      <c r="Q44" s="78">
        <f>SUM(Q32:Q43)</f>
        <v>-9641.599999999991</v>
      </c>
      <c r="R44" s="78">
        <f>SUM(R32:R43)</f>
        <v>-11779.320000000002</v>
      </c>
      <c r="S44" s="74"/>
    </row>
    <row r="45" spans="1:18" ht="13.5" thickBot="1">
      <c r="A45" s="378" t="s">
        <v>70</v>
      </c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248"/>
      <c r="P45" s="249"/>
      <c r="Q45" s="249"/>
      <c r="R45" s="278"/>
    </row>
    <row r="46" spans="1:19" s="20" customFormat="1" ht="13.5" thickBot="1">
      <c r="A46" s="83" t="s">
        <v>54</v>
      </c>
      <c r="B46" s="38"/>
      <c r="C46" s="39">
        <f aca="true" t="shared" si="7" ref="C46:J46">C44+C30</f>
        <v>1190889.6719999998</v>
      </c>
      <c r="D46" s="39">
        <f t="shared" si="7"/>
        <v>161335.2280182</v>
      </c>
      <c r="E46" s="39">
        <f t="shared" si="7"/>
        <v>1041808.3200000001</v>
      </c>
      <c r="F46" s="39">
        <f t="shared" si="7"/>
        <v>88802.91999999998</v>
      </c>
      <c r="G46" s="39">
        <f t="shared" si="7"/>
        <v>978679.74</v>
      </c>
      <c r="H46" s="39">
        <f t="shared" si="7"/>
        <v>1228817.8880182</v>
      </c>
      <c r="I46" s="39">
        <f t="shared" si="7"/>
        <v>49816.63336000001</v>
      </c>
      <c r="J46" s="39">
        <f t="shared" si="7"/>
        <v>87124.8</v>
      </c>
      <c r="K46" s="39">
        <f aca="true" t="shared" si="8" ref="K46:R46">K44+K30</f>
        <v>27187.321308000006</v>
      </c>
      <c r="L46" s="39">
        <f t="shared" si="8"/>
        <v>749001.1803208495</v>
      </c>
      <c r="M46" s="39">
        <f t="shared" si="8"/>
        <v>530973.0726000001</v>
      </c>
      <c r="N46" s="39">
        <f t="shared" si="8"/>
        <v>25575.839084000003</v>
      </c>
      <c r="O46" s="39">
        <f t="shared" si="8"/>
        <v>1419862.2133128494</v>
      </c>
      <c r="P46" s="39">
        <f t="shared" si="8"/>
        <v>-141227.69193464948</v>
      </c>
      <c r="Q46" s="39">
        <f t="shared" si="8"/>
        <v>-63128.579999999994</v>
      </c>
      <c r="R46" s="39">
        <f t="shared" si="8"/>
        <v>-36397.810000000005</v>
      </c>
      <c r="S46" s="74"/>
    </row>
    <row r="48" spans="1:4" ht="12.75">
      <c r="A48" s="20" t="s">
        <v>71</v>
      </c>
      <c r="D48" s="87" t="s">
        <v>128</v>
      </c>
    </row>
    <row r="49" spans="1:4" ht="12.75">
      <c r="A49" s="181" t="s">
        <v>72</v>
      </c>
      <c r="B49" s="181" t="s">
        <v>73</v>
      </c>
      <c r="C49" s="460" t="s">
        <v>74</v>
      </c>
      <c r="D49" s="461"/>
    </row>
    <row r="50" spans="1:4" ht="12.75">
      <c r="A50" s="136">
        <v>280669.81</v>
      </c>
      <c r="B50" s="274">
        <v>33830</v>
      </c>
      <c r="C50" s="462">
        <f>A50-B50</f>
        <v>246839.81</v>
      </c>
      <c r="D50" s="463"/>
    </row>
    <row r="51" ht="12.75">
      <c r="A51" s="46"/>
    </row>
    <row r="52" spans="1:7" ht="12.75">
      <c r="A52" s="170" t="s">
        <v>77</v>
      </c>
      <c r="G52" s="170" t="s">
        <v>78</v>
      </c>
    </row>
    <row r="53" ht="12.75">
      <c r="A53" s="169"/>
    </row>
    <row r="54" ht="12.75">
      <c r="A54" s="169"/>
    </row>
    <row r="55" ht="12.75">
      <c r="A55" s="170" t="s">
        <v>120</v>
      </c>
    </row>
    <row r="56" ht="12.75">
      <c r="A56" s="170" t="s">
        <v>79</v>
      </c>
    </row>
  </sheetData>
  <sheetProtection/>
  <mergeCells count="28">
    <mergeCell ref="R8:R11"/>
    <mergeCell ref="C8:C11"/>
    <mergeCell ref="D8:D11"/>
    <mergeCell ref="E8:F9"/>
    <mergeCell ref="G8:H9"/>
    <mergeCell ref="B1:H1"/>
    <mergeCell ref="B2:H2"/>
    <mergeCell ref="A5:N5"/>
    <mergeCell ref="A6:G6"/>
    <mergeCell ref="P8:P11"/>
    <mergeCell ref="Q8:Q11"/>
    <mergeCell ref="E10:F10"/>
    <mergeCell ref="H10:H11"/>
    <mergeCell ref="J10:J11"/>
    <mergeCell ref="K10:K11"/>
    <mergeCell ref="L10:L11"/>
    <mergeCell ref="M10:M11"/>
    <mergeCell ref="N10:N11"/>
    <mergeCell ref="O10:O11"/>
    <mergeCell ref="A13:N13"/>
    <mergeCell ref="A29:N29"/>
    <mergeCell ref="C49:D49"/>
    <mergeCell ref="C50:D50"/>
    <mergeCell ref="I8:I11"/>
    <mergeCell ref="J8:O9"/>
    <mergeCell ref="A8:A11"/>
    <mergeCell ref="B8:B11"/>
    <mergeCell ref="A45:N45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2012-12-07T05:28:22Z</cp:lastPrinted>
  <dcterms:created xsi:type="dcterms:W3CDTF">2010-04-02T05:03:24Z</dcterms:created>
  <dcterms:modified xsi:type="dcterms:W3CDTF">2013-07-18T02:46:21Z</dcterms:modified>
  <cp:category/>
  <cp:version/>
  <cp:contentType/>
  <cp:contentStatus/>
</cp:coreProperties>
</file>