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<sst xmlns="http://schemas.openxmlformats.org/spreadsheetml/2006/main" count="154" uniqueCount="102">
  <si>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</si>
  <si>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</si>
  <si>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</si>
  <si>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</si>
  <si>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</si>
  <si>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</si>
  <si>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</si>
  <si>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</si>
  <si>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</si>
  <si>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</si>
  <si>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</si>
  <si>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</si>
  <si>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</si>
  <si>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</si>
  <si>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</si>
  <si>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</si>
  <si>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</si>
  <si>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</si>
  <si>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</si>
  <si>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</si>
  <si>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</si>
  <si>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</si>
  <si>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</si>
  <si>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</si>
  <si>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</si>
  <si>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</si>
  <si>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</si>
  <si>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</si>
  <si>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</si>
  <si>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</si>
  <si>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</si>
  <si>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</si>
  <si>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</si>
  <si>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</si>
  <si>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</si>
  <si>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</si>
  <si>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</si>
  <si>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</si>
  <si>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</si>
  <si>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</si>
  <si>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</si>
  <si>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</si>
  <si>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</si>
  <si>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</si>
  <si>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</si>
  <si>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</si>
  <si>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</si>
  <si>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</si>
  <si>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</si>
  <si>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</si>
  <si>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</si>
  <si>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</si>
  <si>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</si>
  <si>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</si>
  <si>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</si>
  <si>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</si>
  <si>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</si>
  <si>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</si>
  <si>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</si>
  <si>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</si>
  <si>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</si>
  <si>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</si>
  <si>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</si>
  <si>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</si>
  <si>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</si>
  <si>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</si>
  <si>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</si>
  <si>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</si>
  <si>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</si>
  <si>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</si>
  <si>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</si>
  <si>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</si>
  <si>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</si>
  <si>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</si>
  <si>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</si>
  <si>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</si>
  <si>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</si>
  <si>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</si>
  <si>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</si>
  <si>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</si>
  <si>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</si>
  <si>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</si>
  <si>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</si>
  <si>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</si>
  <si>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</si>
  <si>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</si>
  <si>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</si>
  <si>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</si>
  <si>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</si>
  <si>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</si>
  <si>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</si>
  <si>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</si>
  <si>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</si>
  <si>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Доходы по нежилым помещениям</t>
  </si>
  <si>
    <t>Расходы по нежилым помещениям</t>
  </si>
  <si>
    <t>Выписка по лицевому счету по адресу г. Таштагол ул. Ноградская, д.4</t>
  </si>
  <si>
    <t>Лицевой счет по адресу г. Таштагол, ул. Ноградская, д.4</t>
  </si>
  <si>
    <t>2012 год</t>
  </si>
  <si>
    <t>Тариф по содержанию и тек.ремонту 100 % (9,51 руб.*площадь)</t>
  </si>
  <si>
    <t>на 01.01.2013 г.</t>
  </si>
  <si>
    <t>Капитальный ремонт</t>
  </si>
  <si>
    <t>*по состоянию на 01.05.2013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</si>
</sst>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36" borderId="18" xfId="0" applyNumberFormat="1" applyFont="1" applyFill="1" applyBorder="1" applyAlignment="1">
      <alignment horizontal="center"/>
    </xf>
    <xf numFmtId="4" fontId="6" fillId="34" borderId="27" xfId="0" applyNumberFormat="1" applyFont="1" applyFill="1" applyBorder="1" applyAlignment="1">
      <alignment horizontal="right" wrapText="1"/>
    </xf>
    <xf numFmtId="4" fontId="0" fillId="35" borderId="21" xfId="0" applyNumberFormat="1" applyFont="1" applyFill="1" applyBorder="1" applyAlignment="1">
      <alignment horizontal="center" wrapText="1"/>
    </xf>
    <xf numFmtId="4" fontId="0" fillId="0" borderId="23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164" fontId="6" fillId="33" borderId="18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right"/>
    </xf>
    <xf numFmtId="2" fontId="0" fillId="33" borderId="18" xfId="0" applyNumberFormat="1" applyFont="1" applyFill="1" applyBorder="1" applyAlignment="1">
      <alignment horizontal="center"/>
    </xf>
    <xf numFmtId="4" fontId="0" fillId="39" borderId="21" xfId="0" applyNumberFormat="1" applyFont="1" applyFill="1" applyBorder="1" applyAlignment="1">
      <alignment horizontal="center" wrapText="1"/>
    </xf>
    <xf numFmtId="0" fontId="0" fillId="37" borderId="18" xfId="0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4" fontId="2" fillId="37" borderId="31" xfId="0" applyNumberFormat="1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4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42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20">
          <cell r="F120">
            <v>191.77499999999998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80">
          <cell r="I180">
            <v>114</v>
          </cell>
          <cell r="R180">
            <v>28.5</v>
          </cell>
        </row>
      </sheetData>
      <sheetData sheetId="1">
        <row r="181">
          <cell r="S181">
            <v>28.5</v>
          </cell>
        </row>
        <row r="182">
          <cell r="G182">
            <v>114</v>
          </cell>
        </row>
      </sheetData>
      <sheetData sheetId="2">
        <row r="182">
          <cell r="J182">
            <v>114</v>
          </cell>
          <cell r="S182">
            <v>28.5</v>
          </cell>
        </row>
      </sheetData>
      <sheetData sheetId="3">
        <row r="184">
          <cell r="S184">
            <v>28.5</v>
          </cell>
        </row>
      </sheetData>
      <sheetData sheetId="4">
        <row r="182">
          <cell r="J182">
            <v>114</v>
          </cell>
          <cell r="S182">
            <v>28.5</v>
          </cell>
        </row>
      </sheetData>
      <sheetData sheetId="5">
        <row r="182">
          <cell r="J182">
            <v>114</v>
          </cell>
          <cell r="S182">
            <v>28.5</v>
          </cell>
        </row>
      </sheetData>
      <sheetData sheetId="6">
        <row r="186">
          <cell r="J186">
            <v>114</v>
          </cell>
          <cell r="S186">
            <v>28.5</v>
          </cell>
        </row>
      </sheetData>
      <sheetData sheetId="7">
        <row r="190">
          <cell r="J190">
            <v>114</v>
          </cell>
          <cell r="S190">
            <v>28.5</v>
          </cell>
        </row>
      </sheetData>
      <sheetData sheetId="8">
        <row r="190">
          <cell r="J190">
            <v>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84">
          <cell r="J184">
            <v>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90">
          <cell r="J190">
            <v>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90">
          <cell r="S190">
            <v>28.5</v>
          </cell>
        </row>
      </sheetData>
      <sheetData sheetId="10">
        <row r="190">
          <cell r="J190">
            <v>114</v>
          </cell>
          <cell r="S190">
            <v>28.5</v>
          </cell>
        </row>
      </sheetData>
      <sheetData sheetId="11">
        <row r="214">
          <cell r="J214">
            <v>114</v>
          </cell>
          <cell r="S214">
            <v>28.5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212">
          <cell r="J212">
            <v>114</v>
          </cell>
          <cell r="S212">
            <v>28.5</v>
          </cell>
        </row>
      </sheetData>
      <sheetData sheetId="4">
        <row r="219">
          <cell r="J219">
            <v>114</v>
          </cell>
          <cell r="S219">
            <v>28.5</v>
          </cell>
        </row>
      </sheetData>
      <sheetData sheetId="5">
        <row r="173">
          <cell r="J173">
            <v>200</v>
          </cell>
          <cell r="S173">
            <v>50</v>
          </cell>
        </row>
        <row r="250">
          <cell r="J250">
            <v>114</v>
          </cell>
          <cell r="S250">
            <v>28.5</v>
          </cell>
        </row>
      </sheetData>
      <sheetData sheetId="6">
        <row r="175">
          <cell r="J175">
            <v>200</v>
          </cell>
          <cell r="S175">
            <v>50</v>
          </cell>
        </row>
        <row r="252">
          <cell r="J252">
            <v>114</v>
          </cell>
          <cell r="S252">
            <v>28.5</v>
          </cell>
        </row>
      </sheetData>
      <sheetData sheetId="7">
        <row r="175">
          <cell r="J175">
            <v>200</v>
          </cell>
          <cell r="S175">
            <v>50</v>
          </cell>
        </row>
        <row r="252">
          <cell r="J252">
            <v>114</v>
          </cell>
          <cell r="S252">
            <v>28.5</v>
          </cell>
        </row>
        <row r="299">
          <cell r="J299">
            <v>900</v>
          </cell>
          <cell r="S299">
            <v>225</v>
          </cell>
        </row>
      </sheetData>
      <sheetData sheetId="8">
        <row r="178">
          <cell r="J178">
            <v>200</v>
          </cell>
          <cell r="S178">
            <v>50</v>
          </cell>
        </row>
        <row r="252">
          <cell r="J252">
            <v>114</v>
          </cell>
          <cell r="S252">
            <v>28.5</v>
          </cell>
        </row>
        <row r="299">
          <cell r="J299">
            <v>300</v>
          </cell>
          <cell r="S299">
            <v>75</v>
          </cell>
        </row>
      </sheetData>
      <sheetData sheetId="9">
        <row r="177">
          <cell r="J177">
            <v>200</v>
          </cell>
          <cell r="S177">
            <v>50</v>
          </cell>
        </row>
        <row r="251">
          <cell r="J251">
            <v>114</v>
          </cell>
          <cell r="S251">
            <v>28.5</v>
          </cell>
        </row>
        <row r="298">
          <cell r="J298">
            <v>300</v>
          </cell>
          <cell r="S298">
            <v>75</v>
          </cell>
        </row>
      </sheetData>
      <sheetData sheetId="10">
        <row r="179">
          <cell r="J179">
            <v>200</v>
          </cell>
          <cell r="S179">
            <v>50</v>
          </cell>
        </row>
        <row r="253">
          <cell r="J253">
            <v>114</v>
          </cell>
          <cell r="S253">
            <v>28.5</v>
          </cell>
        </row>
        <row r="300">
          <cell r="J300">
            <v>300</v>
          </cell>
          <cell r="S300">
            <v>75</v>
          </cell>
        </row>
      </sheetData>
      <sheetData sheetId="11">
        <row r="181">
          <cell r="J181">
            <v>200</v>
          </cell>
          <cell r="S181">
            <v>50</v>
          </cell>
        </row>
        <row r="255">
          <cell r="J255">
            <v>114</v>
          </cell>
          <cell r="S255">
            <v>28.5</v>
          </cell>
        </row>
        <row r="302">
          <cell r="J302">
            <v>300</v>
          </cell>
          <cell r="S302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P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40" sqref="C40:BG4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53" t="s">
        <v>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54" t="s">
        <v>0</v>
      </c>
      <c r="B3" s="156" t="s">
        <v>1</v>
      </c>
      <c r="C3" s="158" t="s">
        <v>2</v>
      </c>
      <c r="D3" s="160" t="s">
        <v>3</v>
      </c>
      <c r="E3" s="154" t="s">
        <v>4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54"/>
      <c r="T3" s="162"/>
      <c r="U3" s="154" t="s">
        <v>5</v>
      </c>
      <c r="V3" s="162"/>
      <c r="W3" s="168" t="s">
        <v>6</v>
      </c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70"/>
      <c r="AJ3" s="174" t="s">
        <v>7</v>
      </c>
      <c r="AK3" s="177" t="s">
        <v>8</v>
      </c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9"/>
      <c r="BF3" s="183" t="s">
        <v>9</v>
      </c>
      <c r="BG3" s="190" t="s">
        <v>10</v>
      </c>
    </row>
    <row r="4" spans="1:59" ht="51.75" customHeight="1" hidden="1" thickBot="1">
      <c r="A4" s="155"/>
      <c r="B4" s="157"/>
      <c r="C4" s="159"/>
      <c r="D4" s="161"/>
      <c r="E4" s="155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66"/>
      <c r="T4" s="167"/>
      <c r="U4" s="166"/>
      <c r="V4" s="167"/>
      <c r="W4" s="171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3"/>
      <c r="AJ4" s="175"/>
      <c r="AK4" s="180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2"/>
      <c r="BF4" s="184"/>
      <c r="BG4" s="191"/>
    </row>
    <row r="5" spans="1:59" ht="19.5" customHeight="1">
      <c r="A5" s="155"/>
      <c r="B5" s="157"/>
      <c r="C5" s="159"/>
      <c r="D5" s="161"/>
      <c r="E5" s="193" t="s">
        <v>11</v>
      </c>
      <c r="F5" s="194"/>
      <c r="G5" s="193" t="s">
        <v>12</v>
      </c>
      <c r="H5" s="194"/>
      <c r="I5" s="193" t="s">
        <v>13</v>
      </c>
      <c r="J5" s="194"/>
      <c r="K5" s="193" t="s">
        <v>14</v>
      </c>
      <c r="L5" s="194"/>
      <c r="M5" s="193" t="s">
        <v>15</v>
      </c>
      <c r="N5" s="194"/>
      <c r="O5" s="197" t="s">
        <v>16</v>
      </c>
      <c r="P5" s="197"/>
      <c r="Q5" s="193" t="s">
        <v>17</v>
      </c>
      <c r="R5" s="194"/>
      <c r="S5" s="197" t="s">
        <v>18</v>
      </c>
      <c r="T5" s="194"/>
      <c r="U5" s="200" t="s">
        <v>19</v>
      </c>
      <c r="V5" s="186" t="s">
        <v>20</v>
      </c>
      <c r="W5" s="188" t="s">
        <v>21</v>
      </c>
      <c r="X5" s="188" t="s">
        <v>22</v>
      </c>
      <c r="Y5" s="188" t="s">
        <v>23</v>
      </c>
      <c r="Z5" s="188" t="s">
        <v>24</v>
      </c>
      <c r="AA5" s="188" t="s">
        <v>25</v>
      </c>
      <c r="AB5" s="188" t="s">
        <v>26</v>
      </c>
      <c r="AC5" s="188" t="s">
        <v>27</v>
      </c>
      <c r="AD5" s="202" t="s">
        <v>28</v>
      </c>
      <c r="AE5" s="202" t="s">
        <v>29</v>
      </c>
      <c r="AF5" s="204" t="s">
        <v>30</v>
      </c>
      <c r="AG5" s="206" t="s">
        <v>31</v>
      </c>
      <c r="AH5" s="208" t="s">
        <v>32</v>
      </c>
      <c r="AI5" s="210" t="s">
        <v>33</v>
      </c>
      <c r="AJ5" s="175"/>
      <c r="AK5" s="212" t="s">
        <v>34</v>
      </c>
      <c r="AL5" s="214" t="s">
        <v>35</v>
      </c>
      <c r="AM5" s="214" t="s">
        <v>36</v>
      </c>
      <c r="AN5" s="216" t="s">
        <v>37</v>
      </c>
      <c r="AO5" s="214" t="s">
        <v>38</v>
      </c>
      <c r="AP5" s="216" t="s">
        <v>39</v>
      </c>
      <c r="AQ5" s="216" t="s">
        <v>40</v>
      </c>
      <c r="AR5" s="216" t="s">
        <v>41</v>
      </c>
      <c r="AS5" s="216" t="s">
        <v>42</v>
      </c>
      <c r="AT5" s="216" t="s">
        <v>43</v>
      </c>
      <c r="AU5" s="218" t="s">
        <v>44</v>
      </c>
      <c r="AV5" s="220" t="s">
        <v>45</v>
      </c>
      <c r="AW5" s="218" t="s">
        <v>46</v>
      </c>
      <c r="AX5" s="222" t="s">
        <v>47</v>
      </c>
      <c r="AY5" s="5"/>
      <c r="AZ5" s="224" t="s">
        <v>48</v>
      </c>
      <c r="BA5" s="216" t="s">
        <v>49</v>
      </c>
      <c r="BB5" s="216" t="s">
        <v>50</v>
      </c>
      <c r="BC5" s="226" t="s">
        <v>51</v>
      </c>
      <c r="BD5" s="228" t="s">
        <v>52</v>
      </c>
      <c r="BE5" s="216" t="s">
        <v>53</v>
      </c>
      <c r="BF5" s="184"/>
      <c r="BG5" s="191"/>
    </row>
    <row r="6" spans="1:59" ht="56.25" customHeight="1" thickBot="1">
      <c r="A6" s="155"/>
      <c r="B6" s="157"/>
      <c r="C6" s="159"/>
      <c r="D6" s="161"/>
      <c r="E6" s="195"/>
      <c r="F6" s="196"/>
      <c r="G6" s="195"/>
      <c r="H6" s="196"/>
      <c r="I6" s="195"/>
      <c r="J6" s="196"/>
      <c r="K6" s="195"/>
      <c r="L6" s="196"/>
      <c r="M6" s="195"/>
      <c r="N6" s="196"/>
      <c r="O6" s="198"/>
      <c r="P6" s="198"/>
      <c r="Q6" s="195"/>
      <c r="R6" s="196"/>
      <c r="S6" s="199"/>
      <c r="T6" s="196"/>
      <c r="U6" s="201"/>
      <c r="V6" s="187"/>
      <c r="W6" s="189"/>
      <c r="X6" s="189"/>
      <c r="Y6" s="189"/>
      <c r="Z6" s="189"/>
      <c r="AA6" s="189"/>
      <c r="AB6" s="189"/>
      <c r="AC6" s="189"/>
      <c r="AD6" s="203"/>
      <c r="AE6" s="203"/>
      <c r="AF6" s="205"/>
      <c r="AG6" s="207"/>
      <c r="AH6" s="209"/>
      <c r="AI6" s="211"/>
      <c r="AJ6" s="176"/>
      <c r="AK6" s="213"/>
      <c r="AL6" s="215"/>
      <c r="AM6" s="215"/>
      <c r="AN6" s="217"/>
      <c r="AO6" s="215"/>
      <c r="AP6" s="217"/>
      <c r="AQ6" s="217"/>
      <c r="AR6" s="217"/>
      <c r="AS6" s="217"/>
      <c r="AT6" s="217"/>
      <c r="AU6" s="219"/>
      <c r="AV6" s="221"/>
      <c r="AW6" s="219"/>
      <c r="AX6" s="223"/>
      <c r="AY6" s="6" t="s">
        <v>54</v>
      </c>
      <c r="AZ6" s="225"/>
      <c r="BA6" s="217"/>
      <c r="BB6" s="217"/>
      <c r="BC6" s="227"/>
      <c r="BD6" s="229"/>
      <c r="BE6" s="217"/>
      <c r="BF6" s="185"/>
      <c r="BG6" s="19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6150.22</v>
      </c>
      <c r="C10" s="20">
        <f aca="true" t="shared" si="0" ref="C10:C21">B10*8.55</f>
        <v>52584.38100000001</v>
      </c>
      <c r="D10" s="21">
        <v>2200.548</v>
      </c>
      <c r="E10" s="39">
        <v>0</v>
      </c>
      <c r="F10" s="39">
        <v>0</v>
      </c>
      <c r="G10" s="39">
        <v>32244.8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7">
        <v>12888.21</v>
      </c>
      <c r="N10" s="39">
        <v>0</v>
      </c>
      <c r="O10" s="117">
        <v>5113.13</v>
      </c>
      <c r="P10" s="49">
        <v>0</v>
      </c>
      <c r="Q10" s="24">
        <v>0</v>
      </c>
      <c r="R10" s="25">
        <v>0</v>
      </c>
      <c r="S10" s="24">
        <v>0</v>
      </c>
      <c r="T10" s="25">
        <v>0</v>
      </c>
      <c r="U10" s="28">
        <f aca="true" t="shared" si="1" ref="U10:V21">E10+G10+I10+K10+M10+O10+Q10+S10</f>
        <v>50246.13999999999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2200.548</v>
      </c>
      <c r="AH10" s="32">
        <f aca="true" t="shared" si="2" ref="AH10:AI21">AC10</f>
        <v>0</v>
      </c>
      <c r="AI10" s="32">
        <f t="shared" si="2"/>
        <v>0</v>
      </c>
      <c r="AJ10" s="118">
        <f>'[3]Т01'!$I$180</f>
        <v>114</v>
      </c>
      <c r="AK10" s="33">
        <f aca="true" t="shared" si="3" ref="AK10:AK21">0.67*B10</f>
        <v>4120.647400000001</v>
      </c>
      <c r="AL10" s="33">
        <f aca="true" t="shared" si="4" ref="AL10:AL21">B10*0.2</f>
        <v>1230.044</v>
      </c>
      <c r="AM10" s="33">
        <f aca="true" t="shared" si="5" ref="AM10:AM21">B10*1</f>
        <v>6150.22</v>
      </c>
      <c r="AN10" s="33">
        <f aca="true" t="shared" si="6" ref="AN10:AN21">B10*0.21</f>
        <v>1291.5462</v>
      </c>
      <c r="AO10" s="33">
        <f aca="true" t="shared" si="7" ref="AO10:AO21">2.02*B10</f>
        <v>12423.4444</v>
      </c>
      <c r="AP10" s="33">
        <f aca="true" t="shared" si="8" ref="AP10:AP21">B10*1.03</f>
        <v>6334.726600000001</v>
      </c>
      <c r="AQ10" s="33">
        <f aca="true" t="shared" si="9" ref="AQ10:AQ21">B10*0.75</f>
        <v>4612.665</v>
      </c>
      <c r="AR10" s="33">
        <f aca="true" t="shared" si="10" ref="AR10:AR21">B10*0.75</f>
        <v>4612.665</v>
      </c>
      <c r="AS10" s="33">
        <f>B10*1.15</f>
        <v>7072.753</v>
      </c>
      <c r="AT10" s="33"/>
      <c r="AU10" s="38"/>
      <c r="AV10" s="119"/>
      <c r="AW10" s="38"/>
      <c r="AX10" s="38">
        <f>180+48.5</f>
        <v>228.5</v>
      </c>
      <c r="AY10" s="48"/>
      <c r="AZ10" s="124"/>
      <c r="BA10" s="34"/>
      <c r="BB10" s="34">
        <f>BA10*0.18</f>
        <v>0</v>
      </c>
      <c r="BC10" s="34">
        <f aca="true" t="shared" si="11" ref="BC10:BC21">SUM(AK10:BB10)</f>
        <v>48077.2116</v>
      </c>
      <c r="BD10" s="35">
        <f>'[3]Т01'!$R$180</f>
        <v>28.5</v>
      </c>
      <c r="BE10" s="36">
        <f>BC10+BD10</f>
        <v>48105.7116</v>
      </c>
      <c r="BF10" s="36">
        <f>AG10+AJ10-BE10</f>
        <v>-45791.1636</v>
      </c>
      <c r="BG10" s="36">
        <f>AF10-U10</f>
        <v>-50246.13999999999</v>
      </c>
    </row>
    <row r="11" spans="1:59" ht="14.25">
      <c r="A11" s="18" t="s">
        <v>58</v>
      </c>
      <c r="B11" s="19">
        <v>6150.22</v>
      </c>
      <c r="C11" s="20">
        <f t="shared" si="0"/>
        <v>52584.38100000001</v>
      </c>
      <c r="D11" s="21">
        <v>2159.4522</v>
      </c>
      <c r="E11" s="39">
        <v>0</v>
      </c>
      <c r="F11" s="39">
        <v>0</v>
      </c>
      <c r="G11" s="39">
        <v>31200.54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7">
        <v>15393.29</v>
      </c>
      <c r="N11" s="39">
        <v>0</v>
      </c>
      <c r="O11" s="117">
        <v>5338.87</v>
      </c>
      <c r="P11" s="39">
        <v>0</v>
      </c>
      <c r="Q11" s="39">
        <v>0</v>
      </c>
      <c r="R11" s="49">
        <v>0</v>
      </c>
      <c r="S11" s="22">
        <v>0</v>
      </c>
      <c r="T11" s="23">
        <v>0</v>
      </c>
      <c r="U11" s="37">
        <f t="shared" si="1"/>
        <v>51932.700000000004</v>
      </c>
      <c r="V11" s="29">
        <f t="shared" si="1"/>
        <v>0</v>
      </c>
      <c r="W11" s="120">
        <v>1004.55</v>
      </c>
      <c r="X11" s="120">
        <v>0</v>
      </c>
      <c r="Y11" s="120">
        <v>1378.97</v>
      </c>
      <c r="Z11" s="120">
        <v>2295.08</v>
      </c>
      <c r="AA11" s="120">
        <v>14513.93</v>
      </c>
      <c r="AB11" s="120">
        <v>4810.46</v>
      </c>
      <c r="AC11" s="120">
        <v>0</v>
      </c>
      <c r="AD11" s="121">
        <v>0</v>
      </c>
      <c r="AE11" s="121">
        <v>0</v>
      </c>
      <c r="AF11" s="30">
        <f>SUM(W11:AE11)</f>
        <v>24002.989999999998</v>
      </c>
      <c r="AG11" s="31">
        <f>AF11+V11+D11</f>
        <v>26162.442199999998</v>
      </c>
      <c r="AH11" s="32">
        <f t="shared" si="2"/>
        <v>0</v>
      </c>
      <c r="AI11" s="32">
        <f t="shared" si="2"/>
        <v>0</v>
      </c>
      <c r="AJ11" s="118">
        <f>'[3]Т02'!$G$182</f>
        <v>114</v>
      </c>
      <c r="AK11" s="33">
        <f t="shared" si="3"/>
        <v>4120.647400000001</v>
      </c>
      <c r="AL11" s="33">
        <f t="shared" si="4"/>
        <v>1230.044</v>
      </c>
      <c r="AM11" s="33">
        <f t="shared" si="5"/>
        <v>6150.22</v>
      </c>
      <c r="AN11" s="33">
        <f t="shared" si="6"/>
        <v>1291.5462</v>
      </c>
      <c r="AO11" s="33">
        <f t="shared" si="7"/>
        <v>12423.4444</v>
      </c>
      <c r="AP11" s="33">
        <f t="shared" si="8"/>
        <v>6334.726600000001</v>
      </c>
      <c r="AQ11" s="33">
        <f t="shared" si="9"/>
        <v>4612.665</v>
      </c>
      <c r="AR11" s="33">
        <f t="shared" si="10"/>
        <v>4612.665</v>
      </c>
      <c r="AS11" s="33">
        <f>B11*1.15</f>
        <v>7072.753</v>
      </c>
      <c r="AT11" s="33"/>
      <c r="AU11" s="38">
        <v>6894</v>
      </c>
      <c r="AV11" s="119"/>
      <c r="AW11" s="38"/>
      <c r="AX11" s="38">
        <f>757+80+454+192+37+358+56+128+142</f>
        <v>2204</v>
      </c>
      <c r="AY11" s="48"/>
      <c r="AZ11" s="124"/>
      <c r="BA11" s="34"/>
      <c r="BB11" s="34">
        <f>BA11*0.18</f>
        <v>0</v>
      </c>
      <c r="BC11" s="34">
        <f t="shared" si="11"/>
        <v>56946.7116</v>
      </c>
      <c r="BD11" s="35">
        <f>'[3]Т02'!$S$181</f>
        <v>28.5</v>
      </c>
      <c r="BE11" s="36">
        <f aca="true" t="shared" si="12" ref="BE11:BE21">BC11+BD11</f>
        <v>56975.2116</v>
      </c>
      <c r="BF11" s="36">
        <f aca="true" t="shared" si="13" ref="BF11:BF21">AG11+AJ11-BE11</f>
        <v>-30698.769400000005</v>
      </c>
      <c r="BG11" s="36">
        <f aca="true" t="shared" si="14" ref="BG11:BG21">AF11-U11</f>
        <v>-27929.710000000006</v>
      </c>
    </row>
    <row r="12" spans="1:59" ht="12.75">
      <c r="A12" s="18" t="s">
        <v>59</v>
      </c>
      <c r="B12" s="19">
        <v>6150.22</v>
      </c>
      <c r="C12" s="20">
        <f t="shared" si="0"/>
        <v>52584.38100000001</v>
      </c>
      <c r="D12" s="21">
        <v>1938.714</v>
      </c>
      <c r="E12" s="39">
        <v>0</v>
      </c>
      <c r="F12" s="39">
        <v>0</v>
      </c>
      <c r="G12" s="39">
        <v>31722.67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7">
        <v>15403.6</v>
      </c>
      <c r="N12" s="39">
        <v>0</v>
      </c>
      <c r="O12" s="117">
        <v>5341.4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1"/>
        <v>52467.67</v>
      </c>
      <c r="V12" s="40">
        <f t="shared" si="1"/>
        <v>0</v>
      </c>
      <c r="W12" s="41">
        <v>559.99</v>
      </c>
      <c r="X12" s="23">
        <v>31148.88</v>
      </c>
      <c r="Y12" s="23">
        <v>761.72</v>
      </c>
      <c r="Z12" s="23">
        <v>1267.86</v>
      </c>
      <c r="AA12" s="23">
        <v>15862.22</v>
      </c>
      <c r="AB12" s="23">
        <v>5489.75</v>
      </c>
      <c r="AC12" s="23">
        <v>0</v>
      </c>
      <c r="AD12" s="22">
        <v>0</v>
      </c>
      <c r="AE12" s="23">
        <v>0</v>
      </c>
      <c r="AF12" s="42">
        <f>SUM(W12:AE12)</f>
        <v>55090.420000000006</v>
      </c>
      <c r="AG12" s="31">
        <f>AF12+V12+D12</f>
        <v>57029.134000000005</v>
      </c>
      <c r="AH12" s="32">
        <f t="shared" si="2"/>
        <v>0</v>
      </c>
      <c r="AI12" s="32">
        <f t="shared" si="2"/>
        <v>0</v>
      </c>
      <c r="AJ12" s="118">
        <f>'[3]Т03'!$J$182</f>
        <v>114</v>
      </c>
      <c r="AK12" s="33">
        <f t="shared" si="3"/>
        <v>4120.647400000001</v>
      </c>
      <c r="AL12" s="33">
        <f t="shared" si="4"/>
        <v>1230.044</v>
      </c>
      <c r="AM12" s="33">
        <f t="shared" si="5"/>
        <v>6150.22</v>
      </c>
      <c r="AN12" s="33">
        <f t="shared" si="6"/>
        <v>1291.5462</v>
      </c>
      <c r="AO12" s="33">
        <f t="shared" si="7"/>
        <v>12423.4444</v>
      </c>
      <c r="AP12" s="33">
        <f t="shared" si="8"/>
        <v>6334.726600000001</v>
      </c>
      <c r="AQ12" s="33">
        <f t="shared" si="9"/>
        <v>4612.665</v>
      </c>
      <c r="AR12" s="33">
        <f t="shared" si="10"/>
        <v>4612.665</v>
      </c>
      <c r="AS12" s="33">
        <f>B12*1.15</f>
        <v>7072.753</v>
      </c>
      <c r="AT12" s="33"/>
      <c r="AU12" s="38">
        <v>3668</v>
      </c>
      <c r="AV12" s="119"/>
      <c r="AW12" s="38"/>
      <c r="AX12" s="38">
        <f>'[2]март 2011'!$F$120</f>
        <v>191.77499999999998</v>
      </c>
      <c r="AY12" s="48"/>
      <c r="AZ12" s="124"/>
      <c r="BA12" s="34"/>
      <c r="BB12" s="34">
        <f>BA12*0.18</f>
        <v>0</v>
      </c>
      <c r="BC12" s="34">
        <f t="shared" si="11"/>
        <v>51708.486600000004</v>
      </c>
      <c r="BD12" s="35">
        <f>'[3]Т03'!$S$182</f>
        <v>28.5</v>
      </c>
      <c r="BE12" s="36">
        <f t="shared" si="12"/>
        <v>51736.986600000004</v>
      </c>
      <c r="BF12" s="36">
        <f t="shared" si="13"/>
        <v>5406.147400000002</v>
      </c>
      <c r="BG12" s="36">
        <f t="shared" si="14"/>
        <v>2622.7500000000073</v>
      </c>
    </row>
    <row r="13" spans="1:59" ht="12.75">
      <c r="A13" s="18" t="s">
        <v>60</v>
      </c>
      <c r="B13" s="19">
        <v>6150.22</v>
      </c>
      <c r="C13" s="20">
        <f t="shared" si="0"/>
        <v>52584.38100000001</v>
      </c>
      <c r="D13" s="21">
        <v>1938.714</v>
      </c>
      <c r="E13" s="24">
        <v>0</v>
      </c>
      <c r="F13" s="39">
        <v>0</v>
      </c>
      <c r="G13" s="39">
        <v>31725.35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7">
        <v>15404.91</v>
      </c>
      <c r="N13" s="39">
        <v>0</v>
      </c>
      <c r="O13" s="117">
        <v>5341.86</v>
      </c>
      <c r="P13" s="39">
        <v>0</v>
      </c>
      <c r="Q13" s="39">
        <v>0</v>
      </c>
      <c r="R13" s="49">
        <v>0</v>
      </c>
      <c r="S13" s="134">
        <v>0</v>
      </c>
      <c r="T13" s="27">
        <v>0</v>
      </c>
      <c r="U13" s="37">
        <f t="shared" si="1"/>
        <v>52472.119999999995</v>
      </c>
      <c r="V13" s="40">
        <f t="shared" si="1"/>
        <v>0</v>
      </c>
      <c r="W13" s="23">
        <v>497.78</v>
      </c>
      <c r="X13" s="23">
        <v>25007</v>
      </c>
      <c r="Y13" s="23">
        <v>674.94</v>
      </c>
      <c r="Z13" s="23">
        <v>1123.4</v>
      </c>
      <c r="AA13" s="23">
        <v>13616.16</v>
      </c>
      <c r="AB13" s="22">
        <v>4610.69</v>
      </c>
      <c r="AC13" s="23">
        <v>0</v>
      </c>
      <c r="AD13" s="22">
        <v>0</v>
      </c>
      <c r="AE13" s="22">
        <v>0</v>
      </c>
      <c r="AF13" s="30">
        <f>SUM(W13:AD13)</f>
        <v>45529.97</v>
      </c>
      <c r="AG13" s="44">
        <f>AF13+V13+D13</f>
        <v>47468.684</v>
      </c>
      <c r="AH13" s="45">
        <f t="shared" si="2"/>
        <v>0</v>
      </c>
      <c r="AI13" s="45">
        <f t="shared" si="2"/>
        <v>0</v>
      </c>
      <c r="AJ13" s="126">
        <f>'[4]Т04'!$J$184</f>
        <v>114</v>
      </c>
      <c r="AK13" s="33">
        <f t="shared" si="3"/>
        <v>4120.647400000001</v>
      </c>
      <c r="AL13" s="33">
        <f t="shared" si="4"/>
        <v>1230.044</v>
      </c>
      <c r="AM13" s="33">
        <f t="shared" si="5"/>
        <v>6150.22</v>
      </c>
      <c r="AN13" s="33">
        <f t="shared" si="6"/>
        <v>1291.5462</v>
      </c>
      <c r="AO13" s="33">
        <f t="shared" si="7"/>
        <v>12423.4444</v>
      </c>
      <c r="AP13" s="33">
        <f t="shared" si="8"/>
        <v>6334.726600000001</v>
      </c>
      <c r="AQ13" s="33">
        <f t="shared" si="9"/>
        <v>4612.665</v>
      </c>
      <c r="AR13" s="33">
        <f t="shared" si="10"/>
        <v>4612.665</v>
      </c>
      <c r="AS13" s="33"/>
      <c r="AT13" s="46"/>
      <c r="AU13" s="47"/>
      <c r="AV13" s="47"/>
      <c r="AW13" s="47"/>
      <c r="AX13" s="47">
        <f>165</f>
        <v>165</v>
      </c>
      <c r="AY13" s="48"/>
      <c r="AZ13" s="48"/>
      <c r="BA13" s="46"/>
      <c r="BB13" s="46"/>
      <c r="BC13" s="39">
        <f t="shared" si="11"/>
        <v>40940.958600000005</v>
      </c>
      <c r="BD13" s="131">
        <f>'[3]Т04'!$S$184</f>
        <v>28.5</v>
      </c>
      <c r="BE13" s="36">
        <f t="shared" si="12"/>
        <v>40969.458600000005</v>
      </c>
      <c r="BF13" s="36">
        <f t="shared" si="13"/>
        <v>6613.225399999996</v>
      </c>
      <c r="BG13" s="36">
        <f t="shared" si="14"/>
        <v>-6942.149999999994</v>
      </c>
    </row>
    <row r="14" spans="1:59" ht="12.75">
      <c r="A14" s="18" t="s">
        <v>61</v>
      </c>
      <c r="B14" s="125">
        <v>6150.22</v>
      </c>
      <c r="C14" s="20">
        <f t="shared" si="0"/>
        <v>52584.38100000001</v>
      </c>
      <c r="D14" s="21">
        <v>1938.714</v>
      </c>
      <c r="E14" s="122">
        <v>0</v>
      </c>
      <c r="F14" s="39">
        <v>0</v>
      </c>
      <c r="G14" s="39">
        <v>31743.25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3">
        <v>15774.09</v>
      </c>
      <c r="N14" s="39">
        <v>0</v>
      </c>
      <c r="O14" s="123">
        <v>5434.31</v>
      </c>
      <c r="P14" s="39">
        <v>0</v>
      </c>
      <c r="Q14" s="39">
        <v>0</v>
      </c>
      <c r="R14" s="49">
        <v>0</v>
      </c>
      <c r="S14" s="39">
        <v>0</v>
      </c>
      <c r="T14" s="22">
        <v>0</v>
      </c>
      <c r="U14" s="26">
        <f t="shared" si="1"/>
        <v>52951.649999999994</v>
      </c>
      <c r="V14" s="50">
        <f>F14+H14+J14+L14+N14++R14+T14</f>
        <v>0</v>
      </c>
      <c r="W14" s="23">
        <v>216.87</v>
      </c>
      <c r="X14" s="23">
        <v>30864.44</v>
      </c>
      <c r="Y14" s="23">
        <v>293.31</v>
      </c>
      <c r="Z14" s="23">
        <v>488.48</v>
      </c>
      <c r="AA14" s="23">
        <v>15539.96</v>
      </c>
      <c r="AB14" s="23">
        <v>5357.56</v>
      </c>
      <c r="AC14" s="23">
        <v>0</v>
      </c>
      <c r="AD14" s="22">
        <v>0</v>
      </c>
      <c r="AE14" s="30">
        <v>0</v>
      </c>
      <c r="AF14" s="51">
        <f>SUM(W14:AE14)</f>
        <v>52760.619999999995</v>
      </c>
      <c r="AG14" s="44">
        <f aca="true" t="shared" si="15" ref="AG14:AG21">D14+V14+AF14</f>
        <v>54699.333999999995</v>
      </c>
      <c r="AH14" s="45">
        <f t="shared" si="2"/>
        <v>0</v>
      </c>
      <c r="AI14" s="45">
        <f t="shared" si="2"/>
        <v>0</v>
      </c>
      <c r="AJ14" s="126">
        <f>'[3]Т05'!$J$182</f>
        <v>114</v>
      </c>
      <c r="AK14" s="33">
        <f t="shared" si="3"/>
        <v>4120.647400000001</v>
      </c>
      <c r="AL14" s="33">
        <f t="shared" si="4"/>
        <v>1230.044</v>
      </c>
      <c r="AM14" s="33">
        <f t="shared" si="5"/>
        <v>6150.22</v>
      </c>
      <c r="AN14" s="33">
        <f t="shared" si="6"/>
        <v>1291.5462</v>
      </c>
      <c r="AO14" s="33">
        <f t="shared" si="7"/>
        <v>12423.4444</v>
      </c>
      <c r="AP14" s="33">
        <f t="shared" si="8"/>
        <v>6334.726600000001</v>
      </c>
      <c r="AQ14" s="33">
        <f t="shared" si="9"/>
        <v>4612.665</v>
      </c>
      <c r="AR14" s="33">
        <f t="shared" si="10"/>
        <v>4612.665</v>
      </c>
      <c r="AS14" s="33"/>
      <c r="AT14" s="46"/>
      <c r="AU14" s="47"/>
      <c r="AV14" s="47"/>
      <c r="AW14" s="47">
        <v>19197</v>
      </c>
      <c r="AX14" s="47">
        <f>5070</f>
        <v>5070</v>
      </c>
      <c r="AY14" s="48"/>
      <c r="AZ14" s="48"/>
      <c r="BA14" s="46"/>
      <c r="BB14" s="46"/>
      <c r="BC14" s="39">
        <f t="shared" si="11"/>
        <v>65042.958600000005</v>
      </c>
      <c r="BD14" s="131">
        <f>'[3]Т05'!$S$182</f>
        <v>28.5</v>
      </c>
      <c r="BE14" s="36">
        <f t="shared" si="12"/>
        <v>65071.458600000005</v>
      </c>
      <c r="BF14" s="36">
        <f t="shared" si="13"/>
        <v>-10258.12460000001</v>
      </c>
      <c r="BG14" s="36">
        <f t="shared" si="14"/>
        <v>-191.02999999999884</v>
      </c>
    </row>
    <row r="15" spans="1:59" ht="12.75">
      <c r="A15" s="18" t="s">
        <v>62</v>
      </c>
      <c r="B15" s="133">
        <v>6148.52</v>
      </c>
      <c r="C15" s="20">
        <f t="shared" si="0"/>
        <v>52569.846000000005</v>
      </c>
      <c r="D15" s="43">
        <v>1868.844</v>
      </c>
      <c r="E15" s="52">
        <v>-44.97</v>
      </c>
      <c r="F15" s="52"/>
      <c r="G15" s="52">
        <v>31689.2</v>
      </c>
      <c r="H15" s="52"/>
      <c r="I15" s="53">
        <v>-61.04</v>
      </c>
      <c r="J15" s="53"/>
      <c r="K15" s="53">
        <v>-101.37</v>
      </c>
      <c r="L15" s="53"/>
      <c r="M15" s="53">
        <v>15241.07</v>
      </c>
      <c r="N15" s="53"/>
      <c r="O15" s="53">
        <v>5299.77</v>
      </c>
      <c r="P15" s="53"/>
      <c r="Q15" s="53">
        <v>0</v>
      </c>
      <c r="R15" s="54"/>
      <c r="S15" s="54">
        <v>0</v>
      </c>
      <c r="T15" s="53"/>
      <c r="U15" s="55">
        <f t="shared" si="1"/>
        <v>52022.66</v>
      </c>
      <c r="V15" s="56">
        <f t="shared" si="1"/>
        <v>0</v>
      </c>
      <c r="W15" s="57">
        <v>128.27</v>
      </c>
      <c r="X15" s="52">
        <v>28123.16</v>
      </c>
      <c r="Y15" s="52">
        <v>173.81</v>
      </c>
      <c r="Z15" s="52">
        <v>289.25</v>
      </c>
      <c r="AA15" s="52">
        <v>16006.49</v>
      </c>
      <c r="AB15" s="52">
        <v>4856.75</v>
      </c>
      <c r="AC15" s="52">
        <v>0</v>
      </c>
      <c r="AD15" s="52">
        <v>0</v>
      </c>
      <c r="AE15" s="58">
        <v>0</v>
      </c>
      <c r="AF15" s="59">
        <f aca="true" t="shared" si="16" ref="AF15:AF21">SUM(W15:AE15)</f>
        <v>49577.73</v>
      </c>
      <c r="AG15" s="44">
        <f t="shared" si="15"/>
        <v>51446.574</v>
      </c>
      <c r="AH15" s="45">
        <f t="shared" si="2"/>
        <v>0</v>
      </c>
      <c r="AI15" s="45">
        <f t="shared" si="2"/>
        <v>0</v>
      </c>
      <c r="AJ15" s="126">
        <f>'[3]Т06'!$J$182</f>
        <v>114</v>
      </c>
      <c r="AK15" s="33">
        <f t="shared" si="3"/>
        <v>4119.508400000001</v>
      </c>
      <c r="AL15" s="33">
        <f t="shared" si="4"/>
        <v>1229.7040000000002</v>
      </c>
      <c r="AM15" s="33">
        <f t="shared" si="5"/>
        <v>6148.52</v>
      </c>
      <c r="AN15" s="33">
        <f t="shared" si="6"/>
        <v>1291.1892</v>
      </c>
      <c r="AO15" s="33">
        <f t="shared" si="7"/>
        <v>12420.010400000001</v>
      </c>
      <c r="AP15" s="33">
        <f t="shared" si="8"/>
        <v>6332.975600000001</v>
      </c>
      <c r="AQ15" s="33">
        <f t="shared" si="9"/>
        <v>4611.39</v>
      </c>
      <c r="AR15" s="33">
        <f t="shared" si="10"/>
        <v>4611.39</v>
      </c>
      <c r="AS15" s="33"/>
      <c r="AT15" s="46"/>
      <c r="AU15" s="47"/>
      <c r="AV15" s="47"/>
      <c r="AW15" s="47">
        <v>3816</v>
      </c>
      <c r="AX15" s="47">
        <f>34+3450+1620+498+2217.456+1500.96</f>
        <v>9320.416000000001</v>
      </c>
      <c r="AY15" s="33"/>
      <c r="AZ15" s="33"/>
      <c r="BA15" s="46"/>
      <c r="BB15" s="46"/>
      <c r="BC15" s="60">
        <f t="shared" si="11"/>
        <v>53901.1036</v>
      </c>
      <c r="BD15" s="131">
        <f>'[3]Т06'!$S$182</f>
        <v>28.5</v>
      </c>
      <c r="BE15" s="36">
        <f t="shared" si="12"/>
        <v>53929.6036</v>
      </c>
      <c r="BF15" s="36">
        <f t="shared" si="13"/>
        <v>-2369.0296000000017</v>
      </c>
      <c r="BG15" s="36">
        <f t="shared" si="14"/>
        <v>-2444.9300000000003</v>
      </c>
    </row>
    <row r="16" spans="1:59" ht="12.75">
      <c r="A16" s="18" t="s">
        <v>63</v>
      </c>
      <c r="B16" s="19">
        <v>6148.52</v>
      </c>
      <c r="C16" s="20">
        <f t="shared" si="0"/>
        <v>52569.846000000005</v>
      </c>
      <c r="D16" s="43">
        <v>1868.844</v>
      </c>
      <c r="E16" s="61"/>
      <c r="F16" s="61"/>
      <c r="G16" s="61">
        <v>31730.32</v>
      </c>
      <c r="H16" s="61"/>
      <c r="I16" s="61"/>
      <c r="J16" s="61"/>
      <c r="K16" s="61"/>
      <c r="L16" s="61"/>
      <c r="M16" s="61">
        <v>15407.41</v>
      </c>
      <c r="N16" s="61"/>
      <c r="O16" s="61">
        <v>5342.78</v>
      </c>
      <c r="P16" s="61"/>
      <c r="Q16" s="61"/>
      <c r="R16" s="61"/>
      <c r="S16" s="62"/>
      <c r="T16" s="57"/>
      <c r="U16" s="63">
        <f t="shared" si="1"/>
        <v>52480.509999999995</v>
      </c>
      <c r="V16" s="64">
        <f t="shared" si="1"/>
        <v>0</v>
      </c>
      <c r="W16" s="65">
        <v>112.05</v>
      </c>
      <c r="X16" s="61">
        <v>24631.78</v>
      </c>
      <c r="Y16" s="61">
        <v>151.68</v>
      </c>
      <c r="Z16" s="61">
        <v>252.59</v>
      </c>
      <c r="AA16" s="61">
        <v>12528.71</v>
      </c>
      <c r="AB16" s="61">
        <v>4287.05</v>
      </c>
      <c r="AC16" s="52"/>
      <c r="AD16" s="61"/>
      <c r="AE16" s="62"/>
      <c r="AF16" s="59">
        <f t="shared" si="16"/>
        <v>41963.86</v>
      </c>
      <c r="AG16" s="66">
        <f t="shared" si="15"/>
        <v>43832.704</v>
      </c>
      <c r="AH16" s="45">
        <f t="shared" si="2"/>
        <v>0</v>
      </c>
      <c r="AI16" s="45">
        <f t="shared" si="2"/>
        <v>0</v>
      </c>
      <c r="AJ16" s="126">
        <f>'[3]Т07'!$J$186</f>
        <v>114</v>
      </c>
      <c r="AK16" s="33">
        <f t="shared" si="3"/>
        <v>4119.508400000001</v>
      </c>
      <c r="AL16" s="33">
        <f t="shared" si="4"/>
        <v>1229.7040000000002</v>
      </c>
      <c r="AM16" s="33">
        <f t="shared" si="5"/>
        <v>6148.52</v>
      </c>
      <c r="AN16" s="33">
        <f t="shared" si="6"/>
        <v>1291.1892</v>
      </c>
      <c r="AO16" s="33">
        <f t="shared" si="7"/>
        <v>12420.010400000001</v>
      </c>
      <c r="AP16" s="33">
        <f t="shared" si="8"/>
        <v>6332.975600000001</v>
      </c>
      <c r="AQ16" s="33">
        <f t="shared" si="9"/>
        <v>4611.39</v>
      </c>
      <c r="AR16" s="33">
        <f t="shared" si="10"/>
        <v>4611.39</v>
      </c>
      <c r="AS16" s="33"/>
      <c r="AT16" s="46"/>
      <c r="AU16" s="47">
        <v>263</v>
      </c>
      <c r="AV16" s="47"/>
      <c r="AW16" s="47"/>
      <c r="AX16" s="47">
        <f>53.3+96.43+9.43+10000</f>
        <v>10159.16</v>
      </c>
      <c r="AY16" s="48"/>
      <c r="AZ16" s="48"/>
      <c r="BA16" s="46"/>
      <c r="BB16" s="46"/>
      <c r="BC16" s="39">
        <f t="shared" si="11"/>
        <v>51186.84760000001</v>
      </c>
      <c r="BD16" s="131">
        <f>'[3]Т07'!$S$186</f>
        <v>28.5</v>
      </c>
      <c r="BE16" s="36">
        <f t="shared" si="12"/>
        <v>51215.34760000001</v>
      </c>
      <c r="BF16" s="36">
        <f t="shared" si="13"/>
        <v>-7268.64360000001</v>
      </c>
      <c r="BG16" s="36">
        <f t="shared" si="14"/>
        <v>-10516.649999999994</v>
      </c>
    </row>
    <row r="17" spans="1:59" ht="12.75">
      <c r="A17" s="18" t="s">
        <v>64</v>
      </c>
      <c r="B17" s="133">
        <v>6145.61</v>
      </c>
      <c r="C17" s="20">
        <f t="shared" si="0"/>
        <v>52544.9655</v>
      </c>
      <c r="D17" s="43">
        <v>1827.84</v>
      </c>
      <c r="E17" s="61"/>
      <c r="F17" s="61"/>
      <c r="G17" s="61">
        <v>31709.91</v>
      </c>
      <c r="H17" s="61"/>
      <c r="I17" s="61"/>
      <c r="J17" s="61"/>
      <c r="K17" s="61"/>
      <c r="L17" s="61"/>
      <c r="M17" s="61">
        <v>15385.69</v>
      </c>
      <c r="N17" s="61"/>
      <c r="O17" s="61">
        <v>5336.4</v>
      </c>
      <c r="P17" s="61"/>
      <c r="Q17" s="61"/>
      <c r="R17" s="61"/>
      <c r="S17" s="62"/>
      <c r="T17" s="58"/>
      <c r="U17" s="67">
        <f t="shared" si="1"/>
        <v>52432</v>
      </c>
      <c r="V17" s="68">
        <f t="shared" si="1"/>
        <v>0</v>
      </c>
      <c r="W17" s="61">
        <v>45.86</v>
      </c>
      <c r="X17" s="61">
        <v>26653.52</v>
      </c>
      <c r="Y17" s="61">
        <v>62.16</v>
      </c>
      <c r="Z17" s="61">
        <v>103.45</v>
      </c>
      <c r="AA17" s="61">
        <v>12825.56</v>
      </c>
      <c r="AB17" s="61">
        <v>4524.28</v>
      </c>
      <c r="AC17" s="61"/>
      <c r="AD17" s="61"/>
      <c r="AE17" s="62"/>
      <c r="AF17" s="59">
        <f t="shared" si="16"/>
        <v>44214.83</v>
      </c>
      <c r="AG17" s="66">
        <f t="shared" si="15"/>
        <v>46042.67</v>
      </c>
      <c r="AH17" s="45">
        <f t="shared" si="2"/>
        <v>0</v>
      </c>
      <c r="AI17" s="45">
        <f t="shared" si="2"/>
        <v>0</v>
      </c>
      <c r="AJ17" s="126">
        <f>'[3]Т08'!$J$190</f>
        <v>114</v>
      </c>
      <c r="AK17" s="33">
        <f t="shared" si="3"/>
        <v>4117.5587</v>
      </c>
      <c r="AL17" s="33">
        <f t="shared" si="4"/>
        <v>1229.122</v>
      </c>
      <c r="AM17" s="33">
        <f t="shared" si="5"/>
        <v>6145.61</v>
      </c>
      <c r="AN17" s="33">
        <f t="shared" si="6"/>
        <v>1290.5781</v>
      </c>
      <c r="AO17" s="33">
        <f t="shared" si="7"/>
        <v>12414.1322</v>
      </c>
      <c r="AP17" s="33">
        <f t="shared" si="8"/>
        <v>6329.9783</v>
      </c>
      <c r="AQ17" s="33">
        <f t="shared" si="9"/>
        <v>4609.2074999999995</v>
      </c>
      <c r="AR17" s="33">
        <f t="shared" si="10"/>
        <v>4609.2074999999995</v>
      </c>
      <c r="AS17" s="33"/>
      <c r="AT17" s="46"/>
      <c r="AU17" s="47"/>
      <c r="AV17" s="47"/>
      <c r="AW17" s="47">
        <v>13500</v>
      </c>
      <c r="AX17" s="47"/>
      <c r="AY17" s="48"/>
      <c r="AZ17" s="48"/>
      <c r="BA17" s="46"/>
      <c r="BB17" s="46"/>
      <c r="BC17" s="39">
        <f t="shared" si="11"/>
        <v>54245.39429999999</v>
      </c>
      <c r="BD17" s="131">
        <f>'[3]Т08'!$S$190</f>
        <v>28.5</v>
      </c>
      <c r="BE17" s="36">
        <f t="shared" si="12"/>
        <v>54273.89429999999</v>
      </c>
      <c r="BF17" s="36">
        <f t="shared" si="13"/>
        <v>-8117.224299999994</v>
      </c>
      <c r="BG17" s="36">
        <f t="shared" si="14"/>
        <v>-8217.169999999998</v>
      </c>
    </row>
    <row r="18" spans="1:59" ht="12.75">
      <c r="A18" s="18" t="s">
        <v>65</v>
      </c>
      <c r="B18" s="19">
        <v>6145.61</v>
      </c>
      <c r="C18" s="20">
        <f t="shared" si="0"/>
        <v>52544.9655</v>
      </c>
      <c r="D18" s="43">
        <v>1827.84</v>
      </c>
      <c r="E18" s="61"/>
      <c r="F18" s="61"/>
      <c r="G18" s="61">
        <v>32220.35</v>
      </c>
      <c r="H18" s="61"/>
      <c r="I18" s="61"/>
      <c r="J18" s="61"/>
      <c r="K18" s="61"/>
      <c r="L18" s="61"/>
      <c r="M18" s="61">
        <v>15645.35</v>
      </c>
      <c r="N18" s="61"/>
      <c r="O18" s="61">
        <v>5425.18</v>
      </c>
      <c r="P18" s="61"/>
      <c r="Q18" s="61"/>
      <c r="R18" s="61"/>
      <c r="S18" s="62"/>
      <c r="T18" s="69"/>
      <c r="U18" s="69">
        <f t="shared" si="1"/>
        <v>53290.88</v>
      </c>
      <c r="V18" s="70">
        <f t="shared" si="1"/>
        <v>0</v>
      </c>
      <c r="W18" s="61">
        <v>452.78</v>
      </c>
      <c r="X18" s="61">
        <v>35871.8</v>
      </c>
      <c r="Y18" s="61">
        <v>613.61</v>
      </c>
      <c r="Z18" s="61">
        <v>1021.08</v>
      </c>
      <c r="AA18" s="61">
        <v>16729.23</v>
      </c>
      <c r="AB18" s="61">
        <v>6312.81</v>
      </c>
      <c r="AC18" s="61"/>
      <c r="AD18" s="61"/>
      <c r="AE18" s="62"/>
      <c r="AF18" s="59">
        <f t="shared" si="16"/>
        <v>61001.31</v>
      </c>
      <c r="AG18" s="66">
        <f t="shared" si="15"/>
        <v>62829.149999999994</v>
      </c>
      <c r="AH18" s="45">
        <f t="shared" si="2"/>
        <v>0</v>
      </c>
      <c r="AI18" s="45">
        <f t="shared" si="2"/>
        <v>0</v>
      </c>
      <c r="AJ18" s="126">
        <f>'[3]Т09'!$J$190</f>
        <v>114</v>
      </c>
      <c r="AK18" s="33">
        <f t="shared" si="3"/>
        <v>4117.5587</v>
      </c>
      <c r="AL18" s="33">
        <f t="shared" si="4"/>
        <v>1229.122</v>
      </c>
      <c r="AM18" s="33">
        <f t="shared" si="5"/>
        <v>6145.61</v>
      </c>
      <c r="AN18" s="33">
        <f t="shared" si="6"/>
        <v>1290.5781</v>
      </c>
      <c r="AO18" s="33">
        <f t="shared" si="7"/>
        <v>12414.1322</v>
      </c>
      <c r="AP18" s="33">
        <f t="shared" si="8"/>
        <v>6329.9783</v>
      </c>
      <c r="AQ18" s="33">
        <f t="shared" si="9"/>
        <v>4609.2074999999995</v>
      </c>
      <c r="AR18" s="33">
        <f t="shared" si="10"/>
        <v>4609.2074999999995</v>
      </c>
      <c r="AS18" s="33"/>
      <c r="AT18" s="46"/>
      <c r="AU18" s="47"/>
      <c r="AV18" s="47"/>
      <c r="AW18" s="47">
        <v>385</v>
      </c>
      <c r="AX18" s="47"/>
      <c r="AY18" s="48"/>
      <c r="AZ18" s="48"/>
      <c r="BA18" s="46"/>
      <c r="BB18" s="46"/>
      <c r="BC18" s="39">
        <f t="shared" si="11"/>
        <v>41130.39429999999</v>
      </c>
      <c r="BD18" s="131">
        <f>'[3]Т08'!$S$190</f>
        <v>28.5</v>
      </c>
      <c r="BE18" s="36">
        <f t="shared" si="12"/>
        <v>41158.89429999999</v>
      </c>
      <c r="BF18" s="36">
        <f t="shared" si="13"/>
        <v>21784.2557</v>
      </c>
      <c r="BG18" s="36">
        <f t="shared" si="14"/>
        <v>7710.43</v>
      </c>
    </row>
    <row r="19" spans="1:59" ht="12.75">
      <c r="A19" s="18" t="s">
        <v>66</v>
      </c>
      <c r="B19" s="19">
        <v>6145.61</v>
      </c>
      <c r="C19" s="20">
        <f t="shared" si="0"/>
        <v>52544.9655</v>
      </c>
      <c r="D19" s="43">
        <v>1827.84</v>
      </c>
      <c r="E19" s="52"/>
      <c r="F19" s="52"/>
      <c r="G19" s="52">
        <v>32220.38</v>
      </c>
      <c r="H19" s="52"/>
      <c r="I19" s="52"/>
      <c r="J19" s="52"/>
      <c r="K19" s="52"/>
      <c r="L19" s="52"/>
      <c r="M19" s="52">
        <v>15645.35</v>
      </c>
      <c r="N19" s="52"/>
      <c r="O19" s="52">
        <v>5425.19</v>
      </c>
      <c r="P19" s="52"/>
      <c r="Q19" s="52"/>
      <c r="R19" s="52"/>
      <c r="S19" s="58"/>
      <c r="T19" s="72"/>
      <c r="U19" s="73">
        <f t="shared" si="1"/>
        <v>53290.920000000006</v>
      </c>
      <c r="V19" s="74">
        <f t="shared" si="1"/>
        <v>0</v>
      </c>
      <c r="W19" s="52">
        <v>0</v>
      </c>
      <c r="X19" s="52">
        <v>28667.58</v>
      </c>
      <c r="Y19" s="52">
        <v>0</v>
      </c>
      <c r="Z19" s="52">
        <v>0</v>
      </c>
      <c r="AA19" s="52">
        <v>13920.28</v>
      </c>
      <c r="AB19" s="52">
        <v>4827.55</v>
      </c>
      <c r="AC19" s="52"/>
      <c r="AD19" s="52"/>
      <c r="AE19" s="58"/>
      <c r="AF19" s="59">
        <f t="shared" si="16"/>
        <v>47415.41</v>
      </c>
      <c r="AG19" s="66">
        <f t="shared" si="15"/>
        <v>49243.25</v>
      </c>
      <c r="AH19" s="45">
        <f t="shared" si="2"/>
        <v>0</v>
      </c>
      <c r="AI19" s="45">
        <f t="shared" si="2"/>
        <v>0</v>
      </c>
      <c r="AJ19" s="126">
        <f>'[5]Т10'!$J$190</f>
        <v>114</v>
      </c>
      <c r="AK19" s="33">
        <f t="shared" si="3"/>
        <v>4117.5587</v>
      </c>
      <c r="AL19" s="33">
        <f t="shared" si="4"/>
        <v>1229.122</v>
      </c>
      <c r="AM19" s="33">
        <f t="shared" si="5"/>
        <v>6145.61</v>
      </c>
      <c r="AN19" s="33">
        <f t="shared" si="6"/>
        <v>1290.5781</v>
      </c>
      <c r="AO19" s="33">
        <f t="shared" si="7"/>
        <v>12414.1322</v>
      </c>
      <c r="AP19" s="33">
        <f t="shared" si="8"/>
        <v>6329.9783</v>
      </c>
      <c r="AQ19" s="33">
        <f t="shared" si="9"/>
        <v>4609.2074999999995</v>
      </c>
      <c r="AR19" s="33">
        <f t="shared" si="10"/>
        <v>4609.2074999999995</v>
      </c>
      <c r="AS19" s="127">
        <f>B19*1.15</f>
        <v>7067.451499999999</v>
      </c>
      <c r="AT19" s="46"/>
      <c r="AU19" s="47">
        <v>6024</v>
      </c>
      <c r="AV19" s="47"/>
      <c r="AW19" s="47"/>
      <c r="AX19" s="47">
        <f>73.15+3600</f>
        <v>3673.15</v>
      </c>
      <c r="AY19" s="48"/>
      <c r="AZ19" s="48"/>
      <c r="BA19" s="46"/>
      <c r="BB19" s="46"/>
      <c r="BC19" s="39">
        <f t="shared" si="11"/>
        <v>57509.9958</v>
      </c>
      <c r="BD19" s="131">
        <f>'[6]Т10'!$S$190</f>
        <v>28.5</v>
      </c>
      <c r="BE19" s="36">
        <f t="shared" si="12"/>
        <v>57538.4958</v>
      </c>
      <c r="BF19" s="36">
        <f t="shared" si="13"/>
        <v>-8181.245799999997</v>
      </c>
      <c r="BG19" s="36">
        <f t="shared" si="14"/>
        <v>-5875.510000000002</v>
      </c>
    </row>
    <row r="20" spans="1:59" ht="12.75">
      <c r="A20" s="18" t="s">
        <v>67</v>
      </c>
      <c r="B20" s="19">
        <v>6145.61</v>
      </c>
      <c r="C20" s="20">
        <f t="shared" si="0"/>
        <v>52544.9655</v>
      </c>
      <c r="D20" s="43">
        <v>1827.84</v>
      </c>
      <c r="E20" s="52"/>
      <c r="F20" s="52"/>
      <c r="G20" s="52">
        <v>32239.18</v>
      </c>
      <c r="H20" s="52"/>
      <c r="I20" s="52"/>
      <c r="J20" s="52"/>
      <c r="K20" s="52"/>
      <c r="L20" s="52"/>
      <c r="M20" s="52">
        <v>15654.6</v>
      </c>
      <c r="N20" s="52"/>
      <c r="O20" s="52">
        <v>5428.49</v>
      </c>
      <c r="P20" s="52"/>
      <c r="Q20" s="52"/>
      <c r="R20" s="52"/>
      <c r="S20" s="58"/>
      <c r="T20" s="72"/>
      <c r="U20" s="73">
        <f t="shared" si="1"/>
        <v>53322.27</v>
      </c>
      <c r="V20" s="74">
        <f t="shared" si="1"/>
        <v>0</v>
      </c>
      <c r="W20" s="52">
        <v>0</v>
      </c>
      <c r="X20" s="52">
        <v>29720.21</v>
      </c>
      <c r="Y20" s="52">
        <v>0</v>
      </c>
      <c r="Z20" s="52">
        <v>0</v>
      </c>
      <c r="AA20" s="52">
        <v>14430.73</v>
      </c>
      <c r="AB20" s="52">
        <v>5003.46</v>
      </c>
      <c r="AC20" s="52"/>
      <c r="AD20" s="52"/>
      <c r="AE20" s="58"/>
      <c r="AF20" s="59">
        <f t="shared" si="16"/>
        <v>49154.4</v>
      </c>
      <c r="AG20" s="66">
        <f t="shared" si="15"/>
        <v>50982.24</v>
      </c>
      <c r="AH20" s="45">
        <f t="shared" si="2"/>
        <v>0</v>
      </c>
      <c r="AI20" s="45">
        <f t="shared" si="2"/>
        <v>0</v>
      </c>
      <c r="AJ20" s="126">
        <f>'[6]Т11'!$J$190</f>
        <v>114</v>
      </c>
      <c r="AK20" s="33">
        <f t="shared" si="3"/>
        <v>4117.5587</v>
      </c>
      <c r="AL20" s="33">
        <f t="shared" si="4"/>
        <v>1229.122</v>
      </c>
      <c r="AM20" s="33">
        <f t="shared" si="5"/>
        <v>6145.61</v>
      </c>
      <c r="AN20" s="33">
        <f t="shared" si="6"/>
        <v>1290.5781</v>
      </c>
      <c r="AO20" s="33">
        <f t="shared" si="7"/>
        <v>12414.1322</v>
      </c>
      <c r="AP20" s="33">
        <f t="shared" si="8"/>
        <v>6329.9783</v>
      </c>
      <c r="AQ20" s="33">
        <f t="shared" si="9"/>
        <v>4609.2074999999995</v>
      </c>
      <c r="AR20" s="33">
        <f t="shared" si="10"/>
        <v>4609.2074999999995</v>
      </c>
      <c r="AS20" s="127">
        <f>B20*1.15</f>
        <v>7067.451499999999</v>
      </c>
      <c r="AT20" s="46"/>
      <c r="AU20" s="47"/>
      <c r="AV20" s="47"/>
      <c r="AW20" s="47"/>
      <c r="AX20" s="47">
        <f>52.68</f>
        <v>52.68</v>
      </c>
      <c r="AY20" s="48"/>
      <c r="AZ20" s="48"/>
      <c r="BA20" s="46"/>
      <c r="BB20" s="46"/>
      <c r="BC20" s="39">
        <f t="shared" si="11"/>
        <v>47865.525799999996</v>
      </c>
      <c r="BD20" s="131">
        <f>'[6]Т11'!$S$190</f>
        <v>28.5</v>
      </c>
      <c r="BE20" s="36">
        <f t="shared" si="12"/>
        <v>47894.025799999996</v>
      </c>
      <c r="BF20" s="36">
        <f t="shared" si="13"/>
        <v>3202.214200000002</v>
      </c>
      <c r="BG20" s="36">
        <f t="shared" si="14"/>
        <v>-4167.869999999995</v>
      </c>
    </row>
    <row r="21" spans="1:59" ht="13.5" thickBot="1">
      <c r="A21" s="18" t="s">
        <v>68</v>
      </c>
      <c r="B21" s="19">
        <v>6145.61</v>
      </c>
      <c r="C21" s="20">
        <f t="shared" si="0"/>
        <v>52544.9655</v>
      </c>
      <c r="D21" s="43">
        <v>1827.84</v>
      </c>
      <c r="E21" s="75"/>
      <c r="F21" s="75"/>
      <c r="G21" s="75">
        <v>32239.18</v>
      </c>
      <c r="H21" s="75"/>
      <c r="I21" s="75"/>
      <c r="J21" s="75"/>
      <c r="K21" s="75"/>
      <c r="L21" s="75"/>
      <c r="M21" s="75">
        <v>15654.59</v>
      </c>
      <c r="N21" s="75"/>
      <c r="O21" s="75">
        <v>5428.49</v>
      </c>
      <c r="P21" s="75"/>
      <c r="Q21" s="75"/>
      <c r="R21" s="75"/>
      <c r="S21" s="76"/>
      <c r="T21" s="77"/>
      <c r="U21" s="73">
        <f t="shared" si="1"/>
        <v>53322.26</v>
      </c>
      <c r="V21" s="74">
        <f t="shared" si="1"/>
        <v>0</v>
      </c>
      <c r="W21" s="52">
        <v>0</v>
      </c>
      <c r="X21" s="52">
        <v>48517.4</v>
      </c>
      <c r="Y21" s="52">
        <v>0</v>
      </c>
      <c r="Z21" s="52">
        <v>0</v>
      </c>
      <c r="AA21" s="52">
        <v>23557.61</v>
      </c>
      <c r="AB21" s="52">
        <v>8168.08</v>
      </c>
      <c r="AC21" s="52"/>
      <c r="AD21" s="52"/>
      <c r="AE21" s="58"/>
      <c r="AF21" s="59">
        <f t="shared" si="16"/>
        <v>80243.09000000001</v>
      </c>
      <c r="AG21" s="66">
        <f t="shared" si="15"/>
        <v>82070.93000000001</v>
      </c>
      <c r="AH21" s="45">
        <f t="shared" si="2"/>
        <v>0</v>
      </c>
      <c r="AI21" s="45">
        <f t="shared" si="2"/>
        <v>0</v>
      </c>
      <c r="AJ21" s="126">
        <f>'[6]Т12'!$J$214</f>
        <v>114</v>
      </c>
      <c r="AK21" s="33">
        <f t="shared" si="3"/>
        <v>4117.5587</v>
      </c>
      <c r="AL21" s="33">
        <f t="shared" si="4"/>
        <v>1229.122</v>
      </c>
      <c r="AM21" s="33">
        <f t="shared" si="5"/>
        <v>6145.61</v>
      </c>
      <c r="AN21" s="33">
        <f t="shared" si="6"/>
        <v>1290.5781</v>
      </c>
      <c r="AO21" s="33">
        <f t="shared" si="7"/>
        <v>12414.1322</v>
      </c>
      <c r="AP21" s="33">
        <f t="shared" si="8"/>
        <v>6329.9783</v>
      </c>
      <c r="AQ21" s="33">
        <f t="shared" si="9"/>
        <v>4609.2074999999995</v>
      </c>
      <c r="AR21" s="33">
        <f t="shared" si="10"/>
        <v>4609.2074999999995</v>
      </c>
      <c r="AS21" s="127">
        <f>B21*1.15</f>
        <v>7067.451499999999</v>
      </c>
      <c r="AT21" s="46"/>
      <c r="AU21" s="47"/>
      <c r="AV21" s="47">
        <v>349</v>
      </c>
      <c r="AW21" s="47"/>
      <c r="AX21" s="47"/>
      <c r="AY21" s="48"/>
      <c r="AZ21" s="48"/>
      <c r="BA21" s="46"/>
      <c r="BB21" s="46"/>
      <c r="BC21" s="39">
        <f t="shared" si="11"/>
        <v>48161.845799999996</v>
      </c>
      <c r="BD21" s="131">
        <f>'[6]Т12'!$S$214</f>
        <v>28.5</v>
      </c>
      <c r="BE21" s="36">
        <f t="shared" si="12"/>
        <v>48190.345799999996</v>
      </c>
      <c r="BF21" s="36">
        <f t="shared" si="13"/>
        <v>33994.58420000001</v>
      </c>
      <c r="BG21" s="36">
        <f t="shared" si="14"/>
        <v>26920.83000000001</v>
      </c>
    </row>
    <row r="22" spans="1:59" s="13" customFormat="1" ht="13.5" thickBot="1">
      <c r="A22" s="78" t="s">
        <v>5</v>
      </c>
      <c r="B22" s="79"/>
      <c r="C22" s="79">
        <f aca="true" t="shared" si="17" ref="C22:BF22">SUM(C10:C21)</f>
        <v>630786.4245000002</v>
      </c>
      <c r="D22" s="79">
        <f t="shared" si="17"/>
        <v>23053.0302</v>
      </c>
      <c r="E22" s="79">
        <f t="shared" si="17"/>
        <v>-44.97</v>
      </c>
      <c r="F22" s="79">
        <f t="shared" si="17"/>
        <v>0</v>
      </c>
      <c r="G22" s="79">
        <f t="shared" si="17"/>
        <v>382685.13</v>
      </c>
      <c r="H22" s="79">
        <f t="shared" si="17"/>
        <v>0</v>
      </c>
      <c r="I22" s="79">
        <f t="shared" si="17"/>
        <v>-61.04</v>
      </c>
      <c r="J22" s="79">
        <f t="shared" si="17"/>
        <v>0</v>
      </c>
      <c r="K22" s="79">
        <f t="shared" si="17"/>
        <v>-101.37</v>
      </c>
      <c r="L22" s="79">
        <f t="shared" si="17"/>
        <v>0</v>
      </c>
      <c r="M22" s="79">
        <f t="shared" si="17"/>
        <v>183498.16</v>
      </c>
      <c r="N22" s="79">
        <f t="shared" si="17"/>
        <v>0</v>
      </c>
      <c r="O22" s="79">
        <f t="shared" si="17"/>
        <v>64255.87</v>
      </c>
      <c r="P22" s="79">
        <f t="shared" si="17"/>
        <v>0</v>
      </c>
      <c r="Q22" s="79">
        <f t="shared" si="17"/>
        <v>0</v>
      </c>
      <c r="R22" s="79">
        <f t="shared" si="17"/>
        <v>0</v>
      </c>
      <c r="S22" s="79">
        <f t="shared" si="17"/>
        <v>0</v>
      </c>
      <c r="T22" s="79">
        <f t="shared" si="17"/>
        <v>0</v>
      </c>
      <c r="U22" s="79">
        <f t="shared" si="17"/>
        <v>630231.78</v>
      </c>
      <c r="V22" s="79">
        <f t="shared" si="17"/>
        <v>0</v>
      </c>
      <c r="W22" s="79">
        <f t="shared" si="17"/>
        <v>3018.1499999999996</v>
      </c>
      <c r="X22" s="79">
        <f t="shared" si="17"/>
        <v>309205.77</v>
      </c>
      <c r="Y22" s="79">
        <f t="shared" si="17"/>
        <v>4110.2</v>
      </c>
      <c r="Z22" s="79">
        <f t="shared" si="17"/>
        <v>6841.19</v>
      </c>
      <c r="AA22" s="79">
        <f t="shared" si="17"/>
        <v>169530.88</v>
      </c>
      <c r="AB22" s="79">
        <f t="shared" si="17"/>
        <v>58248.44</v>
      </c>
      <c r="AC22" s="79">
        <f t="shared" si="17"/>
        <v>0</v>
      </c>
      <c r="AD22" s="79">
        <f t="shared" si="17"/>
        <v>0</v>
      </c>
      <c r="AE22" s="79">
        <f t="shared" si="17"/>
        <v>0</v>
      </c>
      <c r="AF22" s="79">
        <f t="shared" si="17"/>
        <v>550954.63</v>
      </c>
      <c r="AG22" s="79">
        <f t="shared" si="17"/>
        <v>574007.6602</v>
      </c>
      <c r="AH22" s="79">
        <f t="shared" si="17"/>
        <v>0</v>
      </c>
      <c r="AI22" s="79">
        <f t="shared" si="17"/>
        <v>0</v>
      </c>
      <c r="AJ22" s="79">
        <f t="shared" si="17"/>
        <v>1368</v>
      </c>
      <c r="AK22" s="79">
        <f t="shared" si="17"/>
        <v>49430.04730000001</v>
      </c>
      <c r="AL22" s="79">
        <f t="shared" si="17"/>
        <v>14755.237999999998</v>
      </c>
      <c r="AM22" s="79">
        <f t="shared" si="17"/>
        <v>73776.19</v>
      </c>
      <c r="AN22" s="79">
        <f t="shared" si="17"/>
        <v>15492.999900000003</v>
      </c>
      <c r="AO22" s="79">
        <f t="shared" si="17"/>
        <v>149027.90379999997</v>
      </c>
      <c r="AP22" s="79">
        <f t="shared" si="17"/>
        <v>75989.47570000001</v>
      </c>
      <c r="AQ22" s="79">
        <f t="shared" si="17"/>
        <v>55332.14249999999</v>
      </c>
      <c r="AR22" s="79">
        <f t="shared" si="17"/>
        <v>55332.14249999999</v>
      </c>
      <c r="AS22" s="79">
        <f t="shared" si="17"/>
        <v>42420.61349999999</v>
      </c>
      <c r="AT22" s="79">
        <f t="shared" si="17"/>
        <v>0</v>
      </c>
      <c r="AU22" s="79">
        <f t="shared" si="17"/>
        <v>16849</v>
      </c>
      <c r="AV22" s="79">
        <f t="shared" si="17"/>
        <v>349</v>
      </c>
      <c r="AW22" s="79">
        <f t="shared" si="17"/>
        <v>36898</v>
      </c>
      <c r="AX22" s="79">
        <f t="shared" si="17"/>
        <v>31064.681</v>
      </c>
      <c r="AY22" s="79">
        <f t="shared" si="17"/>
        <v>0</v>
      </c>
      <c r="AZ22" s="79">
        <f t="shared" si="17"/>
        <v>0</v>
      </c>
      <c r="BA22" s="79">
        <f t="shared" si="17"/>
        <v>0</v>
      </c>
      <c r="BB22" s="79">
        <f t="shared" si="17"/>
        <v>0</v>
      </c>
      <c r="BC22" s="79">
        <f t="shared" si="17"/>
        <v>616717.4342</v>
      </c>
      <c r="BD22" s="79">
        <f t="shared" si="17"/>
        <v>342</v>
      </c>
      <c r="BE22" s="79">
        <f t="shared" si="17"/>
        <v>617059.4342</v>
      </c>
      <c r="BF22" s="79">
        <f t="shared" si="17"/>
        <v>-41683.77400000002</v>
      </c>
      <c r="BG22" s="79">
        <f>SUM(BG10:BG21)</f>
        <v>-79277.14999999997</v>
      </c>
    </row>
    <row r="23" spans="1:59" s="13" customFormat="1" ht="13.5" thickBo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3"/>
      <c r="BF23" s="82"/>
      <c r="BG23" s="84"/>
    </row>
    <row r="24" spans="1:59" s="13" customFormat="1" ht="13.5" thickBot="1">
      <c r="A24" s="9" t="s">
        <v>55</v>
      </c>
      <c r="B24" s="82"/>
      <c r="C24" s="85">
        <f aca="true" t="shared" si="18" ref="C24:L24">C22+C8</f>
        <v>630786.4245000002</v>
      </c>
      <c r="D24" s="85">
        <f t="shared" si="18"/>
        <v>23053.0302</v>
      </c>
      <c r="E24" s="85">
        <f t="shared" si="18"/>
        <v>-44.97</v>
      </c>
      <c r="F24" s="85">
        <f t="shared" si="18"/>
        <v>0</v>
      </c>
      <c r="G24" s="85">
        <f t="shared" si="18"/>
        <v>382685.13</v>
      </c>
      <c r="H24" s="85">
        <f t="shared" si="18"/>
        <v>0</v>
      </c>
      <c r="I24" s="85">
        <f t="shared" si="18"/>
        <v>-61.04</v>
      </c>
      <c r="J24" s="85">
        <f t="shared" si="18"/>
        <v>0</v>
      </c>
      <c r="K24" s="85">
        <f t="shared" si="18"/>
        <v>-101.37</v>
      </c>
      <c r="L24" s="85">
        <f t="shared" si="18"/>
        <v>0</v>
      </c>
      <c r="M24" s="85" t="e">
        <f>#REF!</f>
        <v>#REF!</v>
      </c>
      <c r="N24" s="85">
        <f aca="true" t="shared" si="19" ref="N24:BG24">N22+N8</f>
        <v>0</v>
      </c>
      <c r="O24" s="85">
        <f t="shared" si="19"/>
        <v>64255.87</v>
      </c>
      <c r="P24" s="85">
        <f t="shared" si="19"/>
        <v>0</v>
      </c>
      <c r="Q24" s="85">
        <f t="shared" si="19"/>
        <v>0</v>
      </c>
      <c r="R24" s="85">
        <f t="shared" si="19"/>
        <v>0</v>
      </c>
      <c r="S24" s="85">
        <f t="shared" si="19"/>
        <v>0</v>
      </c>
      <c r="T24" s="85">
        <f t="shared" si="19"/>
        <v>0</v>
      </c>
      <c r="U24" s="85">
        <f t="shared" si="19"/>
        <v>630231.78</v>
      </c>
      <c r="V24" s="85">
        <f t="shared" si="19"/>
        <v>0</v>
      </c>
      <c r="W24" s="85">
        <f t="shared" si="19"/>
        <v>3018.1499999999996</v>
      </c>
      <c r="X24" s="85">
        <f t="shared" si="19"/>
        <v>309205.77</v>
      </c>
      <c r="Y24" s="85">
        <f t="shared" si="19"/>
        <v>4110.2</v>
      </c>
      <c r="Z24" s="85">
        <f t="shared" si="19"/>
        <v>6841.19</v>
      </c>
      <c r="AA24" s="85">
        <f t="shared" si="19"/>
        <v>169530.88</v>
      </c>
      <c r="AB24" s="85">
        <f t="shared" si="19"/>
        <v>58248.44</v>
      </c>
      <c r="AC24" s="85">
        <f t="shared" si="19"/>
        <v>0</v>
      </c>
      <c r="AD24" s="85">
        <f t="shared" si="19"/>
        <v>0</v>
      </c>
      <c r="AE24" s="85">
        <f t="shared" si="19"/>
        <v>0</v>
      </c>
      <c r="AF24" s="85">
        <f t="shared" si="19"/>
        <v>550954.63</v>
      </c>
      <c r="AG24" s="85">
        <f t="shared" si="19"/>
        <v>574007.6602</v>
      </c>
      <c r="AH24" s="85">
        <f t="shared" si="19"/>
        <v>0</v>
      </c>
      <c r="AI24" s="85">
        <f t="shared" si="19"/>
        <v>0</v>
      </c>
      <c r="AJ24" s="85">
        <f t="shared" si="19"/>
        <v>1368</v>
      </c>
      <c r="AK24" s="85">
        <f t="shared" si="19"/>
        <v>49430.04730000001</v>
      </c>
      <c r="AL24" s="85">
        <f t="shared" si="19"/>
        <v>14755.237999999998</v>
      </c>
      <c r="AM24" s="85">
        <f t="shared" si="19"/>
        <v>73776.19</v>
      </c>
      <c r="AN24" s="85">
        <f t="shared" si="19"/>
        <v>15492.999900000003</v>
      </c>
      <c r="AO24" s="85">
        <f t="shared" si="19"/>
        <v>149027.90379999997</v>
      </c>
      <c r="AP24" s="85">
        <f t="shared" si="19"/>
        <v>75989.47570000001</v>
      </c>
      <c r="AQ24" s="85">
        <f t="shared" si="19"/>
        <v>55332.14249999999</v>
      </c>
      <c r="AR24" s="85">
        <f t="shared" si="19"/>
        <v>55332.14249999999</v>
      </c>
      <c r="AS24" s="85">
        <f t="shared" si="19"/>
        <v>42420.61349999999</v>
      </c>
      <c r="AT24" s="85">
        <f t="shared" si="19"/>
        <v>0</v>
      </c>
      <c r="AU24" s="85">
        <f t="shared" si="19"/>
        <v>16849</v>
      </c>
      <c r="AV24" s="85">
        <f t="shared" si="19"/>
        <v>349</v>
      </c>
      <c r="AW24" s="86">
        <f t="shared" si="19"/>
        <v>36898</v>
      </c>
      <c r="AX24" s="86">
        <f t="shared" si="19"/>
        <v>31064.681</v>
      </c>
      <c r="AY24" s="86">
        <f t="shared" si="19"/>
        <v>0</v>
      </c>
      <c r="AZ24" s="86">
        <f t="shared" si="19"/>
        <v>0</v>
      </c>
      <c r="BA24" s="86">
        <f t="shared" si="19"/>
        <v>0</v>
      </c>
      <c r="BB24" s="86">
        <f t="shared" si="19"/>
        <v>0</v>
      </c>
      <c r="BC24" s="86">
        <f t="shared" si="19"/>
        <v>616717.4342</v>
      </c>
      <c r="BD24" s="86">
        <f t="shared" si="19"/>
        <v>342</v>
      </c>
      <c r="BE24" s="86">
        <f t="shared" si="19"/>
        <v>617059.4342</v>
      </c>
      <c r="BF24" s="86">
        <f t="shared" si="19"/>
        <v>-41683.77400000002</v>
      </c>
      <c r="BG24" s="86">
        <f t="shared" si="19"/>
        <v>-79277.14999999997</v>
      </c>
    </row>
    <row r="25" spans="1:59" ht="12.75">
      <c r="A25" s="14" t="s">
        <v>97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47"/>
      <c r="AZ25" s="147"/>
      <c r="BA25" s="15"/>
      <c r="BB25" s="15"/>
      <c r="BC25" s="15"/>
      <c r="BD25" s="15"/>
      <c r="BE25" s="15"/>
      <c r="BF25" s="15"/>
      <c r="BG25" s="16"/>
    </row>
    <row r="26" spans="1:59" ht="12.75">
      <c r="A26" s="18" t="s">
        <v>57</v>
      </c>
      <c r="B26" s="19">
        <v>6145.61</v>
      </c>
      <c r="C26" s="20">
        <f aca="true" t="shared" si="20" ref="C26:C31">B26*8.55</f>
        <v>52544.9655</v>
      </c>
      <c r="D26" s="132">
        <v>1827.84</v>
      </c>
      <c r="E26" s="52"/>
      <c r="F26" s="52"/>
      <c r="G26" s="52">
        <v>32228.55</v>
      </c>
      <c r="H26" s="52"/>
      <c r="I26" s="52"/>
      <c r="J26" s="52"/>
      <c r="K26" s="52"/>
      <c r="L26" s="52"/>
      <c r="M26" s="52">
        <v>15649.34</v>
      </c>
      <c r="N26" s="52"/>
      <c r="O26" s="52">
        <v>5426.63</v>
      </c>
      <c r="P26" s="52"/>
      <c r="Q26" s="52"/>
      <c r="R26" s="52"/>
      <c r="S26" s="58"/>
      <c r="T26" s="77"/>
      <c r="U26" s="73">
        <f aca="true" t="shared" si="21" ref="U26:V31">E26+G26+I26+K26+M26+O26+Q26+S26</f>
        <v>53304.52</v>
      </c>
      <c r="V26" s="74">
        <f t="shared" si="21"/>
        <v>0</v>
      </c>
      <c r="W26" s="52">
        <v>0</v>
      </c>
      <c r="X26" s="52">
        <v>25941.96</v>
      </c>
      <c r="Y26" s="52">
        <v>0</v>
      </c>
      <c r="Z26" s="52">
        <v>0</v>
      </c>
      <c r="AA26" s="52">
        <v>12598.01</v>
      </c>
      <c r="AB26" s="52">
        <v>4369.47</v>
      </c>
      <c r="AC26" s="52"/>
      <c r="AD26" s="52"/>
      <c r="AE26" s="58"/>
      <c r="AF26" s="59">
        <f aca="true" t="shared" si="22" ref="AF26:AF31">SUM(W26:AE26)</f>
        <v>42909.44</v>
      </c>
      <c r="AG26" s="66">
        <f aca="true" t="shared" si="23" ref="AG26:AG37">D26+V26+AF26</f>
        <v>44737.28</v>
      </c>
      <c r="AH26" s="45">
        <f aca="true" t="shared" si="24" ref="AH26:AI37">AC26</f>
        <v>0</v>
      </c>
      <c r="AI26" s="45">
        <f t="shared" si="24"/>
        <v>0</v>
      </c>
      <c r="AJ26" s="126">
        <f>'[7]Т01'!$J$212</f>
        <v>114</v>
      </c>
      <c r="AK26" s="33">
        <f aca="true" t="shared" si="25" ref="AK26:AK31">0.67*B26</f>
        <v>4117.5587</v>
      </c>
      <c r="AL26" s="33">
        <f aca="true" t="shared" si="26" ref="AL26:AL37">B26*0.2</f>
        <v>1229.122</v>
      </c>
      <c r="AM26" s="33">
        <f aca="true" t="shared" si="27" ref="AM26:AM37">B26*1</f>
        <v>6145.61</v>
      </c>
      <c r="AN26" s="33">
        <f aca="true" t="shared" si="28" ref="AN26:AN37">B26*0.21</f>
        <v>1290.5781</v>
      </c>
      <c r="AO26" s="33">
        <f aca="true" t="shared" si="29" ref="AO26:AO37">2.02*B26</f>
        <v>12414.1322</v>
      </c>
      <c r="AP26" s="33">
        <f aca="true" t="shared" si="30" ref="AP26:AP37">B26*1.03</f>
        <v>6329.9783</v>
      </c>
      <c r="AQ26" s="33">
        <f aca="true" t="shared" si="31" ref="AQ26:AQ37">B26*0.75</f>
        <v>4609.2074999999995</v>
      </c>
      <c r="AR26" s="33">
        <f aca="true" t="shared" si="32" ref="AR26:AR37">B26*0.75</f>
        <v>4609.2074999999995</v>
      </c>
      <c r="AS26" s="127">
        <f>B26*1.15</f>
        <v>7067.451499999999</v>
      </c>
      <c r="AT26" s="46"/>
      <c r="AU26" s="137">
        <v>1584</v>
      </c>
      <c r="AV26" s="47"/>
      <c r="AW26" s="47"/>
      <c r="AX26" s="47">
        <f>756</f>
        <v>756</v>
      </c>
      <c r="AY26" s="148"/>
      <c r="AZ26" s="148"/>
      <c r="BA26" s="48"/>
      <c r="BB26" s="46"/>
      <c r="BC26" s="60">
        <f aca="true" t="shared" si="33" ref="BC26:BC37">SUM(AK26:BB26)</f>
        <v>50152.845799999996</v>
      </c>
      <c r="BD26" s="131">
        <f>'[7]Т01'!$S$212</f>
        <v>28.5</v>
      </c>
      <c r="BE26" s="34">
        <f>BC26+BD26</f>
        <v>50181.345799999996</v>
      </c>
      <c r="BF26" s="36">
        <f>AG26+AJ26-BE26</f>
        <v>-5330.065799999997</v>
      </c>
      <c r="BG26" s="36">
        <f>AF26-U26</f>
        <v>-10395.079999999994</v>
      </c>
    </row>
    <row r="27" spans="1:59" ht="12.75">
      <c r="A27" s="18" t="s">
        <v>58</v>
      </c>
      <c r="B27" s="19">
        <v>6145.61</v>
      </c>
      <c r="C27" s="20">
        <f t="shared" si="20"/>
        <v>52544.9655</v>
      </c>
      <c r="D27" s="132">
        <v>1827.84</v>
      </c>
      <c r="E27" s="61"/>
      <c r="F27" s="61"/>
      <c r="G27" s="61">
        <v>32222.95</v>
      </c>
      <c r="H27" s="61"/>
      <c r="I27" s="61"/>
      <c r="J27" s="61"/>
      <c r="K27" s="61"/>
      <c r="L27" s="61"/>
      <c r="M27" s="61">
        <v>15646.62</v>
      </c>
      <c r="N27" s="61"/>
      <c r="O27" s="61">
        <v>5425.63</v>
      </c>
      <c r="P27" s="61"/>
      <c r="Q27" s="61"/>
      <c r="R27" s="61"/>
      <c r="S27" s="62"/>
      <c r="T27" s="77"/>
      <c r="U27" s="73">
        <f t="shared" si="21"/>
        <v>53295.2</v>
      </c>
      <c r="V27" s="74">
        <f t="shared" si="21"/>
        <v>0</v>
      </c>
      <c r="W27" s="61">
        <v>0</v>
      </c>
      <c r="X27" s="61">
        <v>33598.28</v>
      </c>
      <c r="Y27" s="61">
        <v>0</v>
      </c>
      <c r="Z27" s="61">
        <v>0</v>
      </c>
      <c r="AA27" s="61">
        <v>25313.84</v>
      </c>
      <c r="AB27" s="61">
        <v>5656.73</v>
      </c>
      <c r="AC27" s="61"/>
      <c r="AD27" s="61"/>
      <c r="AE27" s="62"/>
      <c r="AF27" s="59">
        <f t="shared" si="22"/>
        <v>64568.84999999999</v>
      </c>
      <c r="AG27" s="66">
        <f t="shared" si="23"/>
        <v>66396.68999999999</v>
      </c>
      <c r="AH27" s="45">
        <f t="shared" si="24"/>
        <v>0</v>
      </c>
      <c r="AI27" s="45">
        <f t="shared" si="24"/>
        <v>0</v>
      </c>
      <c r="AJ27" s="126">
        <f>'[7]Т01'!$J$212</f>
        <v>114</v>
      </c>
      <c r="AK27" s="23">
        <f t="shared" si="25"/>
        <v>4117.5587</v>
      </c>
      <c r="AL27" s="33">
        <f t="shared" si="26"/>
        <v>1229.122</v>
      </c>
      <c r="AM27" s="33">
        <f t="shared" si="27"/>
        <v>6145.61</v>
      </c>
      <c r="AN27" s="33">
        <f t="shared" si="28"/>
        <v>1290.5781</v>
      </c>
      <c r="AO27" s="33">
        <f t="shared" si="29"/>
        <v>12414.1322</v>
      </c>
      <c r="AP27" s="33">
        <f t="shared" si="30"/>
        <v>6329.9783</v>
      </c>
      <c r="AQ27" s="33">
        <f t="shared" si="31"/>
        <v>4609.2074999999995</v>
      </c>
      <c r="AR27" s="33">
        <f t="shared" si="32"/>
        <v>4609.2074999999995</v>
      </c>
      <c r="AS27" s="127">
        <f>B27*1.15</f>
        <v>7067.451499999999</v>
      </c>
      <c r="AT27" s="46"/>
      <c r="AU27" s="47"/>
      <c r="AV27" s="47"/>
      <c r="AW27" s="47"/>
      <c r="AX27" s="47"/>
      <c r="AY27" s="148"/>
      <c r="AZ27" s="148"/>
      <c r="BA27" s="48"/>
      <c r="BB27" s="46"/>
      <c r="BC27" s="39">
        <f t="shared" si="33"/>
        <v>47812.845799999996</v>
      </c>
      <c r="BD27" s="131">
        <f>'[7]Т01'!$S$212</f>
        <v>28.5</v>
      </c>
      <c r="BE27" s="34">
        <f aca="true" t="shared" si="34" ref="BE27:BE37">BC27+BD27</f>
        <v>47841.345799999996</v>
      </c>
      <c r="BF27" s="36">
        <f aca="true" t="shared" si="35" ref="BF27:BF37">AG27+AJ27-BE27</f>
        <v>18669.344199999992</v>
      </c>
      <c r="BG27" s="36">
        <f aca="true" t="shared" si="36" ref="BG27:BG37">AF27-U27</f>
        <v>11273.649999999994</v>
      </c>
    </row>
    <row r="28" spans="1:59" ht="12.75">
      <c r="A28" s="18" t="s">
        <v>59</v>
      </c>
      <c r="B28" s="138">
        <v>6144.07</v>
      </c>
      <c r="C28" s="20">
        <f t="shared" si="20"/>
        <v>52531.798500000004</v>
      </c>
      <c r="D28" s="132">
        <v>1827.84</v>
      </c>
      <c r="E28" s="61"/>
      <c r="F28" s="61"/>
      <c r="G28" s="61">
        <v>32290.99</v>
      </c>
      <c r="H28" s="61"/>
      <c r="I28" s="61"/>
      <c r="J28" s="61"/>
      <c r="K28" s="61"/>
      <c r="L28" s="61"/>
      <c r="M28" s="61">
        <v>15680.1</v>
      </c>
      <c r="N28" s="61"/>
      <c r="O28" s="61">
        <v>5437.64</v>
      </c>
      <c r="P28" s="61"/>
      <c r="Q28" s="61"/>
      <c r="R28" s="61"/>
      <c r="S28" s="62"/>
      <c r="T28" s="77"/>
      <c r="U28" s="73">
        <f t="shared" si="21"/>
        <v>53408.73</v>
      </c>
      <c r="V28" s="74">
        <f t="shared" si="21"/>
        <v>0</v>
      </c>
      <c r="W28" s="52">
        <v>0</v>
      </c>
      <c r="X28" s="52">
        <v>34773.53</v>
      </c>
      <c r="Y28" s="52">
        <v>0</v>
      </c>
      <c r="Z28" s="52">
        <v>0</v>
      </c>
      <c r="AA28" s="52">
        <v>12564.65</v>
      </c>
      <c r="AB28" s="52">
        <v>4356.46</v>
      </c>
      <c r="AC28" s="52"/>
      <c r="AD28" s="52"/>
      <c r="AE28" s="58"/>
      <c r="AF28" s="59">
        <f t="shared" si="22"/>
        <v>51694.64</v>
      </c>
      <c r="AG28" s="66">
        <f t="shared" si="23"/>
        <v>53522.479999999996</v>
      </c>
      <c r="AH28" s="45">
        <f t="shared" si="24"/>
        <v>0</v>
      </c>
      <c r="AI28" s="45">
        <f t="shared" si="24"/>
        <v>0</v>
      </c>
      <c r="AJ28" s="126">
        <f>'[7]Т01'!$J$212</f>
        <v>114</v>
      </c>
      <c r="AK28" s="23">
        <f t="shared" si="25"/>
        <v>4116.5269</v>
      </c>
      <c r="AL28" s="33">
        <f t="shared" si="26"/>
        <v>1228.814</v>
      </c>
      <c r="AM28" s="33">
        <f t="shared" si="27"/>
        <v>6144.07</v>
      </c>
      <c r="AN28" s="33">
        <f t="shared" si="28"/>
        <v>1290.2547</v>
      </c>
      <c r="AO28" s="33">
        <f t="shared" si="29"/>
        <v>12411.0214</v>
      </c>
      <c r="AP28" s="33">
        <f t="shared" si="30"/>
        <v>6328.3921</v>
      </c>
      <c r="AQ28" s="33">
        <f t="shared" si="31"/>
        <v>4608.0525</v>
      </c>
      <c r="AR28" s="33">
        <f t="shared" si="32"/>
        <v>4608.0525</v>
      </c>
      <c r="AS28" s="127">
        <f>B28*1.15</f>
        <v>7065.6804999999995</v>
      </c>
      <c r="AT28" s="46"/>
      <c r="AU28" s="137">
        <v>2514</v>
      </c>
      <c r="AV28" s="47"/>
      <c r="AW28" s="47">
        <v>277.47</v>
      </c>
      <c r="AX28" s="47">
        <f>750+227+458.78</f>
        <v>1435.78</v>
      </c>
      <c r="AY28" s="148"/>
      <c r="AZ28" s="148"/>
      <c r="BA28" s="48"/>
      <c r="BB28" s="46"/>
      <c r="BC28" s="60">
        <f t="shared" si="33"/>
        <v>52028.1146</v>
      </c>
      <c r="BD28" s="131">
        <f>'[7]Т01'!$S$212</f>
        <v>28.5</v>
      </c>
      <c r="BE28" s="34">
        <f t="shared" si="34"/>
        <v>52056.6146</v>
      </c>
      <c r="BF28" s="36">
        <f t="shared" si="35"/>
        <v>1579.8653999999951</v>
      </c>
      <c r="BG28" s="36">
        <f t="shared" si="36"/>
        <v>-1714.0900000000038</v>
      </c>
    </row>
    <row r="29" spans="1:59" ht="12.75">
      <c r="A29" s="18" t="s">
        <v>60</v>
      </c>
      <c r="B29" s="139">
        <v>6144.07</v>
      </c>
      <c r="C29" s="20">
        <f t="shared" si="20"/>
        <v>52531.798500000004</v>
      </c>
      <c r="D29" s="132">
        <v>1787.1419999999998</v>
      </c>
      <c r="E29" s="61"/>
      <c r="F29" s="61"/>
      <c r="G29" s="61">
        <v>32231.02</v>
      </c>
      <c r="H29" s="61"/>
      <c r="I29" s="61"/>
      <c r="J29" s="61"/>
      <c r="K29" s="61"/>
      <c r="L29" s="61"/>
      <c r="M29" s="61">
        <v>15650.62</v>
      </c>
      <c r="N29" s="61"/>
      <c r="O29" s="61">
        <v>5427.13</v>
      </c>
      <c r="P29" s="61"/>
      <c r="Q29" s="61"/>
      <c r="R29" s="61"/>
      <c r="S29" s="62"/>
      <c r="T29" s="77"/>
      <c r="U29" s="73">
        <f t="shared" si="21"/>
        <v>53308.77</v>
      </c>
      <c r="V29" s="74">
        <f t="shared" si="21"/>
        <v>0</v>
      </c>
      <c r="W29" s="75">
        <v>0</v>
      </c>
      <c r="X29" s="75">
        <v>35115.96</v>
      </c>
      <c r="Y29" s="75">
        <v>0</v>
      </c>
      <c r="Z29" s="75">
        <v>0</v>
      </c>
      <c r="AA29" s="75">
        <v>13162.41</v>
      </c>
      <c r="AB29" s="75">
        <v>4564.02</v>
      </c>
      <c r="AC29" s="75"/>
      <c r="AD29" s="75"/>
      <c r="AE29" s="76"/>
      <c r="AF29" s="59">
        <f t="shared" si="22"/>
        <v>52842.39</v>
      </c>
      <c r="AG29" s="66">
        <f t="shared" si="23"/>
        <v>54629.532</v>
      </c>
      <c r="AH29" s="45">
        <f t="shared" si="24"/>
        <v>0</v>
      </c>
      <c r="AI29" s="45">
        <f t="shared" si="24"/>
        <v>0</v>
      </c>
      <c r="AJ29" s="126">
        <f>'[7]Т01'!$J$212</f>
        <v>114</v>
      </c>
      <c r="AK29" s="23">
        <f t="shared" si="25"/>
        <v>4116.5269</v>
      </c>
      <c r="AL29" s="33">
        <f t="shared" si="26"/>
        <v>1228.814</v>
      </c>
      <c r="AM29" s="33">
        <f t="shared" si="27"/>
        <v>6144.07</v>
      </c>
      <c r="AN29" s="33">
        <f t="shared" si="28"/>
        <v>1290.2547</v>
      </c>
      <c r="AO29" s="33">
        <f t="shared" si="29"/>
        <v>12411.0214</v>
      </c>
      <c r="AP29" s="33">
        <f t="shared" si="30"/>
        <v>6328.3921</v>
      </c>
      <c r="AQ29" s="33">
        <f t="shared" si="31"/>
        <v>4608.0525</v>
      </c>
      <c r="AR29" s="33">
        <f t="shared" si="32"/>
        <v>4608.0525</v>
      </c>
      <c r="AS29" s="127"/>
      <c r="AT29" s="46"/>
      <c r="AU29" s="137"/>
      <c r="AV29" s="47"/>
      <c r="AW29" s="47"/>
      <c r="AX29" s="47">
        <f>51.3+770+619.69+599.15</f>
        <v>2040.1399999999999</v>
      </c>
      <c r="AY29" s="148"/>
      <c r="AZ29" s="148"/>
      <c r="BA29" s="48"/>
      <c r="BB29" s="46"/>
      <c r="BC29" s="60">
        <f t="shared" si="33"/>
        <v>42775.3241</v>
      </c>
      <c r="BD29" s="131">
        <f>'[7]Т01'!$S$212</f>
        <v>28.5</v>
      </c>
      <c r="BE29" s="34">
        <f t="shared" si="34"/>
        <v>42803.8241</v>
      </c>
      <c r="BF29" s="36">
        <f t="shared" si="35"/>
        <v>11939.707900000001</v>
      </c>
      <c r="BG29" s="36">
        <f t="shared" si="36"/>
        <v>-466.3799999999974</v>
      </c>
    </row>
    <row r="30" spans="1:59" ht="12.75">
      <c r="A30" s="18" t="s">
        <v>61</v>
      </c>
      <c r="B30" s="139">
        <v>6144.07</v>
      </c>
      <c r="C30" s="20">
        <f t="shared" si="20"/>
        <v>52531.798500000004</v>
      </c>
      <c r="D30" s="132">
        <v>1787.1419999999998</v>
      </c>
      <c r="E30" s="61"/>
      <c r="F30" s="61"/>
      <c r="G30" s="61">
        <v>32231.01</v>
      </c>
      <c r="H30" s="61"/>
      <c r="I30" s="61"/>
      <c r="J30" s="61"/>
      <c r="K30" s="61"/>
      <c r="L30" s="61"/>
      <c r="M30" s="61">
        <v>15650.62</v>
      </c>
      <c r="N30" s="61"/>
      <c r="O30" s="61">
        <v>5427.12</v>
      </c>
      <c r="P30" s="61"/>
      <c r="Q30" s="61"/>
      <c r="R30" s="61"/>
      <c r="S30" s="62"/>
      <c r="T30" s="77"/>
      <c r="U30" s="73">
        <f t="shared" si="21"/>
        <v>53308.75</v>
      </c>
      <c r="V30" s="74">
        <f t="shared" si="21"/>
        <v>0</v>
      </c>
      <c r="W30" s="75">
        <v>0</v>
      </c>
      <c r="X30" s="75">
        <v>33596.56</v>
      </c>
      <c r="Y30" s="75">
        <v>0</v>
      </c>
      <c r="Z30" s="75">
        <v>0</v>
      </c>
      <c r="AA30" s="75">
        <v>14875.55</v>
      </c>
      <c r="AB30" s="75">
        <v>5158.95</v>
      </c>
      <c r="AC30" s="75"/>
      <c r="AD30" s="75"/>
      <c r="AE30" s="75"/>
      <c r="AF30" s="59">
        <f t="shared" si="22"/>
        <v>53631.06</v>
      </c>
      <c r="AG30" s="66">
        <f t="shared" si="23"/>
        <v>55418.202</v>
      </c>
      <c r="AH30" s="45">
        <f t="shared" si="24"/>
        <v>0</v>
      </c>
      <c r="AI30" s="45">
        <f t="shared" si="24"/>
        <v>0</v>
      </c>
      <c r="AJ30" s="126">
        <f>'[7]Т05'!$J$219</f>
        <v>114</v>
      </c>
      <c r="AK30" s="23">
        <f t="shared" si="25"/>
        <v>4116.5269</v>
      </c>
      <c r="AL30" s="33">
        <f t="shared" si="26"/>
        <v>1228.814</v>
      </c>
      <c r="AM30" s="33">
        <f t="shared" si="27"/>
        <v>6144.07</v>
      </c>
      <c r="AN30" s="33">
        <f t="shared" si="28"/>
        <v>1290.2547</v>
      </c>
      <c r="AO30" s="33">
        <f t="shared" si="29"/>
        <v>12411.0214</v>
      </c>
      <c r="AP30" s="33">
        <f t="shared" si="30"/>
        <v>6328.3921</v>
      </c>
      <c r="AQ30" s="33">
        <f t="shared" si="31"/>
        <v>4608.0525</v>
      </c>
      <c r="AR30" s="33">
        <f t="shared" si="32"/>
        <v>4608.0525</v>
      </c>
      <c r="AS30" s="127"/>
      <c r="AT30" s="46"/>
      <c r="AU30" s="137">
        <v>202</v>
      </c>
      <c r="AV30" s="47"/>
      <c r="AW30" s="47">
        <v>988</v>
      </c>
      <c r="AX30" s="47">
        <f>114+184.55</f>
        <v>298.55</v>
      </c>
      <c r="AY30" s="148"/>
      <c r="AZ30" s="148"/>
      <c r="BA30" s="48"/>
      <c r="BB30" s="46"/>
      <c r="BC30" s="60">
        <f t="shared" si="33"/>
        <v>42223.7341</v>
      </c>
      <c r="BD30" s="131">
        <f>'[7]Т05'!$S$219</f>
        <v>28.5</v>
      </c>
      <c r="BE30" s="34">
        <f t="shared" si="34"/>
        <v>42252.2341</v>
      </c>
      <c r="BF30" s="36">
        <f t="shared" si="35"/>
        <v>13279.967899999996</v>
      </c>
      <c r="BG30" s="36">
        <f t="shared" si="36"/>
        <v>322.3099999999977</v>
      </c>
    </row>
    <row r="31" spans="1:59" ht="12.75">
      <c r="A31" s="18" t="s">
        <v>62</v>
      </c>
      <c r="B31" s="19">
        <v>6144.07</v>
      </c>
      <c r="C31" s="20">
        <f t="shared" si="20"/>
        <v>52531.798500000004</v>
      </c>
      <c r="D31" s="132">
        <v>1715.9765999999997</v>
      </c>
      <c r="E31" s="61"/>
      <c r="F31" s="61"/>
      <c r="G31" s="61">
        <v>32241.31</v>
      </c>
      <c r="H31" s="61"/>
      <c r="I31" s="61"/>
      <c r="J31" s="61"/>
      <c r="K31" s="61"/>
      <c r="L31" s="61"/>
      <c r="M31" s="61">
        <v>15655.67</v>
      </c>
      <c r="N31" s="61"/>
      <c r="O31" s="61">
        <v>5428.93</v>
      </c>
      <c r="P31" s="61"/>
      <c r="Q31" s="61"/>
      <c r="R31" s="61"/>
      <c r="S31" s="62"/>
      <c r="T31" s="77"/>
      <c r="U31" s="73">
        <f t="shared" si="21"/>
        <v>53325.91</v>
      </c>
      <c r="V31" s="74">
        <f t="shared" si="21"/>
        <v>0</v>
      </c>
      <c r="W31" s="75"/>
      <c r="X31" s="140">
        <v>28687.17</v>
      </c>
      <c r="Y31" s="75"/>
      <c r="Z31" s="75"/>
      <c r="AA31" s="140">
        <v>12721.98</v>
      </c>
      <c r="AB31" s="140">
        <v>4412.25</v>
      </c>
      <c r="AC31" s="75"/>
      <c r="AD31" s="140"/>
      <c r="AE31" s="141"/>
      <c r="AF31" s="59">
        <f t="shared" si="22"/>
        <v>45821.399999999994</v>
      </c>
      <c r="AG31" s="66">
        <f t="shared" si="23"/>
        <v>47537.376599999996</v>
      </c>
      <c r="AH31" s="45">
        <f t="shared" si="24"/>
        <v>0</v>
      </c>
      <c r="AI31" s="45">
        <f t="shared" si="24"/>
        <v>0</v>
      </c>
      <c r="AJ31" s="126">
        <f>'[7]Т06'!$J$173+'[7]Т06'!$J$250</f>
        <v>314</v>
      </c>
      <c r="AK31" s="23">
        <f t="shared" si="25"/>
        <v>4116.5269</v>
      </c>
      <c r="AL31" s="33">
        <f t="shared" si="26"/>
        <v>1228.814</v>
      </c>
      <c r="AM31" s="33">
        <f t="shared" si="27"/>
        <v>6144.07</v>
      </c>
      <c r="AN31" s="33">
        <f t="shared" si="28"/>
        <v>1290.2547</v>
      </c>
      <c r="AO31" s="33">
        <f t="shared" si="29"/>
        <v>12411.0214</v>
      </c>
      <c r="AP31" s="33">
        <f t="shared" si="30"/>
        <v>6328.3921</v>
      </c>
      <c r="AQ31" s="33">
        <f t="shared" si="31"/>
        <v>4608.0525</v>
      </c>
      <c r="AR31" s="33">
        <f t="shared" si="32"/>
        <v>4608.0525</v>
      </c>
      <c r="AS31" s="127"/>
      <c r="AT31" s="46"/>
      <c r="AU31" s="137"/>
      <c r="AV31" s="47"/>
      <c r="AW31" s="47">
        <v>395</v>
      </c>
      <c r="AX31" s="47">
        <f>1288.4</f>
        <v>1288.4</v>
      </c>
      <c r="AY31" s="148"/>
      <c r="AZ31" s="148"/>
      <c r="BA31" s="48"/>
      <c r="BB31" s="46"/>
      <c r="BC31" s="60">
        <f t="shared" si="33"/>
        <v>42418.5841</v>
      </c>
      <c r="BD31" s="131">
        <f>'[7]Т06'!$S$173+'[7]Т06'!$S$250</f>
        <v>78.5</v>
      </c>
      <c r="BE31" s="34">
        <f t="shared" si="34"/>
        <v>42497.0841</v>
      </c>
      <c r="BF31" s="36">
        <f t="shared" si="35"/>
        <v>5354.292499999996</v>
      </c>
      <c r="BG31" s="36">
        <f t="shared" si="36"/>
        <v>-7504.510000000009</v>
      </c>
    </row>
    <row r="32" spans="1:59" ht="12.75">
      <c r="A32" s="18" t="s">
        <v>63</v>
      </c>
      <c r="B32" s="19">
        <v>6144.07</v>
      </c>
      <c r="C32" s="20">
        <f aca="true" t="shared" si="37" ref="C32:C37">B32*9.51</f>
        <v>58430.10569999999</v>
      </c>
      <c r="D32" s="132">
        <v>2296.3804499999997</v>
      </c>
      <c r="E32" s="61"/>
      <c r="F32" s="61"/>
      <c r="G32" s="61">
        <v>59322.04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77"/>
      <c r="U32" s="73">
        <f aca="true" t="shared" si="38" ref="U32:V37">G32+M32+O32+Q32+S32</f>
        <v>59322.04</v>
      </c>
      <c r="V32" s="142">
        <f t="shared" si="38"/>
        <v>0</v>
      </c>
      <c r="W32" s="75"/>
      <c r="X32" s="52">
        <v>28746.32</v>
      </c>
      <c r="Y32" s="75"/>
      <c r="Z32" s="75"/>
      <c r="AA32" s="52">
        <v>12397.19</v>
      </c>
      <c r="AB32" s="52">
        <v>4610.82</v>
      </c>
      <c r="AC32" s="75"/>
      <c r="AD32" s="52"/>
      <c r="AE32" s="58"/>
      <c r="AF32" s="59">
        <f aca="true" t="shared" si="39" ref="AF32:AF37">SUM(X32:AE32)</f>
        <v>45754.33</v>
      </c>
      <c r="AG32" s="66">
        <f t="shared" si="23"/>
        <v>48050.71045</v>
      </c>
      <c r="AH32" s="143">
        <v>0</v>
      </c>
      <c r="AI32" s="45">
        <f t="shared" si="24"/>
        <v>0</v>
      </c>
      <c r="AJ32" s="126">
        <f>'[7]Т07'!$J$175+'[7]Т07'!$J$252</f>
        <v>314</v>
      </c>
      <c r="AK32" s="33">
        <f aca="true" t="shared" si="40" ref="AK32:AK37">0.75*B32</f>
        <v>4608.0525</v>
      </c>
      <c r="AL32" s="33">
        <f t="shared" si="26"/>
        <v>1228.814</v>
      </c>
      <c r="AM32" s="33">
        <f t="shared" si="27"/>
        <v>6144.07</v>
      </c>
      <c r="AN32" s="33">
        <f t="shared" si="28"/>
        <v>1290.2547</v>
      </c>
      <c r="AO32" s="33">
        <f t="shared" si="29"/>
        <v>12411.0214</v>
      </c>
      <c r="AP32" s="33">
        <f t="shared" si="30"/>
        <v>6328.3921</v>
      </c>
      <c r="AQ32" s="33">
        <f t="shared" si="31"/>
        <v>4608.0525</v>
      </c>
      <c r="AR32" s="33">
        <f t="shared" si="32"/>
        <v>4608.0525</v>
      </c>
      <c r="AS32" s="127"/>
      <c r="AT32" s="46"/>
      <c r="AU32" s="137">
        <v>11985</v>
      </c>
      <c r="AV32" s="47"/>
      <c r="AW32" s="47"/>
      <c r="AX32" s="47">
        <f>750+91.63+5856+4734+1112+176+48</f>
        <v>12767.630000000001</v>
      </c>
      <c r="AY32" s="148"/>
      <c r="AZ32" s="148"/>
      <c r="BA32" s="48"/>
      <c r="BB32" s="46"/>
      <c r="BC32" s="60">
        <f t="shared" si="33"/>
        <v>65979.3397</v>
      </c>
      <c r="BD32" s="131">
        <f>'[7]Т07'!$S$175+'[7]Т07'!$S$252</f>
        <v>78.5</v>
      </c>
      <c r="BE32" s="34">
        <f t="shared" si="34"/>
        <v>66057.8397</v>
      </c>
      <c r="BF32" s="36">
        <f t="shared" si="35"/>
        <v>-17693.129249999998</v>
      </c>
      <c r="BG32" s="36">
        <f t="shared" si="36"/>
        <v>-13567.71</v>
      </c>
    </row>
    <row r="33" spans="1:59" ht="12.75">
      <c r="A33" s="18" t="s">
        <v>64</v>
      </c>
      <c r="B33" s="19">
        <v>6144.07</v>
      </c>
      <c r="C33" s="20">
        <f t="shared" si="37"/>
        <v>58430.10569999999</v>
      </c>
      <c r="D33" s="132"/>
      <c r="E33" s="61"/>
      <c r="F33" s="61"/>
      <c r="G33" s="61">
        <v>59322.03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77"/>
      <c r="U33" s="73">
        <f t="shared" si="38"/>
        <v>59322.03</v>
      </c>
      <c r="V33" s="142">
        <f t="shared" si="38"/>
        <v>0</v>
      </c>
      <c r="W33" s="75"/>
      <c r="X33" s="52">
        <v>50825.86</v>
      </c>
      <c r="Y33" s="75"/>
      <c r="Z33" s="75"/>
      <c r="AA33" s="52">
        <v>2865.94</v>
      </c>
      <c r="AB33" s="52">
        <v>993.83</v>
      </c>
      <c r="AC33" s="75"/>
      <c r="AD33" s="52"/>
      <c r="AE33" s="58"/>
      <c r="AF33" s="59">
        <f t="shared" si="39"/>
        <v>54685.630000000005</v>
      </c>
      <c r="AG33" s="66">
        <f t="shared" si="23"/>
        <v>54685.630000000005</v>
      </c>
      <c r="AH33" s="143">
        <v>0</v>
      </c>
      <c r="AI33" s="45">
        <f t="shared" si="24"/>
        <v>0</v>
      </c>
      <c r="AJ33" s="126">
        <f>'[7]Т08'!$J$175+'[7]Т08'!$J$252+'[7]Т08'!$J$299</f>
        <v>1214</v>
      </c>
      <c r="AK33" s="33">
        <f t="shared" si="40"/>
        <v>4608.0525</v>
      </c>
      <c r="AL33" s="33">
        <f t="shared" si="26"/>
        <v>1228.814</v>
      </c>
      <c r="AM33" s="33">
        <f t="shared" si="27"/>
        <v>6144.07</v>
      </c>
      <c r="AN33" s="33">
        <f t="shared" si="28"/>
        <v>1290.2547</v>
      </c>
      <c r="AO33" s="33">
        <f t="shared" si="29"/>
        <v>12411.0214</v>
      </c>
      <c r="AP33" s="33">
        <f t="shared" si="30"/>
        <v>6328.3921</v>
      </c>
      <c r="AQ33" s="33">
        <f t="shared" si="31"/>
        <v>4608.0525</v>
      </c>
      <c r="AR33" s="33">
        <f t="shared" si="32"/>
        <v>4608.0525</v>
      </c>
      <c r="AS33" s="127"/>
      <c r="AT33" s="46"/>
      <c r="AU33" s="137">
        <v>23493</v>
      </c>
      <c r="AV33" s="47"/>
      <c r="AW33" s="47">
        <f>12801+5133</f>
        <v>17934</v>
      </c>
      <c r="AX33" s="47">
        <f>10494+53.52+5460+2920.21</f>
        <v>18927.73</v>
      </c>
      <c r="AY33" s="148"/>
      <c r="AZ33" s="148"/>
      <c r="BA33" s="48"/>
      <c r="BB33" s="46"/>
      <c r="BC33" s="60">
        <f t="shared" si="33"/>
        <v>101581.4397</v>
      </c>
      <c r="BD33" s="131">
        <f>'[7]Т08'!$S$175+'[7]Т08'!$S$252+'[7]Т08'!$S$299</f>
        <v>303.5</v>
      </c>
      <c r="BE33" s="34">
        <f t="shared" si="34"/>
        <v>101884.9397</v>
      </c>
      <c r="BF33" s="36">
        <f t="shared" si="35"/>
        <v>-45985.3097</v>
      </c>
      <c r="BG33" s="36">
        <f t="shared" si="36"/>
        <v>-4636.399999999994</v>
      </c>
    </row>
    <row r="34" spans="1:59" ht="12.75">
      <c r="A34" s="18" t="s">
        <v>65</v>
      </c>
      <c r="B34" s="19">
        <v>6144.07</v>
      </c>
      <c r="C34" s="20">
        <f t="shared" si="37"/>
        <v>58430.10569999999</v>
      </c>
      <c r="D34" s="132"/>
      <c r="E34" s="61"/>
      <c r="F34" s="61"/>
      <c r="G34" s="61">
        <v>59338.96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77"/>
      <c r="U34" s="73">
        <f t="shared" si="38"/>
        <v>59338.96</v>
      </c>
      <c r="V34" s="142">
        <f t="shared" si="38"/>
        <v>0</v>
      </c>
      <c r="W34" s="75"/>
      <c r="X34" s="52">
        <v>50035.8</v>
      </c>
      <c r="Y34" s="75"/>
      <c r="Z34" s="75"/>
      <c r="AA34" s="52">
        <v>829.28</v>
      </c>
      <c r="AB34" s="52">
        <v>417.33</v>
      </c>
      <c r="AC34" s="75"/>
      <c r="AD34" s="52"/>
      <c r="AE34" s="58"/>
      <c r="AF34" s="59">
        <f t="shared" si="39"/>
        <v>51282.41</v>
      </c>
      <c r="AG34" s="66">
        <f t="shared" si="23"/>
        <v>51282.41</v>
      </c>
      <c r="AH34" s="143">
        <v>0</v>
      </c>
      <c r="AI34" s="45">
        <f t="shared" si="24"/>
        <v>0</v>
      </c>
      <c r="AJ34" s="126">
        <f>'[7]Т09'!$J$178+'[7]Т09'!$J$252+'[7]Т09'!$J$299</f>
        <v>614</v>
      </c>
      <c r="AK34" s="33">
        <f t="shared" si="40"/>
        <v>4608.0525</v>
      </c>
      <c r="AL34" s="33">
        <f t="shared" si="26"/>
        <v>1228.814</v>
      </c>
      <c r="AM34" s="33">
        <f t="shared" si="27"/>
        <v>6144.07</v>
      </c>
      <c r="AN34" s="33">
        <f t="shared" si="28"/>
        <v>1290.2547</v>
      </c>
      <c r="AO34" s="33">
        <f t="shared" si="29"/>
        <v>12411.0214</v>
      </c>
      <c r="AP34" s="33">
        <f t="shared" si="30"/>
        <v>6328.3921</v>
      </c>
      <c r="AQ34" s="33">
        <f t="shared" si="31"/>
        <v>4608.0525</v>
      </c>
      <c r="AR34" s="33">
        <f t="shared" si="32"/>
        <v>4608.0525</v>
      </c>
      <c r="AS34" s="127"/>
      <c r="AT34" s="46"/>
      <c r="AU34" s="137">
        <v>650</v>
      </c>
      <c r="AV34" s="47"/>
      <c r="AW34" s="47"/>
      <c r="AX34" s="47">
        <f>162.5+249.5+405.46</f>
        <v>817.46</v>
      </c>
      <c r="AY34" s="148"/>
      <c r="AZ34" s="148"/>
      <c r="BA34" s="48"/>
      <c r="BB34" s="46"/>
      <c r="BC34" s="60">
        <f t="shared" si="33"/>
        <v>42694.1697</v>
      </c>
      <c r="BD34" s="131">
        <f>'[7]Т09'!$S$252+'[7]Т09'!$S$178+'[7]Т09'!$S$299</f>
        <v>153.5</v>
      </c>
      <c r="BE34" s="34">
        <f t="shared" si="34"/>
        <v>42847.6697</v>
      </c>
      <c r="BF34" s="36">
        <f t="shared" si="35"/>
        <v>9048.740300000005</v>
      </c>
      <c r="BG34" s="36">
        <f t="shared" si="36"/>
        <v>-8056.549999999996</v>
      </c>
    </row>
    <row r="35" spans="1:59" ht="12.75">
      <c r="A35" s="18" t="s">
        <v>66</v>
      </c>
      <c r="B35" s="19">
        <v>6144.07</v>
      </c>
      <c r="C35" s="20">
        <f t="shared" si="37"/>
        <v>58430.10569999999</v>
      </c>
      <c r="D35" s="132"/>
      <c r="E35" s="61"/>
      <c r="F35" s="61"/>
      <c r="G35" s="61">
        <v>59406.73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77"/>
      <c r="U35" s="73">
        <f t="shared" si="38"/>
        <v>59406.73</v>
      </c>
      <c r="V35" s="142">
        <f t="shared" si="38"/>
        <v>0</v>
      </c>
      <c r="W35" s="75"/>
      <c r="X35" s="52">
        <v>60703.59</v>
      </c>
      <c r="Y35" s="75"/>
      <c r="Z35" s="75"/>
      <c r="AA35" s="52">
        <v>1045.21</v>
      </c>
      <c r="AB35" s="52">
        <v>343.05</v>
      </c>
      <c r="AC35" s="75"/>
      <c r="AD35" s="52"/>
      <c r="AE35" s="58"/>
      <c r="AF35" s="59">
        <f t="shared" si="39"/>
        <v>62091.85</v>
      </c>
      <c r="AG35" s="66">
        <f t="shared" si="23"/>
        <v>62091.85</v>
      </c>
      <c r="AH35" s="143">
        <v>0</v>
      </c>
      <c r="AI35" s="45">
        <f t="shared" si="24"/>
        <v>0</v>
      </c>
      <c r="AJ35" s="126">
        <f>'[7]Т10'!$J$177+'[7]Т10'!$J$251+'[7]Т10'!$J$298</f>
        <v>614</v>
      </c>
      <c r="AK35" s="33">
        <f t="shared" si="40"/>
        <v>4608.0525</v>
      </c>
      <c r="AL35" s="33">
        <f t="shared" si="26"/>
        <v>1228.814</v>
      </c>
      <c r="AM35" s="33">
        <f t="shared" si="27"/>
        <v>6144.07</v>
      </c>
      <c r="AN35" s="33">
        <f t="shared" si="28"/>
        <v>1290.2547</v>
      </c>
      <c r="AO35" s="33">
        <f t="shared" si="29"/>
        <v>12411.0214</v>
      </c>
      <c r="AP35" s="33">
        <f t="shared" si="30"/>
        <v>6328.3921</v>
      </c>
      <c r="AQ35" s="33">
        <f t="shared" si="31"/>
        <v>4608.0525</v>
      </c>
      <c r="AR35" s="33">
        <f t="shared" si="32"/>
        <v>4608.0525</v>
      </c>
      <c r="AS35" s="127">
        <f>B35*1.15</f>
        <v>7065.6804999999995</v>
      </c>
      <c r="AT35" s="46"/>
      <c r="AU35" s="144">
        <v>1324</v>
      </c>
      <c r="AV35" s="47"/>
      <c r="AW35" s="47">
        <v>2574</v>
      </c>
      <c r="AX35" s="145">
        <f>270.6+122.5+63+595.4769</f>
        <v>1051.5769</v>
      </c>
      <c r="AY35" s="149"/>
      <c r="AZ35" s="149"/>
      <c r="BA35" s="48"/>
      <c r="BB35" s="46"/>
      <c r="BC35" s="60">
        <f t="shared" si="33"/>
        <v>53241.9671</v>
      </c>
      <c r="BD35" s="131">
        <f>'[7]Т10'!$S$177+'[7]Т10'!$S$251+'[7]Т10'!$S$298</f>
        <v>153.5</v>
      </c>
      <c r="BE35" s="34">
        <f t="shared" si="34"/>
        <v>53395.4671</v>
      </c>
      <c r="BF35" s="36">
        <f t="shared" si="35"/>
        <v>9310.382899999997</v>
      </c>
      <c r="BG35" s="36">
        <f t="shared" si="36"/>
        <v>2685.1199999999953</v>
      </c>
    </row>
    <row r="36" spans="1:59" ht="12.75">
      <c r="A36" s="18" t="s">
        <v>67</v>
      </c>
      <c r="B36" s="146">
        <v>6144.07</v>
      </c>
      <c r="C36" s="20">
        <f t="shared" si="37"/>
        <v>58430.10569999999</v>
      </c>
      <c r="D36" s="132"/>
      <c r="E36" s="61"/>
      <c r="F36" s="61"/>
      <c r="G36" s="52">
        <v>59406.73</v>
      </c>
      <c r="H36" s="52"/>
      <c r="I36" s="61"/>
      <c r="J36" s="61"/>
      <c r="K36" s="61"/>
      <c r="L36" s="61"/>
      <c r="M36" s="52"/>
      <c r="N36" s="52"/>
      <c r="O36" s="52"/>
      <c r="P36" s="52"/>
      <c r="Q36" s="52"/>
      <c r="R36" s="52"/>
      <c r="S36" s="58"/>
      <c r="T36" s="77"/>
      <c r="U36" s="73">
        <f t="shared" si="38"/>
        <v>59406.73</v>
      </c>
      <c r="V36" s="142">
        <f t="shared" si="38"/>
        <v>0</v>
      </c>
      <c r="W36" s="75"/>
      <c r="X36" s="52">
        <v>54532.19</v>
      </c>
      <c r="Y36" s="75"/>
      <c r="Z36" s="75"/>
      <c r="AA36" s="52">
        <v>612.52</v>
      </c>
      <c r="AB36" s="52">
        <v>234.84</v>
      </c>
      <c r="AC36" s="75"/>
      <c r="AD36" s="52"/>
      <c r="AE36" s="58"/>
      <c r="AF36" s="59">
        <f t="shared" si="39"/>
        <v>55379.549999999996</v>
      </c>
      <c r="AG36" s="66">
        <f t="shared" si="23"/>
        <v>55379.549999999996</v>
      </c>
      <c r="AH36" s="143">
        <v>0</v>
      </c>
      <c r="AI36" s="45">
        <f t="shared" si="24"/>
        <v>0</v>
      </c>
      <c r="AJ36" s="126">
        <f>'[7]Т11'!$J$179+'[7]Т11'!$J$253+'[7]Т11'!$J$300</f>
        <v>614</v>
      </c>
      <c r="AK36" s="33">
        <f t="shared" si="40"/>
        <v>4608.0525</v>
      </c>
      <c r="AL36" s="33">
        <f t="shared" si="26"/>
        <v>1228.814</v>
      </c>
      <c r="AM36" s="33">
        <f t="shared" si="27"/>
        <v>6144.07</v>
      </c>
      <c r="AN36" s="33">
        <f t="shared" si="28"/>
        <v>1290.2547</v>
      </c>
      <c r="AO36" s="33">
        <f t="shared" si="29"/>
        <v>12411.0214</v>
      </c>
      <c r="AP36" s="33">
        <f t="shared" si="30"/>
        <v>6328.3921</v>
      </c>
      <c r="AQ36" s="33">
        <f t="shared" si="31"/>
        <v>4608.0525</v>
      </c>
      <c r="AR36" s="33">
        <f t="shared" si="32"/>
        <v>4608.0525</v>
      </c>
      <c r="AS36" s="127">
        <f>B36*1.15</f>
        <v>7065.6804999999995</v>
      </c>
      <c r="AT36" s="46"/>
      <c r="AU36" s="137">
        <v>106628</v>
      </c>
      <c r="AV36" s="47"/>
      <c r="AW36" s="47"/>
      <c r="AX36" s="47">
        <f>26465.5+800+5623.39</f>
        <v>32888.89</v>
      </c>
      <c r="AY36" s="148"/>
      <c r="AZ36" s="148"/>
      <c r="BA36" s="48"/>
      <c r="BB36" s="46"/>
      <c r="BC36" s="60">
        <f t="shared" si="33"/>
        <v>187809.28019999998</v>
      </c>
      <c r="BD36" s="131">
        <f>'[7]Т11'!$S$179+'[7]Т11'!$S$253+'[7]Т11'!$S$300</f>
        <v>153.5</v>
      </c>
      <c r="BE36" s="34">
        <f t="shared" si="34"/>
        <v>187962.78019999998</v>
      </c>
      <c r="BF36" s="36">
        <f t="shared" si="35"/>
        <v>-131969.2302</v>
      </c>
      <c r="BG36" s="36">
        <f t="shared" si="36"/>
        <v>-4027.1800000000076</v>
      </c>
    </row>
    <row r="37" spans="1:59" ht="13.5" thickBot="1">
      <c r="A37" s="18" t="s">
        <v>68</v>
      </c>
      <c r="B37" s="146">
        <v>6144.07</v>
      </c>
      <c r="C37" s="20">
        <f t="shared" si="37"/>
        <v>58430.10569999999</v>
      </c>
      <c r="D37" s="132"/>
      <c r="E37" s="52"/>
      <c r="F37" s="52"/>
      <c r="G37" s="52">
        <v>59427.18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8"/>
      <c r="T37" s="77"/>
      <c r="U37" s="73">
        <f t="shared" si="38"/>
        <v>59427.18</v>
      </c>
      <c r="V37" s="142">
        <f t="shared" si="38"/>
        <v>0</v>
      </c>
      <c r="W37" s="75"/>
      <c r="X37" s="52">
        <v>69789.52</v>
      </c>
      <c r="Y37" s="52"/>
      <c r="Z37" s="52"/>
      <c r="AA37" s="52">
        <v>1253.34</v>
      </c>
      <c r="AB37" s="52">
        <v>414.4</v>
      </c>
      <c r="AC37" s="52"/>
      <c r="AD37" s="52"/>
      <c r="AE37" s="58"/>
      <c r="AF37" s="59">
        <f t="shared" si="39"/>
        <v>71457.26</v>
      </c>
      <c r="AG37" s="66">
        <f t="shared" si="23"/>
        <v>71457.26</v>
      </c>
      <c r="AH37" s="143">
        <v>0</v>
      </c>
      <c r="AI37" s="45">
        <f t="shared" si="24"/>
        <v>0</v>
      </c>
      <c r="AJ37" s="126">
        <f>'[7]Т12'!$J$181+'[7]Т12'!$J$255+'[7]Т12'!$J$302</f>
        <v>614</v>
      </c>
      <c r="AK37" s="33">
        <f t="shared" si="40"/>
        <v>4608.0525</v>
      </c>
      <c r="AL37" s="33">
        <f t="shared" si="26"/>
        <v>1228.814</v>
      </c>
      <c r="AM37" s="33">
        <f t="shared" si="27"/>
        <v>6144.07</v>
      </c>
      <c r="AN37" s="33">
        <f t="shared" si="28"/>
        <v>1290.2547</v>
      </c>
      <c r="AO37" s="33">
        <f t="shared" si="29"/>
        <v>12411.0214</v>
      </c>
      <c r="AP37" s="33">
        <f t="shared" si="30"/>
        <v>6328.3921</v>
      </c>
      <c r="AQ37" s="33">
        <f t="shared" si="31"/>
        <v>4608.0525</v>
      </c>
      <c r="AR37" s="33">
        <f t="shared" si="32"/>
        <v>4608.0525</v>
      </c>
      <c r="AS37" s="127">
        <f>B37*1.15</f>
        <v>7065.6804999999995</v>
      </c>
      <c r="AT37" s="46"/>
      <c r="AU37" s="137">
        <v>3071</v>
      </c>
      <c r="AV37" s="47">
        <v>78</v>
      </c>
      <c r="AW37" s="47"/>
      <c r="AX37" s="47">
        <f>3562</f>
        <v>3562</v>
      </c>
      <c r="AY37" s="148"/>
      <c r="AZ37" s="148"/>
      <c r="BA37" s="48"/>
      <c r="BB37" s="46"/>
      <c r="BC37" s="60">
        <f t="shared" si="33"/>
        <v>55003.3902</v>
      </c>
      <c r="BD37" s="131">
        <f>'[7]Т12'!$S$181+'[7]Т12'!$S$255+'[7]Т12'!$S$302</f>
        <v>153.5</v>
      </c>
      <c r="BE37" s="34">
        <f t="shared" si="34"/>
        <v>55156.8902</v>
      </c>
      <c r="BF37" s="36">
        <f t="shared" si="35"/>
        <v>16914.369799999993</v>
      </c>
      <c r="BG37" s="36">
        <f t="shared" si="36"/>
        <v>12030.079999999994</v>
      </c>
    </row>
    <row r="38" spans="1:59" s="13" customFormat="1" ht="13.5" thickBot="1">
      <c r="A38" s="78" t="s">
        <v>5</v>
      </c>
      <c r="B38" s="79"/>
      <c r="C38" s="79">
        <f aca="true" t="shared" si="41" ref="C38:BG38">SUM(C26:C37)</f>
        <v>665797.7592</v>
      </c>
      <c r="D38" s="79">
        <f t="shared" si="41"/>
        <v>13070.161049999999</v>
      </c>
      <c r="E38" s="79">
        <f t="shared" si="41"/>
        <v>0</v>
      </c>
      <c r="F38" s="79">
        <f t="shared" si="41"/>
        <v>0</v>
      </c>
      <c r="G38" s="79">
        <f t="shared" si="41"/>
        <v>549669.5</v>
      </c>
      <c r="H38" s="79">
        <f t="shared" si="41"/>
        <v>0</v>
      </c>
      <c r="I38" s="79">
        <f t="shared" si="41"/>
        <v>0</v>
      </c>
      <c r="J38" s="79">
        <f t="shared" si="41"/>
        <v>0</v>
      </c>
      <c r="K38" s="79">
        <f t="shared" si="41"/>
        <v>0</v>
      </c>
      <c r="L38" s="79">
        <f t="shared" si="41"/>
        <v>0</v>
      </c>
      <c r="M38" s="79">
        <f t="shared" si="41"/>
        <v>93932.97</v>
      </c>
      <c r="N38" s="79">
        <f t="shared" si="41"/>
        <v>0</v>
      </c>
      <c r="O38" s="79">
        <f t="shared" si="41"/>
        <v>32573.08</v>
      </c>
      <c r="P38" s="79">
        <f t="shared" si="41"/>
        <v>0</v>
      </c>
      <c r="Q38" s="79">
        <f t="shared" si="41"/>
        <v>0</v>
      </c>
      <c r="R38" s="79">
        <f t="shared" si="41"/>
        <v>0</v>
      </c>
      <c r="S38" s="79">
        <f t="shared" si="41"/>
        <v>0</v>
      </c>
      <c r="T38" s="79">
        <f t="shared" si="41"/>
        <v>0</v>
      </c>
      <c r="U38" s="79">
        <f t="shared" si="41"/>
        <v>676175.55</v>
      </c>
      <c r="V38" s="79">
        <f t="shared" si="41"/>
        <v>0</v>
      </c>
      <c r="W38" s="79">
        <f t="shared" si="41"/>
        <v>0</v>
      </c>
      <c r="X38" s="79">
        <f t="shared" si="41"/>
        <v>506346.73999999993</v>
      </c>
      <c r="Y38" s="79">
        <f t="shared" si="41"/>
        <v>0</v>
      </c>
      <c r="Z38" s="79">
        <f t="shared" si="41"/>
        <v>0</v>
      </c>
      <c r="AA38" s="79">
        <f t="shared" si="41"/>
        <v>110239.92000000001</v>
      </c>
      <c r="AB38" s="79">
        <f t="shared" si="41"/>
        <v>35532.15</v>
      </c>
      <c r="AC38" s="79">
        <f t="shared" si="41"/>
        <v>0</v>
      </c>
      <c r="AD38" s="79">
        <f t="shared" si="41"/>
        <v>0</v>
      </c>
      <c r="AE38" s="79">
        <f t="shared" si="41"/>
        <v>0</v>
      </c>
      <c r="AF38" s="79">
        <f t="shared" si="41"/>
        <v>652118.81</v>
      </c>
      <c r="AG38" s="79">
        <f t="shared" si="41"/>
        <v>665188.97105</v>
      </c>
      <c r="AH38" s="79">
        <f t="shared" si="41"/>
        <v>0</v>
      </c>
      <c r="AI38" s="79">
        <f t="shared" si="41"/>
        <v>0</v>
      </c>
      <c r="AJ38" s="79">
        <f t="shared" si="41"/>
        <v>4868</v>
      </c>
      <c r="AK38" s="79">
        <f t="shared" si="41"/>
        <v>52349.53999999999</v>
      </c>
      <c r="AL38" s="79">
        <f t="shared" si="41"/>
        <v>14746.384000000002</v>
      </c>
      <c r="AM38" s="79">
        <f t="shared" si="41"/>
        <v>73731.92000000001</v>
      </c>
      <c r="AN38" s="79">
        <f t="shared" si="41"/>
        <v>15483.703199999996</v>
      </c>
      <c r="AO38" s="79">
        <f t="shared" si="41"/>
        <v>148938.4784</v>
      </c>
      <c r="AP38" s="79">
        <f t="shared" si="41"/>
        <v>75943.87759999999</v>
      </c>
      <c r="AQ38" s="79">
        <f t="shared" si="41"/>
        <v>55298.93999999998</v>
      </c>
      <c r="AR38" s="79">
        <f t="shared" si="41"/>
        <v>55298.93999999998</v>
      </c>
      <c r="AS38" s="79">
        <f t="shared" si="41"/>
        <v>42397.625</v>
      </c>
      <c r="AT38" s="79">
        <f t="shared" si="41"/>
        <v>0</v>
      </c>
      <c r="AU38" s="79">
        <f t="shared" si="41"/>
        <v>151451</v>
      </c>
      <c r="AV38" s="79">
        <f t="shared" si="41"/>
        <v>78</v>
      </c>
      <c r="AW38" s="79">
        <f t="shared" si="41"/>
        <v>22168.47</v>
      </c>
      <c r="AX38" s="79">
        <f t="shared" si="41"/>
        <v>75834.1569</v>
      </c>
      <c r="AY38" s="150"/>
      <c r="AZ38" s="150"/>
      <c r="BA38" s="79">
        <f t="shared" si="41"/>
        <v>0</v>
      </c>
      <c r="BB38" s="79">
        <f t="shared" si="41"/>
        <v>0</v>
      </c>
      <c r="BC38" s="79">
        <f t="shared" si="41"/>
        <v>783721.0351</v>
      </c>
      <c r="BD38" s="79">
        <f t="shared" si="41"/>
        <v>1217</v>
      </c>
      <c r="BE38" s="79">
        <f t="shared" si="41"/>
        <v>784938.0351</v>
      </c>
      <c r="BF38" s="150">
        <f>SUM(BF26:BF37)</f>
        <v>-114881.06405000002</v>
      </c>
      <c r="BG38" s="79">
        <f t="shared" si="41"/>
        <v>-24056.74000000002</v>
      </c>
    </row>
    <row r="39" spans="1:59" s="13" customFormat="1" ht="13.5" thickBo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151"/>
      <c r="AZ39" s="151"/>
      <c r="BA39" s="82"/>
      <c r="BB39" s="82"/>
      <c r="BC39" s="82"/>
      <c r="BD39" s="82"/>
      <c r="BE39" s="82"/>
      <c r="BF39" s="82"/>
      <c r="BG39" s="83"/>
    </row>
    <row r="40" spans="1:59" s="13" customFormat="1" ht="13.5" thickBot="1">
      <c r="A40" s="9" t="s">
        <v>55</v>
      </c>
      <c r="B40" s="82"/>
      <c r="C40" s="86">
        <f aca="true" t="shared" si="42" ref="C40:BF40">C38+C24</f>
        <v>1296584.1837000002</v>
      </c>
      <c r="D40" s="86">
        <f t="shared" si="42"/>
        <v>36123.19125</v>
      </c>
      <c r="E40" s="86">
        <f t="shared" si="42"/>
        <v>-44.97</v>
      </c>
      <c r="F40" s="86">
        <f t="shared" si="42"/>
        <v>0</v>
      </c>
      <c r="G40" s="86">
        <f t="shared" si="42"/>
        <v>932354.63</v>
      </c>
      <c r="H40" s="86">
        <f t="shared" si="42"/>
        <v>0</v>
      </c>
      <c r="I40" s="86">
        <f t="shared" si="42"/>
        <v>-61.04</v>
      </c>
      <c r="J40" s="86">
        <f t="shared" si="42"/>
        <v>0</v>
      </c>
      <c r="K40" s="86">
        <f t="shared" si="42"/>
        <v>-101.37</v>
      </c>
      <c r="L40" s="86">
        <f t="shared" si="42"/>
        <v>0</v>
      </c>
      <c r="M40" s="86" t="e">
        <f t="shared" si="42"/>
        <v>#REF!</v>
      </c>
      <c r="N40" s="86">
        <f t="shared" si="42"/>
        <v>0</v>
      </c>
      <c r="O40" s="86">
        <f t="shared" si="42"/>
        <v>96828.95000000001</v>
      </c>
      <c r="P40" s="86">
        <f t="shared" si="42"/>
        <v>0</v>
      </c>
      <c r="Q40" s="86">
        <f t="shared" si="42"/>
        <v>0</v>
      </c>
      <c r="R40" s="86">
        <f t="shared" si="42"/>
        <v>0</v>
      </c>
      <c r="S40" s="86">
        <f t="shared" si="42"/>
        <v>0</v>
      </c>
      <c r="T40" s="86">
        <f t="shared" si="42"/>
        <v>0</v>
      </c>
      <c r="U40" s="86">
        <f t="shared" si="42"/>
        <v>1306407.33</v>
      </c>
      <c r="V40" s="86">
        <f t="shared" si="42"/>
        <v>0</v>
      </c>
      <c r="W40" s="86">
        <f t="shared" si="42"/>
        <v>3018.1499999999996</v>
      </c>
      <c r="X40" s="86">
        <f t="shared" si="42"/>
        <v>815552.51</v>
      </c>
      <c r="Y40" s="86">
        <f t="shared" si="42"/>
        <v>4110.2</v>
      </c>
      <c r="Z40" s="86">
        <f t="shared" si="42"/>
        <v>6841.19</v>
      </c>
      <c r="AA40" s="86">
        <f t="shared" si="42"/>
        <v>279770.80000000005</v>
      </c>
      <c r="AB40" s="86">
        <f t="shared" si="42"/>
        <v>93780.59</v>
      </c>
      <c r="AC40" s="86">
        <f t="shared" si="42"/>
        <v>0</v>
      </c>
      <c r="AD40" s="86">
        <f t="shared" si="42"/>
        <v>0</v>
      </c>
      <c r="AE40" s="86">
        <f t="shared" si="42"/>
        <v>0</v>
      </c>
      <c r="AF40" s="86">
        <f t="shared" si="42"/>
        <v>1203073.44</v>
      </c>
      <c r="AG40" s="86">
        <f t="shared" si="42"/>
        <v>1239196.63125</v>
      </c>
      <c r="AH40" s="86">
        <f t="shared" si="42"/>
        <v>0</v>
      </c>
      <c r="AI40" s="86">
        <f t="shared" si="42"/>
        <v>0</v>
      </c>
      <c r="AJ40" s="86">
        <f t="shared" si="42"/>
        <v>6236</v>
      </c>
      <c r="AK40" s="86">
        <f t="shared" si="42"/>
        <v>101779.58730000001</v>
      </c>
      <c r="AL40" s="86">
        <f t="shared" si="42"/>
        <v>29501.622</v>
      </c>
      <c r="AM40" s="86">
        <f t="shared" si="42"/>
        <v>147508.11000000002</v>
      </c>
      <c r="AN40" s="86">
        <f t="shared" si="42"/>
        <v>30976.7031</v>
      </c>
      <c r="AO40" s="86">
        <f t="shared" si="42"/>
        <v>297966.3822</v>
      </c>
      <c r="AP40" s="86">
        <f t="shared" si="42"/>
        <v>151933.35330000002</v>
      </c>
      <c r="AQ40" s="86">
        <f t="shared" si="42"/>
        <v>110631.08249999996</v>
      </c>
      <c r="AR40" s="86">
        <f t="shared" si="42"/>
        <v>110631.08249999996</v>
      </c>
      <c r="AS40" s="86">
        <f t="shared" si="42"/>
        <v>84818.23849999999</v>
      </c>
      <c r="AT40" s="86">
        <f t="shared" si="42"/>
        <v>0</v>
      </c>
      <c r="AU40" s="86">
        <f t="shared" si="42"/>
        <v>168300</v>
      </c>
      <c r="AV40" s="86">
        <f t="shared" si="42"/>
        <v>427</v>
      </c>
      <c r="AW40" s="86">
        <f t="shared" si="42"/>
        <v>59066.47</v>
      </c>
      <c r="AX40" s="86">
        <f t="shared" si="42"/>
        <v>106898.8379</v>
      </c>
      <c r="AY40" s="86">
        <f t="shared" si="42"/>
        <v>0</v>
      </c>
      <c r="AZ40" s="86">
        <f t="shared" si="42"/>
        <v>0</v>
      </c>
      <c r="BA40" s="86">
        <f t="shared" si="42"/>
        <v>0</v>
      </c>
      <c r="BB40" s="86">
        <f t="shared" si="42"/>
        <v>0</v>
      </c>
      <c r="BC40" s="86">
        <f t="shared" si="42"/>
        <v>1400438.4693</v>
      </c>
      <c r="BD40" s="86">
        <f t="shared" si="42"/>
        <v>1559</v>
      </c>
      <c r="BE40" s="86">
        <f t="shared" si="42"/>
        <v>1401997.4693</v>
      </c>
      <c r="BF40" s="86">
        <f t="shared" si="42"/>
        <v>-156564.83805000002</v>
      </c>
      <c r="BG40" s="86">
        <f>BG38+BG24</f>
        <v>-103333.88999999998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7">
      <selection activeCell="E46" sqref="E46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11.875" style="2" customWidth="1"/>
    <col min="4" max="4" width="9.125" style="2" customWidth="1"/>
    <col min="5" max="5" width="11.625" style="2" customWidth="1"/>
    <col min="6" max="6" width="6.75390625" style="2" customWidth="1"/>
    <col min="7" max="7" width="13.125" style="2" customWidth="1"/>
    <col min="8" max="8" width="12.125" style="2" customWidth="1"/>
    <col min="9" max="9" width="8.25390625" style="2" customWidth="1"/>
    <col min="10" max="10" width="10.625" style="2" customWidth="1"/>
    <col min="11" max="11" width="9.00390625" style="2" customWidth="1"/>
    <col min="12" max="12" width="12.25390625" style="2" customWidth="1"/>
    <col min="13" max="13" width="11.00390625" style="2" customWidth="1"/>
    <col min="14" max="14" width="8.00390625" style="2" customWidth="1"/>
    <col min="15" max="15" width="11.75390625" style="2" customWidth="1"/>
    <col min="16" max="17" width="10.75390625" style="2" customWidth="1"/>
    <col min="18" max="16384" width="9.125" style="2" customWidth="1"/>
  </cols>
  <sheetData>
    <row r="1" spans="2:9" ht="20.25" customHeight="1">
      <c r="B1" s="234" t="s">
        <v>69</v>
      </c>
      <c r="C1" s="234"/>
      <c r="D1" s="234"/>
      <c r="E1" s="234"/>
      <c r="F1" s="234"/>
      <c r="G1" s="234"/>
      <c r="H1" s="234"/>
      <c r="I1" s="129"/>
    </row>
    <row r="2" spans="2:12" ht="21" customHeight="1">
      <c r="B2" s="234" t="s">
        <v>70</v>
      </c>
      <c r="C2" s="234"/>
      <c r="D2" s="234"/>
      <c r="E2" s="234"/>
      <c r="F2" s="234"/>
      <c r="G2" s="234"/>
      <c r="H2" s="234"/>
      <c r="I2" s="129"/>
      <c r="K2" s="1"/>
      <c r="L2" s="1"/>
    </row>
    <row r="5" spans="1:14" ht="12.75">
      <c r="A5" s="235" t="s">
        <v>95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130"/>
    </row>
    <row r="6" spans="1:14" ht="12.75">
      <c r="A6" s="236" t="s">
        <v>99</v>
      </c>
      <c r="B6" s="236"/>
      <c r="C6" s="236"/>
      <c r="D6" s="236"/>
      <c r="E6" s="236"/>
      <c r="F6" s="236"/>
      <c r="G6" s="236"/>
      <c r="H6" s="87"/>
      <c r="I6" s="87"/>
      <c r="J6" s="87"/>
      <c r="K6" s="87"/>
      <c r="L6" s="87"/>
      <c r="M6" s="87"/>
      <c r="N6" s="87"/>
    </row>
    <row r="7" spans="1:15" ht="13.5" thickBot="1">
      <c r="A7" s="237" t="s">
        <v>71</v>
      </c>
      <c r="B7" s="237"/>
      <c r="C7" s="237"/>
      <c r="D7" s="237"/>
      <c r="E7" s="238">
        <v>9.51</v>
      </c>
      <c r="F7" s="237"/>
      <c r="J7" s="88"/>
      <c r="K7" s="88"/>
      <c r="L7" s="88"/>
      <c r="M7" s="88"/>
      <c r="N7" s="88"/>
      <c r="O7" s="88"/>
    </row>
    <row r="8" spans="1:17" ht="12.75" customHeight="1">
      <c r="A8" s="264" t="s">
        <v>72</v>
      </c>
      <c r="B8" s="267" t="s">
        <v>1</v>
      </c>
      <c r="C8" s="270" t="s">
        <v>98</v>
      </c>
      <c r="D8" s="273" t="s">
        <v>3</v>
      </c>
      <c r="E8" s="251" t="s">
        <v>73</v>
      </c>
      <c r="F8" s="163"/>
      <c r="G8" s="276" t="s">
        <v>74</v>
      </c>
      <c r="H8" s="277"/>
      <c r="I8" s="239" t="s">
        <v>93</v>
      </c>
      <c r="J8" s="258" t="s">
        <v>8</v>
      </c>
      <c r="K8" s="259"/>
      <c r="L8" s="259"/>
      <c r="M8" s="259"/>
      <c r="N8" s="259"/>
      <c r="O8" s="260"/>
      <c r="P8" s="242" t="s">
        <v>75</v>
      </c>
      <c r="Q8" s="242" t="s">
        <v>10</v>
      </c>
    </row>
    <row r="9" spans="1:17" ht="12.75">
      <c r="A9" s="265"/>
      <c r="B9" s="268"/>
      <c r="C9" s="271"/>
      <c r="D9" s="274"/>
      <c r="E9" s="252"/>
      <c r="F9" s="253"/>
      <c r="G9" s="278"/>
      <c r="H9" s="279"/>
      <c r="I9" s="240"/>
      <c r="J9" s="261"/>
      <c r="K9" s="262"/>
      <c r="L9" s="262"/>
      <c r="M9" s="262"/>
      <c r="N9" s="262"/>
      <c r="O9" s="263"/>
      <c r="P9" s="243"/>
      <c r="Q9" s="243"/>
    </row>
    <row r="10" spans="1:17" ht="26.25" customHeight="1">
      <c r="A10" s="265"/>
      <c r="B10" s="268"/>
      <c r="C10" s="271"/>
      <c r="D10" s="274"/>
      <c r="E10" s="245" t="s">
        <v>76</v>
      </c>
      <c r="F10" s="165"/>
      <c r="G10" s="89" t="s">
        <v>77</v>
      </c>
      <c r="H10" s="246" t="s">
        <v>78</v>
      </c>
      <c r="I10" s="240"/>
      <c r="J10" s="247" t="s">
        <v>79</v>
      </c>
      <c r="K10" s="249" t="s">
        <v>80</v>
      </c>
      <c r="L10" s="249" t="s">
        <v>81</v>
      </c>
      <c r="M10" s="249" t="s">
        <v>82</v>
      </c>
      <c r="N10" s="250" t="s">
        <v>94</v>
      </c>
      <c r="O10" s="232" t="s">
        <v>51</v>
      </c>
      <c r="P10" s="243"/>
      <c r="Q10" s="243"/>
    </row>
    <row r="11" spans="1:17" ht="66.75" customHeight="1" thickBot="1">
      <c r="A11" s="266"/>
      <c r="B11" s="269"/>
      <c r="C11" s="272"/>
      <c r="D11" s="275"/>
      <c r="E11" s="90" t="s">
        <v>83</v>
      </c>
      <c r="F11" s="91" t="s">
        <v>20</v>
      </c>
      <c r="G11" s="92" t="s">
        <v>84</v>
      </c>
      <c r="H11" s="232"/>
      <c r="I11" s="241"/>
      <c r="J11" s="248"/>
      <c r="K11" s="250"/>
      <c r="L11" s="250"/>
      <c r="M11" s="250"/>
      <c r="N11" s="254"/>
      <c r="O11" s="233"/>
      <c r="P11" s="244"/>
      <c r="Q11" s="244"/>
    </row>
    <row r="12" spans="1:17" ht="13.5" thickBot="1">
      <c r="A12" s="93">
        <v>1</v>
      </c>
      <c r="B12" s="94">
        <v>2</v>
      </c>
      <c r="C12" s="93">
        <v>3</v>
      </c>
      <c r="D12" s="94">
        <v>4</v>
      </c>
      <c r="E12" s="93">
        <v>5</v>
      </c>
      <c r="F12" s="94">
        <v>6</v>
      </c>
      <c r="G12" s="94">
        <v>7</v>
      </c>
      <c r="H12" s="93">
        <v>8</v>
      </c>
      <c r="I12" s="94">
        <v>9</v>
      </c>
      <c r="J12" s="94">
        <v>10</v>
      </c>
      <c r="K12" s="93">
        <v>11</v>
      </c>
      <c r="L12" s="94">
        <v>12</v>
      </c>
      <c r="M12" s="94">
        <v>13</v>
      </c>
      <c r="N12" s="93">
        <v>14</v>
      </c>
      <c r="O12" s="94">
        <v>15</v>
      </c>
      <c r="P12" s="94">
        <v>16</v>
      </c>
      <c r="Q12" s="93">
        <v>17</v>
      </c>
    </row>
    <row r="13" spans="1:19" ht="12.75" hidden="1">
      <c r="A13" s="99" t="s">
        <v>56</v>
      </c>
      <c r="B13" s="100"/>
      <c r="C13" s="101"/>
      <c r="D13" s="102"/>
      <c r="E13" s="103"/>
      <c r="F13" s="104"/>
      <c r="G13" s="105"/>
      <c r="H13" s="104"/>
      <c r="I13" s="136"/>
      <c r="J13" s="105"/>
      <c r="K13" s="106"/>
      <c r="L13" s="106"/>
      <c r="M13" s="107"/>
      <c r="N13" s="135"/>
      <c r="O13" s="108"/>
      <c r="P13" s="109"/>
      <c r="Q13" s="109"/>
      <c r="R13" s="1"/>
      <c r="S13" s="1"/>
    </row>
    <row r="14" spans="1:19" ht="12.75" hidden="1">
      <c r="A14" s="18" t="s">
        <v>57</v>
      </c>
      <c r="B14" s="110">
        <f>'2012 полн'!B10</f>
        <v>6150.22</v>
      </c>
      <c r="C14" s="110">
        <f>'2012 полн'!C10</f>
        <v>52584.38100000001</v>
      </c>
      <c r="D14" s="111">
        <f>'2012 полн'!D10</f>
        <v>2200.548</v>
      </c>
      <c r="E14" s="106">
        <f>'2012 полн'!U10</f>
        <v>50246.13999999999</v>
      </c>
      <c r="F14" s="106">
        <f>'2012 полн'!V10</f>
        <v>0</v>
      </c>
      <c r="G14" s="112">
        <f>'2012 полн'!AF10</f>
        <v>0</v>
      </c>
      <c r="H14" s="112">
        <f>'2012 полн'!AG10</f>
        <v>2200.548</v>
      </c>
      <c r="I14" s="112">
        <f>'2012 полн'!AJ10</f>
        <v>114</v>
      </c>
      <c r="J14" s="112">
        <f>'2012 полн'!AK10</f>
        <v>4120.647400000001</v>
      </c>
      <c r="K14" s="112">
        <f>'2012 полн'!AL10</f>
        <v>1230.044</v>
      </c>
      <c r="L14" s="106">
        <f>'2012 полн'!AM10+'2012 полн'!AN10+'2012 полн'!AO10+'2012 полн'!AP10+'2012 полн'!AQ10+'2012 полн'!AR10+'2012 полн'!AS10+'2012 полн'!AX10</f>
        <v>42726.5202</v>
      </c>
      <c r="M14" s="107">
        <f>'2012 полн'!AU10+'2012 полн'!AV10+'2012 полн'!AW10</f>
        <v>0</v>
      </c>
      <c r="N14" s="135">
        <f>'2012 полн'!BD10</f>
        <v>28.5</v>
      </c>
      <c r="O14" s="108">
        <f>'2012 полн'!BE10</f>
        <v>48105.7116</v>
      </c>
      <c r="P14" s="108">
        <f>'2012 полн'!BF10</f>
        <v>-45791.1636</v>
      </c>
      <c r="Q14" s="108">
        <f>'2012 полн'!BG10</f>
        <v>-50246.13999999999</v>
      </c>
      <c r="R14" s="1"/>
      <c r="S14" s="1"/>
    </row>
    <row r="15" spans="1:19" ht="12.75" hidden="1">
      <c r="A15" s="18" t="s">
        <v>58</v>
      </c>
      <c r="B15" s="110">
        <f>'2012 полн'!B11</f>
        <v>6150.22</v>
      </c>
      <c r="C15" s="110">
        <f>'2012 полн'!C11</f>
        <v>52584.38100000001</v>
      </c>
      <c r="D15" s="111">
        <f>'2012 полн'!D11</f>
        <v>2159.4522</v>
      </c>
      <c r="E15" s="106">
        <f>'2012 полн'!U11</f>
        <v>51932.700000000004</v>
      </c>
      <c r="F15" s="106">
        <f>'2012 полн'!V11</f>
        <v>0</v>
      </c>
      <c r="G15" s="112">
        <f>'2012 полн'!AF11</f>
        <v>24002.989999999998</v>
      </c>
      <c r="H15" s="112">
        <f>'2012 полн'!AG11</f>
        <v>26162.442199999998</v>
      </c>
      <c r="I15" s="112">
        <f>'2012 полн'!AJ11</f>
        <v>114</v>
      </c>
      <c r="J15" s="112">
        <f>'2012 полн'!AK11</f>
        <v>4120.647400000001</v>
      </c>
      <c r="K15" s="112">
        <f>'2012 полн'!AL11</f>
        <v>1230.044</v>
      </c>
      <c r="L15" s="106">
        <f>'2012 полн'!AM11+'2012 полн'!AN11+'2012 полн'!AO11+'2012 полн'!AP11+'2012 полн'!AQ11+'2012 полн'!AR11+'2012 полн'!AS11+'2012 полн'!AX11</f>
        <v>44702.0202</v>
      </c>
      <c r="M15" s="107">
        <f>'2012 полн'!AU11+'2012 полн'!AV11+'2012 полн'!AW11</f>
        <v>6894</v>
      </c>
      <c r="N15" s="135">
        <f>'2012 полн'!BD11</f>
        <v>28.5</v>
      </c>
      <c r="O15" s="108">
        <f>'2012 полн'!BE11</f>
        <v>56975.2116</v>
      </c>
      <c r="P15" s="108">
        <f>'2012 полн'!BF11</f>
        <v>-30698.769400000005</v>
      </c>
      <c r="Q15" s="108">
        <f>'2012 полн'!BG11</f>
        <v>-27929.710000000006</v>
      </c>
      <c r="R15" s="1"/>
      <c r="S15" s="1"/>
    </row>
    <row r="16" spans="1:19" ht="12.75" hidden="1">
      <c r="A16" s="18" t="s">
        <v>59</v>
      </c>
      <c r="B16" s="110">
        <f>'2012 полн'!B12</f>
        <v>6150.22</v>
      </c>
      <c r="C16" s="110">
        <f>'2012 полн'!C12</f>
        <v>52584.38100000001</v>
      </c>
      <c r="D16" s="111">
        <f>'2012 полн'!D12</f>
        <v>1938.714</v>
      </c>
      <c r="E16" s="106">
        <f>'2012 полн'!U12</f>
        <v>52467.67</v>
      </c>
      <c r="F16" s="106">
        <f>'2012 полн'!V12</f>
        <v>0</v>
      </c>
      <c r="G16" s="112">
        <f>'2012 полн'!AF12</f>
        <v>55090.420000000006</v>
      </c>
      <c r="H16" s="112">
        <f>'2012 полн'!AG12</f>
        <v>57029.134000000005</v>
      </c>
      <c r="I16" s="112">
        <f>'2012 полн'!AJ12</f>
        <v>114</v>
      </c>
      <c r="J16" s="112">
        <f>'2012 полн'!AK12</f>
        <v>4120.647400000001</v>
      </c>
      <c r="K16" s="112">
        <f>'2012 полн'!AL12</f>
        <v>1230.044</v>
      </c>
      <c r="L16" s="106">
        <f>'2012 полн'!AM12+'2012 полн'!AN12+'2012 полн'!AO12+'2012 полн'!AP12+'2012 полн'!AQ12+'2012 полн'!AR12+'2012 полн'!AS12+'2012 полн'!AX12</f>
        <v>42689.7952</v>
      </c>
      <c r="M16" s="107">
        <f>'2012 полн'!AU12+'2012 полн'!AV12+'2012 полн'!AW12</f>
        <v>3668</v>
      </c>
      <c r="N16" s="135">
        <f>'2012 полн'!BD12</f>
        <v>28.5</v>
      </c>
      <c r="O16" s="108">
        <f>'2012 полн'!BE12</f>
        <v>51736.986600000004</v>
      </c>
      <c r="P16" s="108">
        <f>'2012 полн'!BF12</f>
        <v>5406.147400000002</v>
      </c>
      <c r="Q16" s="108">
        <f>'2012 полн'!BG12</f>
        <v>2622.7500000000073</v>
      </c>
      <c r="R16" s="1"/>
      <c r="S16" s="1"/>
    </row>
    <row r="17" spans="1:19" ht="12.75" hidden="1">
      <c r="A17" s="18" t="s">
        <v>60</v>
      </c>
      <c r="B17" s="110">
        <f>'2012 полн'!B13</f>
        <v>6150.22</v>
      </c>
      <c r="C17" s="110">
        <f>'2012 полн'!C13</f>
        <v>52584.38100000001</v>
      </c>
      <c r="D17" s="111">
        <f>'2012 полн'!D13</f>
        <v>1938.714</v>
      </c>
      <c r="E17" s="106">
        <f>'2012 полн'!U13</f>
        <v>52472.119999999995</v>
      </c>
      <c r="F17" s="106">
        <f>'2012 полн'!V13</f>
        <v>0</v>
      </c>
      <c r="G17" s="112">
        <f>'2012 полн'!AF13</f>
        <v>45529.97</v>
      </c>
      <c r="H17" s="112">
        <f>'2012 полн'!AG13</f>
        <v>47468.684</v>
      </c>
      <c r="I17" s="112">
        <f>'2012 полн'!AJ13</f>
        <v>114</v>
      </c>
      <c r="J17" s="112">
        <f>'2012 полн'!AK13</f>
        <v>4120.647400000001</v>
      </c>
      <c r="K17" s="112">
        <f>'2012 полн'!AL13</f>
        <v>1230.044</v>
      </c>
      <c r="L17" s="106">
        <f>'2012 полн'!AM13+'2012 полн'!AN13+'2012 полн'!AO13+'2012 полн'!AP13+'2012 полн'!AQ13+'2012 полн'!AR13+'2012 полн'!AS13+'2012 полн'!AX13</f>
        <v>35590.2672</v>
      </c>
      <c r="M17" s="107">
        <f>'2012 полн'!AU13+'2012 полн'!AV13+'2012 полн'!AW13</f>
        <v>0</v>
      </c>
      <c r="N17" s="135">
        <f>'2012 полн'!BD13</f>
        <v>28.5</v>
      </c>
      <c r="O17" s="108">
        <f>'2012 полн'!BE13</f>
        <v>40969.458600000005</v>
      </c>
      <c r="P17" s="108">
        <f>'2012 полн'!BF13</f>
        <v>6613.225399999996</v>
      </c>
      <c r="Q17" s="108">
        <f>'2012 полн'!BG13</f>
        <v>-6942.149999999994</v>
      </c>
      <c r="R17" s="1"/>
      <c r="S17" s="1"/>
    </row>
    <row r="18" spans="1:19" ht="12.75" hidden="1">
      <c r="A18" s="18" t="s">
        <v>61</v>
      </c>
      <c r="B18" s="110">
        <f>'2012 полн'!B14</f>
        <v>6150.22</v>
      </c>
      <c r="C18" s="110">
        <f>'2012 полн'!C14</f>
        <v>52584.38100000001</v>
      </c>
      <c r="D18" s="111">
        <f>'2012 полн'!D14</f>
        <v>1938.714</v>
      </c>
      <c r="E18" s="106">
        <f>'2012 полн'!U14</f>
        <v>52951.649999999994</v>
      </c>
      <c r="F18" s="106">
        <f>'2012 полн'!V14</f>
        <v>0</v>
      </c>
      <c r="G18" s="112">
        <f>'2012 полн'!AF14</f>
        <v>52760.619999999995</v>
      </c>
      <c r="H18" s="112">
        <f>'2012 полн'!AG14</f>
        <v>54699.333999999995</v>
      </c>
      <c r="I18" s="112">
        <f>'2012 полн'!AJ14</f>
        <v>114</v>
      </c>
      <c r="J18" s="112">
        <f>'2012 полн'!AK14</f>
        <v>4120.647400000001</v>
      </c>
      <c r="K18" s="112">
        <f>'2012 полн'!AL14</f>
        <v>1230.044</v>
      </c>
      <c r="L18" s="106">
        <f>'2012 полн'!AM14+'2012 полн'!AN14+'2012 полн'!AO14+'2012 полн'!AP14+'2012 полн'!AQ14+'2012 полн'!AR14+'2012 полн'!AS14+'2012 полн'!AX14</f>
        <v>40495.2672</v>
      </c>
      <c r="M18" s="107">
        <f>'2012 полн'!AU14+'2012 полн'!AV14+'2012 полн'!AW14</f>
        <v>19197</v>
      </c>
      <c r="N18" s="135">
        <f>'2012 полн'!BD14</f>
        <v>28.5</v>
      </c>
      <c r="O18" s="108">
        <f>'2012 полн'!BE14</f>
        <v>65071.458600000005</v>
      </c>
      <c r="P18" s="108">
        <f>'2012 полн'!BF14</f>
        <v>-10258.12460000001</v>
      </c>
      <c r="Q18" s="108">
        <f>'2012 полн'!BG14</f>
        <v>-191.02999999999884</v>
      </c>
      <c r="R18" s="1"/>
      <c r="S18" s="1"/>
    </row>
    <row r="19" spans="1:19" ht="12.75" hidden="1">
      <c r="A19" s="18" t="s">
        <v>62</v>
      </c>
      <c r="B19" s="110">
        <f>'2012 полн'!B15</f>
        <v>6148.52</v>
      </c>
      <c r="C19" s="110">
        <f>'2012 полн'!C15</f>
        <v>52569.846000000005</v>
      </c>
      <c r="D19" s="111">
        <f>'2012 полн'!D15</f>
        <v>1868.844</v>
      </c>
      <c r="E19" s="106">
        <f>'2012 полн'!U15</f>
        <v>52022.66</v>
      </c>
      <c r="F19" s="106">
        <f>'2012 полн'!V15</f>
        <v>0</v>
      </c>
      <c r="G19" s="112">
        <f>'2012 полн'!AF15</f>
        <v>49577.73</v>
      </c>
      <c r="H19" s="112">
        <f>'2012 полн'!AG15</f>
        <v>51446.574</v>
      </c>
      <c r="I19" s="112">
        <f>'2012 полн'!AJ15</f>
        <v>114</v>
      </c>
      <c r="J19" s="112">
        <f>'2012 полн'!AK15</f>
        <v>4119.508400000001</v>
      </c>
      <c r="K19" s="112">
        <f>'2012 полн'!AL15</f>
        <v>1229.7040000000002</v>
      </c>
      <c r="L19" s="106">
        <f>'2012 полн'!AM15+'2012 полн'!AN15+'2012 полн'!AO15+'2012 полн'!AP15+'2012 полн'!AQ15+'2012 полн'!AR15+'2012 полн'!AS15+'2012 полн'!AX15</f>
        <v>44735.8912</v>
      </c>
      <c r="M19" s="107">
        <f>'2012 полн'!AU15+'2012 полн'!AV15+'2012 полн'!AW15</f>
        <v>3816</v>
      </c>
      <c r="N19" s="135">
        <f>'2012 полн'!BD15</f>
        <v>28.5</v>
      </c>
      <c r="O19" s="108">
        <f>'2012 полн'!BE15</f>
        <v>53929.6036</v>
      </c>
      <c r="P19" s="108">
        <f>'2012 полн'!BF15</f>
        <v>-2369.0296000000017</v>
      </c>
      <c r="Q19" s="108">
        <f>'2012 полн'!BG15</f>
        <v>-2444.9300000000003</v>
      </c>
      <c r="R19" s="1"/>
      <c r="S19" s="1"/>
    </row>
    <row r="20" spans="1:17" ht="12.75" hidden="1">
      <c r="A20" s="18" t="s">
        <v>63</v>
      </c>
      <c r="B20" s="110">
        <f>'2012 полн'!B16</f>
        <v>6148.52</v>
      </c>
      <c r="C20" s="110">
        <f>'2012 полн'!C16</f>
        <v>52569.846000000005</v>
      </c>
      <c r="D20" s="111">
        <f>'2012 полн'!D16</f>
        <v>1868.844</v>
      </c>
      <c r="E20" s="106">
        <f>'2012 полн'!U16</f>
        <v>52480.509999999995</v>
      </c>
      <c r="F20" s="106">
        <f>'2012 полн'!V16</f>
        <v>0</v>
      </c>
      <c r="G20" s="112">
        <f>'2012 полн'!AF16</f>
        <v>41963.86</v>
      </c>
      <c r="H20" s="112">
        <f>'2012 полн'!AG16</f>
        <v>43832.704</v>
      </c>
      <c r="I20" s="112">
        <f>'2012 полн'!AJ16</f>
        <v>114</v>
      </c>
      <c r="J20" s="112">
        <f>'2012 полн'!AK16</f>
        <v>4119.508400000001</v>
      </c>
      <c r="K20" s="112">
        <f>'2012 полн'!AL16</f>
        <v>1229.7040000000002</v>
      </c>
      <c r="L20" s="106">
        <f>'2012 полн'!AM16+'2012 полн'!AN16+'2012 полн'!AO16+'2012 полн'!AP16+'2012 полн'!AQ16+'2012 полн'!AR16+'2012 полн'!AS16+'2012 полн'!AX16</f>
        <v>45574.635200000004</v>
      </c>
      <c r="M20" s="107">
        <f>'2012 полн'!AU16+'2012 полн'!AV16+'2012 полн'!AW16</f>
        <v>263</v>
      </c>
      <c r="N20" s="135">
        <f>'2012 полн'!BD16</f>
        <v>28.5</v>
      </c>
      <c r="O20" s="108">
        <f>'2012 полн'!BE16</f>
        <v>51215.34760000001</v>
      </c>
      <c r="P20" s="108">
        <f>'2012 полн'!BF16</f>
        <v>-7268.64360000001</v>
      </c>
      <c r="Q20" s="108">
        <f>'2012 полн'!BG16</f>
        <v>-10516.649999999994</v>
      </c>
    </row>
    <row r="21" spans="1:17" ht="12.75" hidden="1">
      <c r="A21" s="18" t="s">
        <v>64</v>
      </c>
      <c r="B21" s="110">
        <f>'2012 полн'!B17</f>
        <v>6145.61</v>
      </c>
      <c r="C21" s="110">
        <f>'2012 полн'!C17</f>
        <v>52544.9655</v>
      </c>
      <c r="D21" s="111">
        <f>'2012 полн'!D17</f>
        <v>1827.84</v>
      </c>
      <c r="E21" s="106">
        <f>'2012 полн'!U17</f>
        <v>52432</v>
      </c>
      <c r="F21" s="106">
        <f>'2012 полн'!V17</f>
        <v>0</v>
      </c>
      <c r="G21" s="112">
        <f>'2012 полн'!AF17</f>
        <v>44214.83</v>
      </c>
      <c r="H21" s="112">
        <f>'2012 полн'!AG17</f>
        <v>46042.67</v>
      </c>
      <c r="I21" s="112">
        <f>'2012 полн'!AJ17</f>
        <v>114</v>
      </c>
      <c r="J21" s="112">
        <f>'2012 полн'!AK17</f>
        <v>4117.5587</v>
      </c>
      <c r="K21" s="112">
        <f>'2012 полн'!AL17</f>
        <v>1229.122</v>
      </c>
      <c r="L21" s="106">
        <f>'2012 полн'!AM17+'2012 полн'!AN17+'2012 полн'!AO17+'2012 полн'!AP17+'2012 полн'!AQ17+'2012 полн'!AR17+'2012 полн'!AS17+'2012 полн'!AX17</f>
        <v>35398.713599999995</v>
      </c>
      <c r="M21" s="107">
        <f>'2012 полн'!AU17+'2012 полн'!AV17+'2012 полн'!AW17</f>
        <v>13500</v>
      </c>
      <c r="N21" s="135">
        <f>'2012 полн'!BD17</f>
        <v>28.5</v>
      </c>
      <c r="O21" s="108">
        <f>'2012 полн'!BE17</f>
        <v>54273.89429999999</v>
      </c>
      <c r="P21" s="108">
        <f>'2012 полн'!BF17</f>
        <v>-8117.224299999994</v>
      </c>
      <c r="Q21" s="108">
        <f>'2012 полн'!BG17</f>
        <v>-8217.169999999998</v>
      </c>
    </row>
    <row r="22" spans="1:17" ht="12.75" hidden="1">
      <c r="A22" s="18" t="s">
        <v>65</v>
      </c>
      <c r="B22" s="110">
        <f>'2012 полн'!B18</f>
        <v>6145.61</v>
      </c>
      <c r="C22" s="110">
        <f>'2012 полн'!C18</f>
        <v>52544.9655</v>
      </c>
      <c r="D22" s="111">
        <f>'2012 полн'!D18</f>
        <v>1827.84</v>
      </c>
      <c r="E22" s="106">
        <f>'2012 полн'!U18</f>
        <v>53290.88</v>
      </c>
      <c r="F22" s="106">
        <f>'2012 полн'!V18</f>
        <v>0</v>
      </c>
      <c r="G22" s="112">
        <f>'2012 полн'!AF18</f>
        <v>61001.31</v>
      </c>
      <c r="H22" s="112">
        <f>'2012 полн'!AG18</f>
        <v>62829.149999999994</v>
      </c>
      <c r="I22" s="112">
        <f>'2012 полн'!AJ18</f>
        <v>114</v>
      </c>
      <c r="J22" s="112">
        <f>'2012 полн'!AK18</f>
        <v>4117.5587</v>
      </c>
      <c r="K22" s="112">
        <f>'2012 полн'!AL18</f>
        <v>1229.122</v>
      </c>
      <c r="L22" s="106">
        <f>'2012 полн'!AM18+'2012 полн'!AN18+'2012 полн'!AO18+'2012 полн'!AP18+'2012 полн'!AQ18+'2012 полн'!AR18+'2012 полн'!AS18+'2012 полн'!AX18</f>
        <v>35398.713599999995</v>
      </c>
      <c r="M22" s="107">
        <f>'2012 полн'!AU18+'2012 полн'!AV18+'2012 полн'!AW18</f>
        <v>385</v>
      </c>
      <c r="N22" s="135">
        <f>'2012 полн'!BD18</f>
        <v>28.5</v>
      </c>
      <c r="O22" s="108">
        <f>'2012 полн'!BE18</f>
        <v>41158.89429999999</v>
      </c>
      <c r="P22" s="108">
        <f>'2012 полн'!BF18</f>
        <v>21784.2557</v>
      </c>
      <c r="Q22" s="108">
        <f>'2012 полн'!BG18</f>
        <v>7710.43</v>
      </c>
    </row>
    <row r="23" spans="1:17" ht="12.75" hidden="1">
      <c r="A23" s="18" t="s">
        <v>66</v>
      </c>
      <c r="B23" s="110">
        <f>'2012 полн'!B19</f>
        <v>6145.61</v>
      </c>
      <c r="C23" s="110">
        <f>'2012 полн'!C19</f>
        <v>52544.9655</v>
      </c>
      <c r="D23" s="111">
        <f>'2012 полн'!D19</f>
        <v>1827.84</v>
      </c>
      <c r="E23" s="106">
        <f>'2012 полн'!U19</f>
        <v>53290.920000000006</v>
      </c>
      <c r="F23" s="106">
        <f>'2012 полн'!V19</f>
        <v>0</v>
      </c>
      <c r="G23" s="112">
        <f>'2012 полн'!AF19</f>
        <v>47415.41</v>
      </c>
      <c r="H23" s="112">
        <f>'2012 полн'!AG19</f>
        <v>49243.25</v>
      </c>
      <c r="I23" s="112">
        <f>'2012 полн'!AJ19</f>
        <v>114</v>
      </c>
      <c r="J23" s="112">
        <f>'2012 полн'!AK19</f>
        <v>4117.5587</v>
      </c>
      <c r="K23" s="112">
        <f>'2012 полн'!AL19</f>
        <v>1229.122</v>
      </c>
      <c r="L23" s="106">
        <f>'2012 полн'!AM19+'2012 полн'!AN19+'2012 полн'!AO19+'2012 полн'!AP19+'2012 полн'!AQ19+'2012 полн'!AR19+'2012 полн'!AS19+'2012 полн'!AX19</f>
        <v>46139.3151</v>
      </c>
      <c r="M23" s="107">
        <f>'2012 полн'!AU19+'2012 полн'!AV19+'2012 полн'!AW19</f>
        <v>6024</v>
      </c>
      <c r="N23" s="135">
        <f>'2012 полн'!BD19</f>
        <v>28.5</v>
      </c>
      <c r="O23" s="108">
        <f>'2012 полн'!BE19</f>
        <v>57538.4958</v>
      </c>
      <c r="P23" s="108">
        <f>'2012 полн'!BF19</f>
        <v>-8181.245799999997</v>
      </c>
      <c r="Q23" s="108">
        <f>'2012 полн'!BG19</f>
        <v>-5875.510000000002</v>
      </c>
    </row>
    <row r="24" spans="1:17" ht="12.75" hidden="1">
      <c r="A24" s="18" t="s">
        <v>67</v>
      </c>
      <c r="B24" s="110">
        <f>'2012 полн'!B20</f>
        <v>6145.61</v>
      </c>
      <c r="C24" s="110">
        <f>'2012 полн'!C20</f>
        <v>52544.9655</v>
      </c>
      <c r="D24" s="111">
        <f>'2012 полн'!D20</f>
        <v>1827.84</v>
      </c>
      <c r="E24" s="106">
        <f>'2012 полн'!U20</f>
        <v>53322.27</v>
      </c>
      <c r="F24" s="106">
        <f>'2012 полн'!V20</f>
        <v>0</v>
      </c>
      <c r="G24" s="112">
        <f>'2012 полн'!AF20</f>
        <v>49154.4</v>
      </c>
      <c r="H24" s="112">
        <f>'2012 полн'!AG20</f>
        <v>50982.24</v>
      </c>
      <c r="I24" s="112">
        <f>'2012 полн'!AJ20</f>
        <v>114</v>
      </c>
      <c r="J24" s="112">
        <f>'2012 полн'!AK20</f>
        <v>4117.5587</v>
      </c>
      <c r="K24" s="112">
        <f>'2012 полн'!AL20</f>
        <v>1229.122</v>
      </c>
      <c r="L24" s="106">
        <f>'2012 полн'!AM20+'2012 полн'!AN20+'2012 полн'!AO20+'2012 полн'!AP20+'2012 полн'!AQ20+'2012 полн'!AR20+'2012 полн'!AS20+'2012 полн'!AX20</f>
        <v>42518.8451</v>
      </c>
      <c r="M24" s="107">
        <f>'2012 полн'!AU20+'2012 полн'!AV20+'2012 полн'!AW20</f>
        <v>0</v>
      </c>
      <c r="N24" s="135">
        <f>'2012 полн'!BD20</f>
        <v>28.5</v>
      </c>
      <c r="O24" s="108">
        <f>'2012 полн'!BE20</f>
        <v>47894.025799999996</v>
      </c>
      <c r="P24" s="108">
        <f>'2012 полн'!BF20</f>
        <v>3202.214200000002</v>
      </c>
      <c r="Q24" s="108">
        <f>'2012 полн'!BG20</f>
        <v>-4167.869999999995</v>
      </c>
    </row>
    <row r="25" spans="1:17" ht="13.5" hidden="1" thickBot="1">
      <c r="A25" s="113" t="s">
        <v>68</v>
      </c>
      <c r="B25" s="110">
        <f>'2012 полн'!B21</f>
        <v>6145.61</v>
      </c>
      <c r="C25" s="110">
        <f>'2012 полн'!C21</f>
        <v>52544.9655</v>
      </c>
      <c r="D25" s="111">
        <f>'2012 полн'!D21</f>
        <v>1827.84</v>
      </c>
      <c r="E25" s="106">
        <f>'2012 полн'!U21</f>
        <v>53322.26</v>
      </c>
      <c r="F25" s="106">
        <f>'2012 полн'!V21</f>
        <v>0</v>
      </c>
      <c r="G25" s="112">
        <f>'2012 полн'!AF21</f>
        <v>80243.09000000001</v>
      </c>
      <c r="H25" s="112">
        <f>'2012 полн'!AG21</f>
        <v>82070.93000000001</v>
      </c>
      <c r="I25" s="112">
        <f>'2012 полн'!AJ21</f>
        <v>114</v>
      </c>
      <c r="J25" s="112">
        <f>'2012 полн'!AK21</f>
        <v>4117.5587</v>
      </c>
      <c r="K25" s="112">
        <f>'2012 полн'!AL21</f>
        <v>1229.122</v>
      </c>
      <c r="L25" s="106">
        <f>'2012 полн'!AM21+'2012 полн'!AN21+'2012 полн'!AO21+'2012 полн'!AP21+'2012 полн'!AQ21+'2012 полн'!AR21+'2012 полн'!AS21+'2012 полн'!AX21</f>
        <v>42466.1651</v>
      </c>
      <c r="M25" s="107">
        <f>'2012 полн'!AU21+'2012 полн'!AV21+'2012 полн'!AW21</f>
        <v>349</v>
      </c>
      <c r="N25" s="135">
        <f>'2012 полн'!BD21</f>
        <v>28.5</v>
      </c>
      <c r="O25" s="108">
        <f>'2012 полн'!BE21</f>
        <v>48190.345799999996</v>
      </c>
      <c r="P25" s="108">
        <f>'2012 полн'!BF21</f>
        <v>33994.58420000001</v>
      </c>
      <c r="Q25" s="108">
        <f>'2012 полн'!BG21</f>
        <v>26920.83000000001</v>
      </c>
    </row>
    <row r="26" spans="1:17" ht="13.5" hidden="1" thickBot="1">
      <c r="A26" s="230" t="s">
        <v>85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130"/>
      <c r="O26" s="128"/>
      <c r="P26" s="95"/>
      <c r="Q26" s="95"/>
    </row>
    <row r="27" spans="1:19" s="13" customFormat="1" ht="13.5" thickBot="1">
      <c r="A27" s="96" t="s">
        <v>55</v>
      </c>
      <c r="B27" s="97"/>
      <c r="C27" s="98">
        <f aca="true" t="shared" si="0" ref="C27:Q27">SUM(C14:C26)</f>
        <v>630786.4245000002</v>
      </c>
      <c r="D27" s="98">
        <f t="shared" si="0"/>
        <v>23053.0302</v>
      </c>
      <c r="E27" s="98">
        <f t="shared" si="0"/>
        <v>630231.78</v>
      </c>
      <c r="F27" s="98">
        <f t="shared" si="0"/>
        <v>0</v>
      </c>
      <c r="G27" s="98">
        <f t="shared" si="0"/>
        <v>550954.63</v>
      </c>
      <c r="H27" s="98">
        <f t="shared" si="0"/>
        <v>574007.6602</v>
      </c>
      <c r="I27" s="98">
        <f t="shared" si="0"/>
        <v>1368</v>
      </c>
      <c r="J27" s="98">
        <f t="shared" si="0"/>
        <v>49430.04730000001</v>
      </c>
      <c r="K27" s="98">
        <f t="shared" si="0"/>
        <v>14755.237999999998</v>
      </c>
      <c r="L27" s="98">
        <f t="shared" si="0"/>
        <v>498436.14890000003</v>
      </c>
      <c r="M27" s="98">
        <f t="shared" si="0"/>
        <v>54096</v>
      </c>
      <c r="N27" s="98">
        <f t="shared" si="0"/>
        <v>342</v>
      </c>
      <c r="O27" s="98">
        <f t="shared" si="0"/>
        <v>617059.4342</v>
      </c>
      <c r="P27" s="98">
        <f t="shared" si="0"/>
        <v>-41683.77400000002</v>
      </c>
      <c r="Q27" s="98">
        <f t="shared" si="0"/>
        <v>-79277.14999999997</v>
      </c>
      <c r="R27" s="71"/>
      <c r="S27" s="80"/>
    </row>
    <row r="28" spans="1:19" ht="12.75">
      <c r="A28" s="99" t="s">
        <v>97</v>
      </c>
      <c r="B28" s="100"/>
      <c r="C28" s="101"/>
      <c r="D28" s="102"/>
      <c r="E28" s="103"/>
      <c r="F28" s="104"/>
      <c r="G28" s="105"/>
      <c r="H28" s="104"/>
      <c r="I28" s="136"/>
      <c r="J28" s="105"/>
      <c r="K28" s="106"/>
      <c r="L28" s="106"/>
      <c r="M28" s="107"/>
      <c r="N28" s="135"/>
      <c r="O28" s="108"/>
      <c r="P28" s="109"/>
      <c r="Q28" s="109"/>
      <c r="R28" s="1"/>
      <c r="S28" s="1"/>
    </row>
    <row r="29" spans="1:19" ht="12.75">
      <c r="A29" s="152" t="s">
        <v>57</v>
      </c>
      <c r="B29" s="110">
        <f>'2012 полн'!B26</f>
        <v>6145.61</v>
      </c>
      <c r="C29" s="110">
        <f>'2012 полн'!C26</f>
        <v>52544.9655</v>
      </c>
      <c r="D29" s="111">
        <f>'2012 полн'!D26</f>
        <v>1827.84</v>
      </c>
      <c r="E29" s="106">
        <f>'2012 полн'!U26</f>
        <v>53304.52</v>
      </c>
      <c r="F29" s="106">
        <f>'2012 полн'!V26</f>
        <v>0</v>
      </c>
      <c r="G29" s="112">
        <f>'2012 полн'!AF26</f>
        <v>42909.44</v>
      </c>
      <c r="H29" s="112">
        <f>'2012 полн'!AG26</f>
        <v>44737.28</v>
      </c>
      <c r="I29" s="112">
        <f>'2012 полн'!AJ26</f>
        <v>114</v>
      </c>
      <c r="J29" s="112">
        <f>'2012 полн'!AK26</f>
        <v>4117.5587</v>
      </c>
      <c r="K29" s="112">
        <f>'2012 полн'!AL26</f>
        <v>1229.122</v>
      </c>
      <c r="L29" s="106">
        <f>'2012 полн'!AM26+'2012 полн'!AN26+'2012 полн'!AO26+'2012 полн'!AP26+'2012 полн'!AQ26+'2012 полн'!AR26+'2012 полн'!AS26+'2012 полн'!AX26</f>
        <v>43222.1651</v>
      </c>
      <c r="M29" s="107">
        <f>'2012 полн'!AU26+'2012 полн'!AV26+'2012 полн'!AW26</f>
        <v>1584</v>
      </c>
      <c r="N29" s="135">
        <f>'2012 полн'!BD26</f>
        <v>28.5</v>
      </c>
      <c r="O29" s="108">
        <f>'2012 полн'!BE26</f>
        <v>50181.345799999996</v>
      </c>
      <c r="P29" s="108">
        <f>'2012 полн'!BF26</f>
        <v>-5330.065799999997</v>
      </c>
      <c r="Q29" s="108">
        <f>'2012 полн'!BG26</f>
        <v>-10395.079999999994</v>
      </c>
      <c r="R29" s="1"/>
      <c r="S29" s="1"/>
    </row>
    <row r="30" spans="1:19" ht="12.75">
      <c r="A30" s="152" t="s">
        <v>58</v>
      </c>
      <c r="B30" s="110">
        <f>'2012 полн'!B27</f>
        <v>6145.61</v>
      </c>
      <c r="C30" s="110">
        <f>'2012 полн'!C27</f>
        <v>52544.9655</v>
      </c>
      <c r="D30" s="111">
        <f>'2012 полн'!D27</f>
        <v>1827.84</v>
      </c>
      <c r="E30" s="106">
        <f>'2012 полн'!U27</f>
        <v>53295.2</v>
      </c>
      <c r="F30" s="106">
        <f>'2012 полн'!V27</f>
        <v>0</v>
      </c>
      <c r="G30" s="112">
        <f>'2012 полн'!AF27</f>
        <v>64568.84999999999</v>
      </c>
      <c r="H30" s="112">
        <f>'2012 полн'!AG27</f>
        <v>66396.68999999999</v>
      </c>
      <c r="I30" s="112">
        <f>'2012 полн'!AJ27</f>
        <v>114</v>
      </c>
      <c r="J30" s="112">
        <f>'2012 полн'!AK27</f>
        <v>4117.5587</v>
      </c>
      <c r="K30" s="112">
        <f>'2012 полн'!AL27</f>
        <v>1229.122</v>
      </c>
      <c r="L30" s="106">
        <f>'2012 полн'!AM27+'2012 полн'!AN27+'2012 полн'!AO27+'2012 полн'!AP27+'2012 полн'!AQ27+'2012 полн'!AR27+'2012 полн'!AS27+'2012 полн'!AX27</f>
        <v>42466.1651</v>
      </c>
      <c r="M30" s="107">
        <f>'2012 полн'!AU27+'2012 полн'!AV27+'2012 полн'!AW27</f>
        <v>0</v>
      </c>
      <c r="N30" s="135">
        <f>'2012 полн'!BD27</f>
        <v>28.5</v>
      </c>
      <c r="O30" s="108">
        <f>'2012 полн'!BE27</f>
        <v>47841.345799999996</v>
      </c>
      <c r="P30" s="108">
        <f>'2012 полн'!BF27</f>
        <v>18669.344199999992</v>
      </c>
      <c r="Q30" s="108">
        <f>'2012 полн'!BG27</f>
        <v>11273.649999999994</v>
      </c>
      <c r="R30" s="1"/>
      <c r="S30" s="1"/>
    </row>
    <row r="31" spans="1:19" ht="12.75">
      <c r="A31" s="152" t="s">
        <v>59</v>
      </c>
      <c r="B31" s="110">
        <f>'2012 полн'!B28</f>
        <v>6144.07</v>
      </c>
      <c r="C31" s="110">
        <f>'2012 полн'!C28</f>
        <v>52531.798500000004</v>
      </c>
      <c r="D31" s="111">
        <f>'2012 полн'!D28</f>
        <v>1827.84</v>
      </c>
      <c r="E31" s="106">
        <f>'2012 полн'!U28</f>
        <v>53408.73</v>
      </c>
      <c r="F31" s="106">
        <f>'2012 полн'!V28</f>
        <v>0</v>
      </c>
      <c r="G31" s="112">
        <f>'2012 полн'!AF28</f>
        <v>51694.64</v>
      </c>
      <c r="H31" s="112">
        <f>'2012 полн'!AG28</f>
        <v>53522.479999999996</v>
      </c>
      <c r="I31" s="112">
        <f>'2012 полн'!AJ28</f>
        <v>114</v>
      </c>
      <c r="J31" s="112">
        <f>'2012 полн'!AK28</f>
        <v>4116.5269</v>
      </c>
      <c r="K31" s="112">
        <f>'2012 полн'!AL28</f>
        <v>1228.814</v>
      </c>
      <c r="L31" s="106">
        <f>'2012 полн'!AM28+'2012 полн'!AN28+'2012 полн'!AO28+'2012 полн'!AP28+'2012 полн'!AQ28+'2012 полн'!AR28+'2012 полн'!AS28+'2012 полн'!AX28</f>
        <v>43891.3037</v>
      </c>
      <c r="M31" s="107">
        <f>'2012 полн'!AU28+'2012 полн'!AV28+'2012 полн'!AW28</f>
        <v>2791.4700000000003</v>
      </c>
      <c r="N31" s="135">
        <f>'2012 полн'!BD28</f>
        <v>28.5</v>
      </c>
      <c r="O31" s="108">
        <f>'2012 полн'!BE28</f>
        <v>52056.6146</v>
      </c>
      <c r="P31" s="108">
        <f>'2012 полн'!BF28</f>
        <v>1579.8653999999951</v>
      </c>
      <c r="Q31" s="108">
        <f>'2012 полн'!BG28</f>
        <v>-1714.0900000000038</v>
      </c>
      <c r="R31" s="1"/>
      <c r="S31" s="1"/>
    </row>
    <row r="32" spans="1:19" ht="12.75">
      <c r="A32" s="152" t="s">
        <v>60</v>
      </c>
      <c r="B32" s="110">
        <f>'2012 полн'!B29</f>
        <v>6144.07</v>
      </c>
      <c r="C32" s="110">
        <f>'2012 полн'!C29</f>
        <v>52531.798500000004</v>
      </c>
      <c r="D32" s="111">
        <f>'2012 полн'!D29</f>
        <v>1787.1419999999998</v>
      </c>
      <c r="E32" s="106">
        <f>'2012 полн'!U29</f>
        <v>53308.77</v>
      </c>
      <c r="F32" s="106">
        <f>'2012 полн'!V29</f>
        <v>0</v>
      </c>
      <c r="G32" s="112">
        <f>'2012 полн'!AF29</f>
        <v>52842.39</v>
      </c>
      <c r="H32" s="112">
        <f>'2012 полн'!AG29</f>
        <v>54629.532</v>
      </c>
      <c r="I32" s="112">
        <f>'2012 полн'!AJ29</f>
        <v>114</v>
      </c>
      <c r="J32" s="112">
        <f>'2012 полн'!AK29</f>
        <v>4116.5269</v>
      </c>
      <c r="K32" s="112">
        <f>'2012 полн'!AL29</f>
        <v>1228.814</v>
      </c>
      <c r="L32" s="106">
        <f>'2012 полн'!AM29+'2012 полн'!AN29+'2012 полн'!AO29+'2012 полн'!AP29+'2012 полн'!AQ29+'2012 полн'!AR29+'2012 полн'!AS29+'2012 полн'!AX29</f>
        <v>37429.983199999995</v>
      </c>
      <c r="M32" s="107">
        <f>'2012 полн'!AU29+'2012 полн'!AV29+'2012 полн'!AW29</f>
        <v>0</v>
      </c>
      <c r="N32" s="135">
        <f>'2012 полн'!BD29</f>
        <v>28.5</v>
      </c>
      <c r="O32" s="108">
        <f>'2012 полн'!BE29</f>
        <v>42803.8241</v>
      </c>
      <c r="P32" s="108">
        <f>'2012 полн'!BF29</f>
        <v>11939.707900000001</v>
      </c>
      <c r="Q32" s="108">
        <f>'2012 полн'!BG29</f>
        <v>-466.3799999999974</v>
      </c>
      <c r="R32" s="1"/>
      <c r="S32" s="1"/>
    </row>
    <row r="33" spans="1:19" ht="12.75">
      <c r="A33" s="152" t="s">
        <v>61</v>
      </c>
      <c r="B33" s="110">
        <f>'2012 полн'!B30</f>
        <v>6144.07</v>
      </c>
      <c r="C33" s="110">
        <f>'2012 полн'!C30</f>
        <v>52531.798500000004</v>
      </c>
      <c r="D33" s="111">
        <f>'2012 полн'!D30</f>
        <v>1787.1419999999998</v>
      </c>
      <c r="E33" s="106">
        <f>'2012 полн'!U30</f>
        <v>53308.75</v>
      </c>
      <c r="F33" s="106">
        <f>'2012 полн'!V30</f>
        <v>0</v>
      </c>
      <c r="G33" s="112">
        <f>'2012 полн'!AF30</f>
        <v>53631.06</v>
      </c>
      <c r="H33" s="112">
        <f>'2012 полн'!AG30</f>
        <v>55418.202</v>
      </c>
      <c r="I33" s="112">
        <f>'2012 полн'!AJ30</f>
        <v>114</v>
      </c>
      <c r="J33" s="112">
        <f>'2012 полн'!AK30</f>
        <v>4116.5269</v>
      </c>
      <c r="K33" s="112">
        <f>'2012 полн'!AL30</f>
        <v>1228.814</v>
      </c>
      <c r="L33" s="106">
        <f>'2012 полн'!AM30+'2012 полн'!AN30+'2012 полн'!AO30+'2012 полн'!AP30+'2012 полн'!AQ30+'2012 полн'!AR30+'2012 полн'!AS30+'2012 полн'!AX30</f>
        <v>35688.3932</v>
      </c>
      <c r="M33" s="107">
        <f>'2012 полн'!AU30+'2012 полн'!AV30+'2012 полн'!AW30</f>
        <v>1190</v>
      </c>
      <c r="N33" s="135">
        <f>'2012 полн'!BD30</f>
        <v>28.5</v>
      </c>
      <c r="O33" s="108">
        <f>'2012 полн'!BE30</f>
        <v>42252.2341</v>
      </c>
      <c r="P33" s="108">
        <f>'2012 полн'!BF30</f>
        <v>13279.967899999996</v>
      </c>
      <c r="Q33" s="108">
        <f>'2012 полн'!BG30</f>
        <v>322.3099999999977</v>
      </c>
      <c r="R33" s="1"/>
      <c r="S33" s="1"/>
    </row>
    <row r="34" spans="1:17" ht="12.75">
      <c r="A34" s="152" t="s">
        <v>62</v>
      </c>
      <c r="B34" s="110">
        <f>'2012 полн'!B31</f>
        <v>6144.07</v>
      </c>
      <c r="C34" s="110">
        <f>'2012 полн'!C31</f>
        <v>52531.798500000004</v>
      </c>
      <c r="D34" s="111">
        <f>'2012 полн'!D31</f>
        <v>1715.9765999999997</v>
      </c>
      <c r="E34" s="106">
        <f>'2012 полн'!U31</f>
        <v>53325.91</v>
      </c>
      <c r="F34" s="106">
        <f>'2012 полн'!V31</f>
        <v>0</v>
      </c>
      <c r="G34" s="112">
        <f>'2012 полн'!AF31</f>
        <v>45821.399999999994</v>
      </c>
      <c r="H34" s="112">
        <f>'2012 полн'!AG31</f>
        <v>47537.376599999996</v>
      </c>
      <c r="I34" s="112">
        <f>'2012 полн'!AJ31</f>
        <v>314</v>
      </c>
      <c r="J34" s="112">
        <f>'2012 полн'!AK31</f>
        <v>4116.5269</v>
      </c>
      <c r="K34" s="112">
        <f>'2012 полн'!AL31</f>
        <v>1228.814</v>
      </c>
      <c r="L34" s="106">
        <f>'2012 полн'!AM31+'2012 полн'!AN31+'2012 полн'!AO31+'2012 полн'!AP31+'2012 полн'!AQ31+'2012 полн'!AR31+'2012 полн'!AS31+'2012 полн'!AX31</f>
        <v>36678.2432</v>
      </c>
      <c r="M34" s="107">
        <f>'2012 полн'!AU31+'2012 полн'!AV31+'2012 полн'!AW31</f>
        <v>395</v>
      </c>
      <c r="N34" s="135">
        <f>'2012 полн'!BD31</f>
        <v>78.5</v>
      </c>
      <c r="O34" s="108">
        <f>'2012 полн'!BE31</f>
        <v>42497.0841</v>
      </c>
      <c r="P34" s="108">
        <f>'2012 полн'!BF31</f>
        <v>5354.292499999996</v>
      </c>
      <c r="Q34" s="108">
        <f>'2012 полн'!BG31</f>
        <v>-7504.510000000009</v>
      </c>
    </row>
    <row r="35" spans="1:17" ht="12.75">
      <c r="A35" s="152" t="s">
        <v>63</v>
      </c>
      <c r="B35" s="110">
        <f>'2012 полн'!B32</f>
        <v>6144.07</v>
      </c>
      <c r="C35" s="110">
        <f>'2012 полн'!C32</f>
        <v>58430.10569999999</v>
      </c>
      <c r="D35" s="111">
        <f>'2012 полн'!D32</f>
        <v>2296.3804499999997</v>
      </c>
      <c r="E35" s="106">
        <f>'2012 полн'!U32</f>
        <v>59322.04</v>
      </c>
      <c r="F35" s="106">
        <f>'2012 полн'!V32</f>
        <v>0</v>
      </c>
      <c r="G35" s="112">
        <f>'2012 полн'!AF32</f>
        <v>45754.33</v>
      </c>
      <c r="H35" s="112">
        <f>'2012 полн'!AG32</f>
        <v>48050.71045</v>
      </c>
      <c r="I35" s="112">
        <f>'2012 полн'!AJ32</f>
        <v>314</v>
      </c>
      <c r="J35" s="112">
        <f>'2012 полн'!AK32</f>
        <v>4608.0525</v>
      </c>
      <c r="K35" s="112">
        <f>'2012 полн'!AL32</f>
        <v>1228.814</v>
      </c>
      <c r="L35" s="106">
        <f>'2012 полн'!AM32+'2012 полн'!AN32+'2012 полн'!AO32+'2012 полн'!AP32+'2012 полн'!AQ32+'2012 полн'!AR32+'2012 полн'!AS32+'2012 полн'!AX32</f>
        <v>48157.47319999999</v>
      </c>
      <c r="M35" s="107">
        <f>'2012 полн'!AU32+'2012 полн'!AV32+'2012 полн'!AW32</f>
        <v>11985</v>
      </c>
      <c r="N35" s="135">
        <f>'2012 полн'!BD32</f>
        <v>78.5</v>
      </c>
      <c r="O35" s="108">
        <f>'2012 полн'!BE32</f>
        <v>66057.8397</v>
      </c>
      <c r="P35" s="108">
        <f>'2012 полн'!BF32</f>
        <v>-17693.129249999998</v>
      </c>
      <c r="Q35" s="108">
        <f>'2012 полн'!BG32</f>
        <v>-13567.71</v>
      </c>
    </row>
    <row r="36" spans="1:17" ht="12.75">
      <c r="A36" s="152" t="s">
        <v>64</v>
      </c>
      <c r="B36" s="110">
        <f>'2012 полн'!B33</f>
        <v>6144.07</v>
      </c>
      <c r="C36" s="110">
        <f>'2012 полн'!C33</f>
        <v>58430.10569999999</v>
      </c>
      <c r="D36" s="111">
        <f>'2012 полн'!D33</f>
        <v>0</v>
      </c>
      <c r="E36" s="106">
        <f>'2012 полн'!U33</f>
        <v>59322.03</v>
      </c>
      <c r="F36" s="106">
        <f>'2012 полн'!V33</f>
        <v>0</v>
      </c>
      <c r="G36" s="112">
        <f>'2012 полн'!AF33</f>
        <v>54685.630000000005</v>
      </c>
      <c r="H36" s="112">
        <f>'2012 полн'!AG33</f>
        <v>54685.630000000005</v>
      </c>
      <c r="I36" s="112">
        <f>'2012 полн'!AJ33</f>
        <v>1214</v>
      </c>
      <c r="J36" s="112">
        <f>'2012 полн'!AK33</f>
        <v>4608.0525</v>
      </c>
      <c r="K36" s="112">
        <f>'2012 полн'!AL33</f>
        <v>1228.814</v>
      </c>
      <c r="L36" s="106">
        <f>'2012 полн'!AM33+'2012 полн'!AN33+'2012 полн'!AO33+'2012 полн'!AP33+'2012 полн'!AQ33+'2012 полн'!AR33+'2012 полн'!AS33+'2012 полн'!AX33</f>
        <v>54317.5732</v>
      </c>
      <c r="M36" s="107">
        <f>'2012 полн'!AU33+'2012 полн'!AV33+'2012 полн'!AW33</f>
        <v>41427</v>
      </c>
      <c r="N36" s="135">
        <f>'2012 полн'!BD33</f>
        <v>303.5</v>
      </c>
      <c r="O36" s="108">
        <f>'2012 полн'!BE33</f>
        <v>101884.9397</v>
      </c>
      <c r="P36" s="108">
        <f>'2012 полн'!BF33</f>
        <v>-45985.3097</v>
      </c>
      <c r="Q36" s="108">
        <f>'2012 полн'!BG33</f>
        <v>-4636.399999999994</v>
      </c>
    </row>
    <row r="37" spans="1:17" ht="12.75">
      <c r="A37" s="152" t="s">
        <v>65</v>
      </c>
      <c r="B37" s="110">
        <f>'2012 полн'!B34</f>
        <v>6144.07</v>
      </c>
      <c r="C37" s="110">
        <f>'2012 полн'!C34</f>
        <v>58430.10569999999</v>
      </c>
      <c r="D37" s="111">
        <f>'2012 полн'!D34</f>
        <v>0</v>
      </c>
      <c r="E37" s="106">
        <f>'2012 полн'!U34</f>
        <v>59338.96</v>
      </c>
      <c r="F37" s="106">
        <f>'2012 полн'!V34</f>
        <v>0</v>
      </c>
      <c r="G37" s="112">
        <f>'2012 полн'!AF34</f>
        <v>51282.41</v>
      </c>
      <c r="H37" s="112">
        <f>'2012 полн'!AG34</f>
        <v>51282.41</v>
      </c>
      <c r="I37" s="112">
        <f>'2012 полн'!AJ34</f>
        <v>614</v>
      </c>
      <c r="J37" s="112">
        <f>'2012 полн'!AK34</f>
        <v>4608.0525</v>
      </c>
      <c r="K37" s="112">
        <f>'2012 полн'!AL34</f>
        <v>1228.814</v>
      </c>
      <c r="L37" s="106">
        <f>'2012 полн'!AM34+'2012 полн'!AN34+'2012 полн'!AO34+'2012 полн'!AP34+'2012 полн'!AQ34+'2012 полн'!AR34+'2012 полн'!AS34+'2012 полн'!AX34</f>
        <v>36207.303199999995</v>
      </c>
      <c r="M37" s="107">
        <f>'2012 полн'!AU34+'2012 полн'!AV34+'2012 полн'!AW34</f>
        <v>650</v>
      </c>
      <c r="N37" s="135">
        <f>'2012 полн'!BD34</f>
        <v>153.5</v>
      </c>
      <c r="O37" s="108">
        <f>'2012 полн'!BE34</f>
        <v>42847.6697</v>
      </c>
      <c r="P37" s="108">
        <f>'2012 полн'!BF34</f>
        <v>9048.740300000005</v>
      </c>
      <c r="Q37" s="108">
        <f>'2012 полн'!BG34</f>
        <v>-8056.549999999996</v>
      </c>
    </row>
    <row r="38" spans="1:17" ht="12.75">
      <c r="A38" s="152" t="s">
        <v>66</v>
      </c>
      <c r="B38" s="110">
        <f>'2012 полн'!B35</f>
        <v>6144.07</v>
      </c>
      <c r="C38" s="110">
        <f>'2012 полн'!C35</f>
        <v>58430.10569999999</v>
      </c>
      <c r="D38" s="111">
        <f>'2012 полн'!D35</f>
        <v>0</v>
      </c>
      <c r="E38" s="106">
        <f>'2012 полн'!U35</f>
        <v>59406.73</v>
      </c>
      <c r="F38" s="106">
        <f>'2012 полн'!V35</f>
        <v>0</v>
      </c>
      <c r="G38" s="112">
        <f>'2012 полн'!AF35</f>
        <v>62091.85</v>
      </c>
      <c r="H38" s="112">
        <f>'2012 полн'!AG35</f>
        <v>62091.85</v>
      </c>
      <c r="I38" s="112">
        <f>'2012 полн'!AJ35</f>
        <v>614</v>
      </c>
      <c r="J38" s="112">
        <f>'2012 полн'!AK35</f>
        <v>4608.0525</v>
      </c>
      <c r="K38" s="112">
        <f>'2012 полн'!AL35</f>
        <v>1228.814</v>
      </c>
      <c r="L38" s="106">
        <f>'2012 полн'!AM35+'2012 полн'!AN35+'2012 полн'!AO35+'2012 полн'!AP35+'2012 полн'!AQ35+'2012 полн'!AR35+'2012 полн'!AS35+'2012 полн'!AX35</f>
        <v>43507.1006</v>
      </c>
      <c r="M38" s="107">
        <f>'2012 полн'!AU35+'2012 полн'!AV35+'2012 полн'!AW35</f>
        <v>3898</v>
      </c>
      <c r="N38" s="135">
        <f>'2012 полн'!BD35</f>
        <v>153.5</v>
      </c>
      <c r="O38" s="108">
        <f>'2012 полн'!BE35</f>
        <v>53395.4671</v>
      </c>
      <c r="P38" s="108">
        <f>'2012 полн'!BF35</f>
        <v>9310.382899999997</v>
      </c>
      <c r="Q38" s="108">
        <f>'2012 полн'!BG35</f>
        <v>2685.1199999999953</v>
      </c>
    </row>
    <row r="39" spans="1:17" ht="12.75">
      <c r="A39" s="152" t="s">
        <v>67</v>
      </c>
      <c r="B39" s="110">
        <f>'2012 полн'!B36</f>
        <v>6144.07</v>
      </c>
      <c r="C39" s="110">
        <f>'2012 полн'!C36</f>
        <v>58430.10569999999</v>
      </c>
      <c r="D39" s="111">
        <f>'2012 полн'!D36</f>
        <v>0</v>
      </c>
      <c r="E39" s="106">
        <f>'2012 полн'!U36</f>
        <v>59406.73</v>
      </c>
      <c r="F39" s="106">
        <f>'2012 полн'!V36</f>
        <v>0</v>
      </c>
      <c r="G39" s="112">
        <f>'2012 полн'!AF36</f>
        <v>55379.549999999996</v>
      </c>
      <c r="H39" s="112">
        <f>'2012 полн'!AG36</f>
        <v>55379.549999999996</v>
      </c>
      <c r="I39" s="112">
        <f>'2012 полн'!AJ36</f>
        <v>614</v>
      </c>
      <c r="J39" s="112">
        <f>'2012 полн'!AK36</f>
        <v>4608.0525</v>
      </c>
      <c r="K39" s="112">
        <f>'2012 полн'!AL36</f>
        <v>1228.814</v>
      </c>
      <c r="L39" s="106">
        <f>'2012 полн'!AM36+'2012 полн'!AN36+'2012 полн'!AO36+'2012 полн'!AP36+'2012 полн'!AQ36+'2012 полн'!AR36+'2012 полн'!AS36+'2012 полн'!AX36</f>
        <v>75344.4137</v>
      </c>
      <c r="M39" s="107">
        <f>'2012 полн'!AU36+'2012 полн'!AV36+'2012 полн'!AW36</f>
        <v>106628</v>
      </c>
      <c r="N39" s="135">
        <f>'2012 полн'!BD36</f>
        <v>153.5</v>
      </c>
      <c r="O39" s="108">
        <f>'2012 полн'!BE36</f>
        <v>187962.78019999998</v>
      </c>
      <c r="P39" s="108">
        <f>'2012 полн'!BF36</f>
        <v>-131969.2302</v>
      </c>
      <c r="Q39" s="108">
        <f>'2012 полн'!BG36</f>
        <v>-4027.1800000000076</v>
      </c>
    </row>
    <row r="40" spans="1:17" ht="13.5" thickBot="1">
      <c r="A40" s="152" t="s">
        <v>68</v>
      </c>
      <c r="B40" s="110">
        <f>'2012 полн'!B37</f>
        <v>6144.07</v>
      </c>
      <c r="C40" s="110">
        <f>'2012 полн'!C37</f>
        <v>58430.10569999999</v>
      </c>
      <c r="D40" s="111">
        <f>'2012 полн'!D37</f>
        <v>0</v>
      </c>
      <c r="E40" s="106">
        <f>'2012 полн'!U37</f>
        <v>59427.18</v>
      </c>
      <c r="F40" s="106">
        <f>'2012 полн'!V37</f>
        <v>0</v>
      </c>
      <c r="G40" s="112">
        <f>'2012 полн'!AF37</f>
        <v>71457.26</v>
      </c>
      <c r="H40" s="112">
        <f>'2012 полн'!AG37</f>
        <v>71457.26</v>
      </c>
      <c r="I40" s="112">
        <f>'2012 полн'!AJ37</f>
        <v>614</v>
      </c>
      <c r="J40" s="112">
        <f>'2012 полн'!AK37</f>
        <v>4608.0525</v>
      </c>
      <c r="K40" s="112">
        <f>'2012 полн'!AL37</f>
        <v>1228.814</v>
      </c>
      <c r="L40" s="106">
        <f>'2012 полн'!AM37+'2012 полн'!AN37+'2012 полн'!AO37+'2012 полн'!AP37+'2012 полн'!AQ37+'2012 полн'!AR37+'2012 полн'!AS37+'2012 полн'!AX37</f>
        <v>46017.5237</v>
      </c>
      <c r="M40" s="107">
        <f>'2012 полн'!AU37+'2012 полн'!AV37+'2012 полн'!AW37</f>
        <v>3149</v>
      </c>
      <c r="N40" s="135">
        <f>'2012 полн'!BD37</f>
        <v>153.5</v>
      </c>
      <c r="O40" s="108">
        <f>'2012 полн'!BE37</f>
        <v>55156.8902</v>
      </c>
      <c r="P40" s="108">
        <f>'2012 полн'!BF37</f>
        <v>16914.369799999993</v>
      </c>
      <c r="Q40" s="108">
        <f>'2012 полн'!BG37</f>
        <v>12030.079999999994</v>
      </c>
    </row>
    <row r="41" spans="1:17" ht="13.5" thickBot="1">
      <c r="A41" s="230" t="s">
        <v>85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130"/>
      <c r="O41" s="128"/>
      <c r="P41" s="95"/>
      <c r="Q41" s="95"/>
    </row>
    <row r="42" spans="1:19" s="13" customFormat="1" ht="13.5" thickBot="1">
      <c r="A42" s="96" t="s">
        <v>55</v>
      </c>
      <c r="B42" s="97"/>
      <c r="C42" s="98">
        <f aca="true" t="shared" si="1" ref="C42:Q42">SUM(C29:C41)</f>
        <v>665797.7592</v>
      </c>
      <c r="D42" s="98">
        <f t="shared" si="1"/>
        <v>13070.161049999999</v>
      </c>
      <c r="E42" s="98">
        <f t="shared" si="1"/>
        <v>676175.55</v>
      </c>
      <c r="F42" s="98">
        <f t="shared" si="1"/>
        <v>0</v>
      </c>
      <c r="G42" s="98">
        <f t="shared" si="1"/>
        <v>652118.81</v>
      </c>
      <c r="H42" s="98">
        <f t="shared" si="1"/>
        <v>665188.97105</v>
      </c>
      <c r="I42" s="98">
        <f t="shared" si="1"/>
        <v>4868</v>
      </c>
      <c r="J42" s="98">
        <f t="shared" si="1"/>
        <v>52349.53999999999</v>
      </c>
      <c r="K42" s="98">
        <f t="shared" si="1"/>
        <v>14746.384000000002</v>
      </c>
      <c r="L42" s="98">
        <f t="shared" si="1"/>
        <v>542927.6411</v>
      </c>
      <c r="M42" s="98">
        <f t="shared" si="1"/>
        <v>173697.47</v>
      </c>
      <c r="N42" s="98">
        <f t="shared" si="1"/>
        <v>1217</v>
      </c>
      <c r="O42" s="98">
        <f t="shared" si="1"/>
        <v>784938.0351</v>
      </c>
      <c r="P42" s="98">
        <f t="shared" si="1"/>
        <v>-114881.06405000002</v>
      </c>
      <c r="Q42" s="98">
        <f t="shared" si="1"/>
        <v>-24056.74000000002</v>
      </c>
      <c r="R42" s="71"/>
      <c r="S42" s="80"/>
    </row>
    <row r="43" spans="1:19" s="13" customFormat="1" ht="13.5" thickBot="1">
      <c r="A43" s="96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1"/>
      <c r="S43" s="80"/>
    </row>
    <row r="44" spans="1:19" s="13" customFormat="1" ht="13.5" thickBot="1">
      <c r="A44" s="96" t="s">
        <v>55</v>
      </c>
      <c r="B44" s="97"/>
      <c r="C44" s="98">
        <f aca="true" t="shared" si="2" ref="C44:P44">C42+C27</f>
        <v>1296584.1837000002</v>
      </c>
      <c r="D44" s="98">
        <f t="shared" si="2"/>
        <v>36123.19125</v>
      </c>
      <c r="E44" s="98">
        <f t="shared" si="2"/>
        <v>1306407.33</v>
      </c>
      <c r="F44" s="98">
        <f t="shared" si="2"/>
        <v>0</v>
      </c>
      <c r="G44" s="98">
        <f t="shared" si="2"/>
        <v>1203073.44</v>
      </c>
      <c r="H44" s="98">
        <f t="shared" si="2"/>
        <v>1239196.63125</v>
      </c>
      <c r="I44" s="98">
        <f t="shared" si="2"/>
        <v>6236</v>
      </c>
      <c r="J44" s="98">
        <f t="shared" si="2"/>
        <v>101779.58730000001</v>
      </c>
      <c r="K44" s="98">
        <f t="shared" si="2"/>
        <v>29501.622</v>
      </c>
      <c r="L44" s="98">
        <f t="shared" si="2"/>
        <v>1041363.79</v>
      </c>
      <c r="M44" s="98">
        <f t="shared" si="2"/>
        <v>227793.47</v>
      </c>
      <c r="N44" s="98">
        <f t="shared" si="2"/>
        <v>1559</v>
      </c>
      <c r="O44" s="98">
        <f t="shared" si="2"/>
        <v>1401997.4693</v>
      </c>
      <c r="P44" s="98">
        <f t="shared" si="2"/>
        <v>-156564.83805000002</v>
      </c>
      <c r="Q44" s="98">
        <f>Q42+Q27</f>
        <v>-103333.88999999998</v>
      </c>
      <c r="R44" s="71"/>
      <c r="S44" s="80"/>
    </row>
    <row r="46" spans="1:18" ht="12.75">
      <c r="A46" s="13" t="s">
        <v>100</v>
      </c>
      <c r="D46" s="114" t="s">
        <v>101</v>
      </c>
      <c r="Q46" s="1"/>
      <c r="R46" s="1"/>
    </row>
    <row r="47" spans="1:18" ht="12.75">
      <c r="A47" s="15" t="s">
        <v>86</v>
      </c>
      <c r="B47" s="15" t="s">
        <v>87</v>
      </c>
      <c r="C47" s="255" t="s">
        <v>88</v>
      </c>
      <c r="D47" s="255"/>
      <c r="Q47" s="1"/>
      <c r="R47" s="1"/>
    </row>
    <row r="48" spans="1:18" ht="12.75">
      <c r="A48" s="115">
        <v>367407.74</v>
      </c>
      <c r="B48" s="115">
        <v>0</v>
      </c>
      <c r="C48" s="256">
        <f>A48-B48</f>
        <v>367407.74</v>
      </c>
      <c r="D48" s="257"/>
      <c r="Q48" s="1"/>
      <c r="R48" s="1"/>
    </row>
    <row r="49" spans="1:18" ht="12.75">
      <c r="A49" s="116"/>
      <c r="Q49" s="1"/>
      <c r="R49" s="1"/>
    </row>
    <row r="50" spans="1:18" ht="12.75">
      <c r="A50" s="2" t="s">
        <v>89</v>
      </c>
      <c r="G50" s="2" t="s">
        <v>90</v>
      </c>
      <c r="Q50" s="1"/>
      <c r="R50" s="1"/>
    </row>
    <row r="51" ht="12.75">
      <c r="A51" s="1"/>
    </row>
    <row r="52" ht="12.75">
      <c r="A52" s="114" t="s">
        <v>91</v>
      </c>
    </row>
    <row r="53" ht="12.75">
      <c r="A53" s="2" t="s">
        <v>92</v>
      </c>
    </row>
  </sheetData>
  <sheetProtection/>
  <mergeCells count="28">
    <mergeCell ref="C47:D47"/>
    <mergeCell ref="C48:D48"/>
    <mergeCell ref="J8:O9"/>
    <mergeCell ref="A8:A11"/>
    <mergeCell ref="B8:B11"/>
    <mergeCell ref="C8:C11"/>
    <mergeCell ref="D8:D11"/>
    <mergeCell ref="G8:H9"/>
    <mergeCell ref="P8:P11"/>
    <mergeCell ref="Q8:Q11"/>
    <mergeCell ref="E10:F10"/>
    <mergeCell ref="H10:H11"/>
    <mergeCell ref="J10:J11"/>
    <mergeCell ref="K10:K11"/>
    <mergeCell ref="L10:L11"/>
    <mergeCell ref="M10:M11"/>
    <mergeCell ref="E8:F9"/>
    <mergeCell ref="N10:N11"/>
    <mergeCell ref="A41:M41"/>
    <mergeCell ref="O10:O11"/>
    <mergeCell ref="B1:H1"/>
    <mergeCell ref="B2:H2"/>
    <mergeCell ref="A5:M5"/>
    <mergeCell ref="A6:G6"/>
    <mergeCell ref="A7:D7"/>
    <mergeCell ref="E7:F7"/>
    <mergeCell ref="I8:I11"/>
    <mergeCell ref="A26:M26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2012-05-23T03:00:19Z</cp:lastPrinted>
  <dcterms:created xsi:type="dcterms:W3CDTF">2012-05-21T05:02:28Z</dcterms:created>
  <dcterms:modified xsi:type="dcterms:W3CDTF">2013-07-18T02:46:04Z</dcterms:modified>
  <cp:category/>
  <cp:version/>
  <cp:contentType/>
  <cp:contentStatus/>
</cp:coreProperties>
</file>