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firstSheet="3" activeTab="3"/>
  </bookViews>
  <sheets>
    <sheet name="Лист1" sheetId="1" state="hidden" r:id="rId1"/>
    <sheet name="Лист2" sheetId="2" state="hidden" r:id="rId2"/>
    <sheet name="2012 полн" sheetId="3" state="hidden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<sst xmlns="http://schemas.openxmlformats.org/spreadsheetml/2006/main" count="335" uniqueCount="125">
  <si>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</si>
  <si>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</si>
  <si>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</si>
  <si>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</si>
  <si>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</si>
  <si>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</si>
  <si>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</si>
  <si>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</si>
  <si>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</si>
  <si>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</si>
  <si>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</si>
  <si>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</si>
  <si>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</si>
  <si>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</si>
  <si>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</si>
  <si>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</si>
  <si>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</si>
  <si>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</si>
  <si>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</si>
  <si>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</si>
  <si>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</si>
  <si>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</si>
  <si>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</si>
  <si>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</si>
  <si>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</si>
  <si>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</si>
  <si>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</si>
  <si>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</si>
  <si>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</si>
  <si>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</si>
  <si>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</si>
  <si>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</si>
  <si>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</si>
  <si>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</si>
  <si>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</si>
  <si>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</si>
  <si>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</si>
  <si>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</si>
  <si>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</si>
  <si>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</si>
  <si>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</si>
  <si>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</si>
  <si>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</si>
  <si>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</si>
  <si>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</si>
  <si>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</si>
  <si>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</si>
  <si>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</si>
  <si>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</si>
  <si>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</si>
  <si>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</si>
  <si>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</si>
  <si>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</si>
  <si>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</si>
  <si>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</si>
  <si>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</si>
  <si>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</si>
  <si>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</si>
  <si>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</si>
  <si>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</si>
  <si>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</si>
  <si>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</si>
  <si>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</si>
  <si>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</si>
  <si>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</si>
  <si>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</si>
  <si>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</si>
  <si>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</si>
  <si>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</si>
  <si>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</si>
  <si>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</si>
  <si>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</si>
  <si>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</si>
  <si>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</si>
  <si>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</si>
  <si>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</si>
  <si>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</si>
  <si>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</si>
  <si>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</si>
  <si>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</si>
  <si>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</si>
  <si>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</si>
  <si>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</si>
  <si>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</si>
  <si>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</si>
  <si>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</si>
  <si>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</si>
  <si>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</si>
  <si>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</si>
  <si>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Ноградская, д. 16</t>
  </si>
  <si>
    <t>Выписка по лицевому счету по адресу г. Таштагол ул. Ноградская, д. 16</t>
  </si>
  <si>
    <t>2010 год</t>
  </si>
  <si>
    <t>*по состоянию на 01.01.2011 г.</t>
  </si>
  <si>
    <t>на 01.01.2011 г.</t>
  </si>
  <si>
    <t>на начало отчетного периода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</si>
  <si>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</si>
  <si>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</si>
  <si>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</si>
  <si>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</si>
  <si>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</si>
  <si>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</si>
  <si>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</si>
  <si>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</si>
  <si>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</si>
  <si>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</si>
  <si>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</si>
  <si>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</si>
  <si>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</si>
  <si>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</si>
  <si>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</si>
  <si>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</si>
  <si>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</si>
  <si>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</si>
  <si>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</si>
  <si>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</si>
  <si>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</si>
  <si>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</si>
  <si>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Доходы по нежилым помещениям</t>
  </si>
  <si>
    <t>Услуга начисления</t>
  </si>
  <si>
    <t>Расходы по нежилым помещениям</t>
  </si>
  <si>
    <t>Исп. В.В. Колмогорова</t>
  </si>
  <si>
    <t>2012 год</t>
  </si>
  <si>
    <t>*по состоянию на 01.05.2013 г.</t>
  </si>
  <si>
    <t>Тариф по содержанию и тек.ремонту 100 % (9,51 руб.*площадь)</t>
  </si>
  <si>
    <t>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</si>
</sst>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3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7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2" fontId="1" fillId="0" borderId="38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6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" fontId="0" fillId="36" borderId="11" xfId="44" applyNumberFormat="1" applyFont="1" applyFill="1" applyBorder="1" applyAlignment="1" applyProtection="1">
      <alignment/>
      <protection/>
    </xf>
    <xf numFmtId="4" fontId="10" fillId="0" borderId="20" xfId="0" applyNumberFormat="1" applyFont="1" applyFill="1" applyBorder="1" applyAlignment="1">
      <alignment/>
    </xf>
    <xf numFmtId="4" fontId="0" fillId="0" borderId="36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33" borderId="27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0" fontId="1" fillId="0" borderId="3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41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8" borderId="2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35" borderId="31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6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12" fillId="0" borderId="36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2" fillId="0" borderId="45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34" borderId="35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39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1" fillId="0" borderId="40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4" fontId="0" fillId="0" borderId="33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2" fontId="0" fillId="0" borderId="36" xfId="0" applyNumberFormat="1" applyFont="1" applyFill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 wrapText="1"/>
    </xf>
    <xf numFmtId="0" fontId="0" fillId="38" borderId="0" xfId="0" applyFont="1" applyFill="1" applyAlignment="1">
      <alignment/>
    </xf>
    <xf numFmtId="2" fontId="1" fillId="38" borderId="40" xfId="0" applyNumberFormat="1" applyFont="1" applyFill="1" applyBorder="1" applyAlignment="1">
      <alignment horizontal="center" vertical="center" wrapText="1"/>
    </xf>
    <xf numFmtId="2" fontId="1" fillId="38" borderId="38" xfId="0" applyNumberFormat="1" applyFont="1" applyFill="1" applyBorder="1" applyAlignment="1">
      <alignment horizontal="center" vertical="center" wrapText="1"/>
    </xf>
    <xf numFmtId="0" fontId="1" fillId="38" borderId="32" xfId="0" applyFont="1" applyFill="1" applyBorder="1" applyAlignment="1">
      <alignment horizontal="center" vertical="center" wrapText="1"/>
    </xf>
    <xf numFmtId="4" fontId="1" fillId="38" borderId="41" xfId="0" applyNumberFormat="1" applyFont="1" applyFill="1" applyBorder="1" applyAlignment="1">
      <alignment horizontal="right"/>
    </xf>
    <xf numFmtId="0" fontId="0" fillId="38" borderId="11" xfId="0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4" fontId="8" fillId="38" borderId="11" xfId="0" applyNumberFormat="1" applyFont="1" applyFill="1" applyBorder="1" applyAlignment="1">
      <alignment/>
    </xf>
    <xf numFmtId="4" fontId="1" fillId="38" borderId="26" xfId="0" applyNumberFormat="1" applyFont="1" applyFill="1" applyBorder="1" applyAlignment="1">
      <alignment/>
    </xf>
    <xf numFmtId="0" fontId="1" fillId="38" borderId="46" xfId="0" applyFont="1" applyFill="1" applyBorder="1" applyAlignment="1">
      <alignment/>
    </xf>
    <xf numFmtId="4" fontId="1" fillId="38" borderId="48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4" fontId="0" fillId="39" borderId="15" xfId="0" applyNumberFormat="1" applyFont="1" applyFill="1" applyBorder="1" applyAlignment="1">
      <alignment horizontal="center" wrapText="1"/>
    </xf>
    <xf numFmtId="0" fontId="0" fillId="0" borderId="50" xfId="0" applyFont="1" applyFill="1" applyBorder="1" applyAlignment="1">
      <alignment/>
    </xf>
    <xf numFmtId="0" fontId="0" fillId="38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4" fontId="1" fillId="0" borderId="50" xfId="0" applyNumberFormat="1" applyFont="1" applyFill="1" applyBorder="1" applyAlignment="1">
      <alignment horizontal="right"/>
    </xf>
    <xf numFmtId="4" fontId="1" fillId="0" borderId="52" xfId="0" applyNumberFormat="1" applyFont="1" applyFill="1" applyBorder="1" applyAlignment="1">
      <alignment/>
    </xf>
    <xf numFmtId="4" fontId="0" fillId="38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39" borderId="18" xfId="0" applyNumberFormat="1" applyFont="1" applyFill="1" applyBorder="1" applyAlignment="1">
      <alignment horizontal="center" wrapText="1"/>
    </xf>
    <xf numFmtId="4" fontId="2" fillId="0" borderId="53" xfId="34" applyNumberFormat="1" applyFont="1" applyFill="1" applyBorder="1" applyAlignment="1">
      <alignment horizontal="center" vertical="center" wrapText="1"/>
      <protection/>
    </xf>
    <xf numFmtId="4" fontId="2" fillId="34" borderId="54" xfId="0" applyNumberFormat="1" applyFont="1" applyFill="1" applyBorder="1" applyAlignment="1">
      <alignment horizontal="right" wrapText="1"/>
    </xf>
    <xf numFmtId="0" fontId="2" fillId="0" borderId="17" xfId="0" applyFont="1" applyBorder="1" applyAlignment="1">
      <alignment wrapText="1"/>
    </xf>
    <xf numFmtId="0" fontId="2" fillId="0" borderId="55" xfId="0" applyFont="1" applyBorder="1" applyAlignment="1">
      <alignment wrapText="1"/>
    </xf>
    <xf numFmtId="4" fontId="2" fillId="0" borderId="18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4" fontId="2" fillId="35" borderId="18" xfId="0" applyNumberFormat="1" applyFont="1" applyFill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0" fontId="2" fillId="0" borderId="38" xfId="0" applyFont="1" applyBorder="1" applyAlignment="1">
      <alignment wrapText="1"/>
    </xf>
    <xf numFmtId="2" fontId="10" fillId="34" borderId="46" xfId="0" applyNumberFormat="1" applyFont="1" applyFill="1" applyBorder="1" applyAlignment="1">
      <alignment horizontal="center"/>
    </xf>
    <xf numFmtId="4" fontId="0" fillId="34" borderId="46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 horizontal="center"/>
    </xf>
    <xf numFmtId="43" fontId="0" fillId="37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164" fontId="2" fillId="33" borderId="17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/>
    </xf>
    <xf numFmtId="4" fontId="0" fillId="0" borderId="46" xfId="0" applyNumberFormat="1" applyFont="1" applyBorder="1" applyAlignment="1">
      <alignment horizontal="center"/>
    </xf>
    <xf numFmtId="43" fontId="0" fillId="37" borderId="17" xfId="0" applyNumberFormat="1" applyFont="1" applyFill="1" applyBorder="1" applyAlignment="1">
      <alignment horizontal="center"/>
    </xf>
    <xf numFmtId="4" fontId="0" fillId="38" borderId="55" xfId="0" applyNumberFormat="1" applyFont="1" applyFill="1" applyBorder="1" applyAlignment="1">
      <alignment/>
    </xf>
    <xf numFmtId="4" fontId="0" fillId="38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56" xfId="0" applyNumberFormat="1" applyFont="1" applyFill="1" applyBorder="1" applyAlignment="1">
      <alignment horizontal="center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5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7" fillId="34" borderId="58" xfId="0" applyNumberFormat="1" applyFont="1" applyFill="1" applyBorder="1" applyAlignment="1">
      <alignment horizontal="center" vertical="center" wrapText="1"/>
    </xf>
    <xf numFmtId="2" fontId="7" fillId="34" borderId="38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6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36" borderId="38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39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34" borderId="40" xfId="0" applyNumberFormat="1" applyFont="1" applyFill="1" applyBorder="1" applyAlignment="1">
      <alignment horizontal="center" vertical="center" wrapText="1"/>
    </xf>
    <xf numFmtId="4" fontId="1" fillId="34" borderId="58" xfId="0" applyNumberFormat="1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 vertical="center" wrapText="1"/>
    </xf>
    <xf numFmtId="2" fontId="7" fillId="0" borderId="58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0" fontId="1" fillId="40" borderId="66" xfId="0" applyFont="1" applyFill="1" applyBorder="1" applyAlignment="1">
      <alignment horizontal="center" vertical="center" wrapText="1"/>
    </xf>
    <xf numFmtId="0" fontId="1" fillId="40" borderId="68" xfId="0" applyFont="1" applyFill="1" applyBorder="1" applyAlignment="1">
      <alignment horizontal="center" vertical="center" wrapText="1"/>
    </xf>
    <xf numFmtId="0" fontId="1" fillId="40" borderId="69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textRotation="90"/>
    </xf>
    <xf numFmtId="0" fontId="1" fillId="35" borderId="38" xfId="0" applyFont="1" applyFill="1" applyBorder="1" applyAlignment="1">
      <alignment horizontal="center" textRotation="90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0" fontId="1" fillId="40" borderId="67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0" borderId="49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34" borderId="66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70" xfId="0" applyNumberFormat="1" applyFont="1" applyFill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1" fillId="0" borderId="40" xfId="0" applyNumberFormat="1" applyFont="1" applyFill="1" applyBorder="1" applyAlignment="1">
      <alignment horizontal="center" vertical="center" wrapText="1"/>
    </xf>
    <xf numFmtId="2" fontId="11" fillId="0" borderId="38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37" borderId="40" xfId="0" applyNumberFormat="1" applyFont="1" applyFill="1" applyBorder="1" applyAlignment="1">
      <alignment horizontal="center" vertical="center" wrapText="1"/>
    </xf>
    <xf numFmtId="2" fontId="1" fillId="37" borderId="38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2" fontId="1" fillId="0" borderId="38" xfId="0" applyNumberFormat="1" applyFont="1" applyFill="1" applyBorder="1" applyAlignment="1">
      <alignment horizontal="center" vertical="center" textRotation="90" wrapText="1"/>
    </xf>
    <xf numFmtId="2" fontId="1" fillId="0" borderId="46" xfId="0" applyNumberFormat="1" applyFont="1" applyFill="1" applyBorder="1" applyAlignment="1">
      <alignment horizontal="center" vertical="center" textRotation="90" wrapText="1"/>
    </xf>
    <xf numFmtId="2" fontId="1" fillId="0" borderId="48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2;&#1072;&#1082;&#1072;&#1088;&#1077;&#1085;&#1082;&#1086;,%2014%20%20&#1089;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2;&#1072;&#1082;&#1072;&#1088;&#1077;&#1085;&#1082;&#1086;,%202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7">
          <cell r="I7">
            <v>237.30328000000003</v>
          </cell>
        </row>
      </sheetData>
      <sheetData sheetId="1">
        <row r="7">
          <cell r="I7">
            <v>237.30328000000003</v>
          </cell>
          <cell r="O7">
            <v>113.10192</v>
          </cell>
        </row>
      </sheetData>
      <sheetData sheetId="2">
        <row r="7">
          <cell r="I7">
            <v>237.30328000000003</v>
          </cell>
          <cell r="O7">
            <v>113.10192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2 (2)"/>
      <sheetName val="2011 полн"/>
      <sheetName val="2011 печать"/>
    </sheetNames>
    <sheetDataSet>
      <sheetData sheetId="0">
        <row r="44">
          <cell r="AD4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32">
          <cell r="I132">
            <v>318.42</v>
          </cell>
          <cell r="R132">
            <v>229.39</v>
          </cell>
        </row>
        <row r="175">
          <cell r="I175">
            <v>114</v>
          </cell>
          <cell r="R175">
            <v>28.5</v>
          </cell>
        </row>
      </sheetData>
      <sheetData sheetId="1">
        <row r="132">
          <cell r="J132">
            <v>318.42</v>
          </cell>
          <cell r="S132">
            <v>229.39</v>
          </cell>
        </row>
        <row r="175">
          <cell r="J175">
            <v>114</v>
          </cell>
          <cell r="S175">
            <v>28.5</v>
          </cell>
        </row>
      </sheetData>
      <sheetData sheetId="2">
        <row r="132">
          <cell r="J132">
            <v>318.42</v>
          </cell>
          <cell r="S132">
            <v>229.39</v>
          </cell>
        </row>
        <row r="177">
          <cell r="J177">
            <v>114</v>
          </cell>
          <cell r="S177">
            <v>28.5</v>
          </cell>
        </row>
      </sheetData>
      <sheetData sheetId="3">
        <row r="133">
          <cell r="S133">
            <v>229.39</v>
          </cell>
        </row>
        <row r="178">
          <cell r="S178">
            <v>28.5</v>
          </cell>
        </row>
      </sheetData>
      <sheetData sheetId="4">
        <row r="131">
          <cell r="J131">
            <v>318.42</v>
          </cell>
          <cell r="S131">
            <v>229.39</v>
          </cell>
        </row>
        <row r="176">
          <cell r="J176">
            <v>114</v>
          </cell>
          <cell r="S176">
            <v>28.5</v>
          </cell>
        </row>
      </sheetData>
      <sheetData sheetId="5">
        <row r="131">
          <cell r="J131">
            <v>318.42</v>
          </cell>
          <cell r="S131">
            <v>229.39</v>
          </cell>
        </row>
        <row r="176">
          <cell r="J176">
            <v>114</v>
          </cell>
          <cell r="S176">
            <v>28.5</v>
          </cell>
        </row>
      </sheetData>
      <sheetData sheetId="6">
        <row r="131">
          <cell r="J131">
            <v>318.42</v>
          </cell>
          <cell r="S131">
            <v>229.39</v>
          </cell>
        </row>
        <row r="180">
          <cell r="J180">
            <v>114</v>
          </cell>
          <cell r="S180">
            <v>28.5</v>
          </cell>
        </row>
      </sheetData>
      <sheetData sheetId="7">
        <row r="131">
          <cell r="J131">
            <v>318.42</v>
          </cell>
          <cell r="S131">
            <v>229.39</v>
          </cell>
        </row>
        <row r="184">
          <cell r="J184">
            <v>114</v>
          </cell>
          <cell r="S184">
            <v>28.5</v>
          </cell>
        </row>
      </sheetData>
      <sheetData sheetId="8">
        <row r="131">
          <cell r="J131">
            <v>318.42</v>
          </cell>
        </row>
        <row r="184">
          <cell r="J184">
            <v>114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33">
          <cell r="J133">
            <v>318.42</v>
          </cell>
        </row>
        <row r="178">
          <cell r="J178">
            <v>114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31">
          <cell r="J131">
            <v>318.42</v>
          </cell>
        </row>
        <row r="184">
          <cell r="J184">
            <v>114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131">
          <cell r="S131">
            <v>229.39</v>
          </cell>
        </row>
        <row r="184">
          <cell r="S184">
            <v>28.5</v>
          </cell>
        </row>
      </sheetData>
      <sheetData sheetId="10">
        <row r="131">
          <cell r="J131">
            <v>318.42</v>
          </cell>
          <cell r="S131">
            <v>229.39</v>
          </cell>
        </row>
        <row r="184">
          <cell r="J184">
            <v>114</v>
          </cell>
          <cell r="S184">
            <v>28.5</v>
          </cell>
        </row>
      </sheetData>
      <sheetData sheetId="11">
        <row r="131">
          <cell r="J131">
            <v>318.42</v>
          </cell>
          <cell r="S131">
            <v>229.39</v>
          </cell>
        </row>
        <row r="208">
          <cell r="J208">
            <v>114</v>
          </cell>
          <cell r="S208">
            <v>28.5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180">
          <cell r="F180">
            <v>800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103">
          <cell r="J103">
            <v>407.45000000000005</v>
          </cell>
          <cell r="S103">
            <v>229.39</v>
          </cell>
        </row>
        <row r="206">
          <cell r="J206">
            <v>114</v>
          </cell>
          <cell r="S206">
            <v>28.5</v>
          </cell>
        </row>
      </sheetData>
      <sheetData sheetId="4">
        <row r="104">
          <cell r="J104">
            <v>407.45000000000005</v>
          </cell>
          <cell r="S104">
            <v>229.39</v>
          </cell>
        </row>
        <row r="213">
          <cell r="J213">
            <v>114</v>
          </cell>
          <cell r="S213">
            <v>28.5</v>
          </cell>
        </row>
      </sheetData>
      <sheetData sheetId="5">
        <row r="104">
          <cell r="J104">
            <v>407.45000000000005</v>
          </cell>
          <cell r="S104">
            <v>229.39</v>
          </cell>
        </row>
        <row r="244">
          <cell r="J244">
            <v>114</v>
          </cell>
          <cell r="S244">
            <v>28.5</v>
          </cell>
        </row>
      </sheetData>
      <sheetData sheetId="6">
        <row r="106">
          <cell r="J106">
            <v>407.45000000000005</v>
          </cell>
          <cell r="S106">
            <v>229.39</v>
          </cell>
        </row>
        <row r="246">
          <cell r="J246">
            <v>114</v>
          </cell>
          <cell r="S246">
            <v>28.5</v>
          </cell>
        </row>
      </sheetData>
      <sheetData sheetId="7">
        <row r="106">
          <cell r="J106">
            <v>407.45000000000005</v>
          </cell>
          <cell r="S106">
            <v>229.39</v>
          </cell>
        </row>
        <row r="246">
          <cell r="J246">
            <v>114</v>
          </cell>
          <cell r="S246">
            <v>28.5</v>
          </cell>
        </row>
        <row r="305">
          <cell r="J305">
            <v>1800</v>
          </cell>
          <cell r="S305">
            <v>450</v>
          </cell>
        </row>
      </sheetData>
      <sheetData sheetId="8">
        <row r="106">
          <cell r="J106">
            <v>407.45000000000005</v>
          </cell>
          <cell r="S106">
            <v>229.39</v>
          </cell>
        </row>
        <row r="246">
          <cell r="J246">
            <v>114</v>
          </cell>
          <cell r="S246">
            <v>28.5</v>
          </cell>
        </row>
        <row r="305">
          <cell r="J305">
            <v>600</v>
          </cell>
          <cell r="S305">
            <v>150</v>
          </cell>
        </row>
      </sheetData>
      <sheetData sheetId="9">
        <row r="105">
          <cell r="J105">
            <v>407.45000000000005</v>
          </cell>
          <cell r="S105">
            <v>229.39</v>
          </cell>
        </row>
        <row r="245">
          <cell r="J245">
            <v>114</v>
          </cell>
          <cell r="S245">
            <v>28.5</v>
          </cell>
        </row>
        <row r="304">
          <cell r="J304">
            <v>600</v>
          </cell>
          <cell r="S304">
            <v>150</v>
          </cell>
        </row>
      </sheetData>
      <sheetData sheetId="10">
        <row r="105">
          <cell r="J105">
            <v>407.45000000000005</v>
          </cell>
          <cell r="S105">
            <v>229.39</v>
          </cell>
        </row>
        <row r="247">
          <cell r="J247">
            <v>114</v>
          </cell>
          <cell r="S247">
            <v>28.5</v>
          </cell>
        </row>
        <row r="306">
          <cell r="J306">
            <v>600</v>
          </cell>
          <cell r="S306">
            <v>150</v>
          </cell>
        </row>
      </sheetData>
      <sheetData sheetId="11">
        <row r="105">
          <cell r="J105">
            <v>407.45000000000005</v>
          </cell>
          <cell r="S105">
            <v>229.39</v>
          </cell>
        </row>
        <row r="249">
          <cell r="J249">
            <v>114</v>
          </cell>
          <cell r="S249">
            <v>28.5</v>
          </cell>
        </row>
        <row r="308">
          <cell r="J308">
            <v>600</v>
          </cell>
          <cell r="S308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7">
          <cell r="I7">
            <v>237.30328000000003</v>
          </cell>
        </row>
      </sheetData>
      <sheetData sheetId="1">
        <row r="7">
          <cell r="I7">
            <v>237.30328000000003</v>
          </cell>
        </row>
      </sheetData>
      <sheetData sheetId="6">
        <row r="7">
          <cell r="I7">
            <v>237.30328000000003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7">
          <cell r="O7">
            <v>100.87346672000002</v>
          </cell>
        </row>
      </sheetData>
      <sheetData sheetId="1">
        <row r="7">
          <cell r="O7">
            <v>101.03692032000002</v>
          </cell>
        </row>
      </sheetData>
      <sheetData sheetId="2">
        <row r="7">
          <cell r="O7">
            <v>98.91772056</v>
          </cell>
        </row>
      </sheetData>
      <sheetData sheetId="3">
        <row r="7">
          <cell r="I7">
            <v>237.30328000000003</v>
          </cell>
          <cell r="O7">
            <v>101.73987936000002</v>
          </cell>
        </row>
      </sheetData>
      <sheetData sheetId="4">
        <row r="7">
          <cell r="O7">
            <v>113.55407806400001</v>
          </cell>
        </row>
      </sheetData>
      <sheetData sheetId="5">
        <row r="7">
          <cell r="I7">
            <v>237.30328000000003</v>
          </cell>
          <cell r="O7">
            <v>107.51826384000002</v>
          </cell>
        </row>
      </sheetData>
      <sheetData sheetId="6">
        <row r="7">
          <cell r="O7">
            <v>112.13516016000003</v>
          </cell>
        </row>
      </sheetData>
      <sheetData sheetId="7">
        <row r="7">
          <cell r="O7">
            <v>112.08420964800001</v>
          </cell>
        </row>
      </sheetData>
      <sheetData sheetId="8">
        <row r="7">
          <cell r="O7">
            <v>112.0672575792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7">
          <cell r="O7">
            <v>112.932736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7">
          <cell r="I7">
            <v>237.30328000000003</v>
          </cell>
        </row>
      </sheetData>
      <sheetData sheetId="2">
        <row r="7">
          <cell r="M7">
            <v>112.968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7">
          <cell r="I7">
            <v>237.30328000000003</v>
          </cell>
          <cell r="M7">
            <v>112.968</v>
          </cell>
        </row>
      </sheetData>
      <sheetData sheetId="5">
        <row r="7">
          <cell r="M7">
            <v>112.968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A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306" t="s">
        <v>89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307" t="s">
        <v>0</v>
      </c>
      <c r="B3" s="310" t="s">
        <v>1</v>
      </c>
      <c r="C3" s="310" t="s">
        <v>2</v>
      </c>
      <c r="D3" s="310" t="s">
        <v>3</v>
      </c>
      <c r="E3" s="313" t="s">
        <v>4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30" t="s">
        <v>5</v>
      </c>
      <c r="T3" s="330"/>
      <c r="U3" s="331" t="s">
        <v>6</v>
      </c>
      <c r="V3" s="331"/>
      <c r="W3" s="331"/>
      <c r="X3" s="331"/>
      <c r="Y3" s="331"/>
      <c r="Z3" s="331"/>
      <c r="AA3" s="331"/>
      <c r="AB3" s="331"/>
      <c r="AC3" s="333" t="s">
        <v>87</v>
      </c>
      <c r="AD3" s="333" t="s">
        <v>8</v>
      </c>
      <c r="AE3" s="336" t="s">
        <v>9</v>
      </c>
      <c r="AF3" s="343" t="s">
        <v>75</v>
      </c>
      <c r="AG3" s="346" t="s">
        <v>10</v>
      </c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22" t="s">
        <v>76</v>
      </c>
      <c r="BD3" s="327" t="s">
        <v>11</v>
      </c>
      <c r="BE3" s="315" t="s">
        <v>12</v>
      </c>
    </row>
    <row r="4" spans="1:57" ht="36" customHeight="1" thickBot="1">
      <c r="A4" s="308"/>
      <c r="B4" s="311"/>
      <c r="C4" s="311"/>
      <c r="D4" s="311"/>
      <c r="E4" s="314" t="s">
        <v>13</v>
      </c>
      <c r="F4" s="314"/>
      <c r="G4" s="314" t="s">
        <v>14</v>
      </c>
      <c r="H4" s="314"/>
      <c r="I4" s="314" t="s">
        <v>15</v>
      </c>
      <c r="J4" s="314"/>
      <c r="K4" s="314" t="s">
        <v>16</v>
      </c>
      <c r="L4" s="314"/>
      <c r="M4" s="314" t="s">
        <v>17</v>
      </c>
      <c r="N4" s="314"/>
      <c r="O4" s="314" t="s">
        <v>18</v>
      </c>
      <c r="P4" s="314"/>
      <c r="Q4" s="314" t="s">
        <v>19</v>
      </c>
      <c r="R4" s="314"/>
      <c r="S4" s="314"/>
      <c r="T4" s="314"/>
      <c r="U4" s="332"/>
      <c r="V4" s="332"/>
      <c r="W4" s="332"/>
      <c r="X4" s="332"/>
      <c r="Y4" s="332"/>
      <c r="Z4" s="332"/>
      <c r="AA4" s="332"/>
      <c r="AB4" s="332"/>
      <c r="AC4" s="334"/>
      <c r="AD4" s="334"/>
      <c r="AE4" s="337"/>
      <c r="AF4" s="344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23"/>
      <c r="BD4" s="328"/>
      <c r="BE4" s="316"/>
    </row>
    <row r="5" spans="1:57" ht="29.25" customHeight="1" thickBot="1">
      <c r="A5" s="308"/>
      <c r="B5" s="311"/>
      <c r="C5" s="311"/>
      <c r="D5" s="311"/>
      <c r="E5" s="325" t="s">
        <v>20</v>
      </c>
      <c r="F5" s="325" t="s">
        <v>21</v>
      </c>
      <c r="G5" s="325" t="s">
        <v>20</v>
      </c>
      <c r="H5" s="325" t="s">
        <v>21</v>
      </c>
      <c r="I5" s="325" t="s">
        <v>20</v>
      </c>
      <c r="J5" s="325" t="s">
        <v>21</v>
      </c>
      <c r="K5" s="325" t="s">
        <v>20</v>
      </c>
      <c r="L5" s="325" t="s">
        <v>21</v>
      </c>
      <c r="M5" s="325" t="s">
        <v>20</v>
      </c>
      <c r="N5" s="325" t="s">
        <v>21</v>
      </c>
      <c r="O5" s="325" t="s">
        <v>20</v>
      </c>
      <c r="P5" s="325" t="s">
        <v>21</v>
      </c>
      <c r="Q5" s="325" t="s">
        <v>20</v>
      </c>
      <c r="R5" s="325" t="s">
        <v>21</v>
      </c>
      <c r="S5" s="325" t="s">
        <v>20</v>
      </c>
      <c r="T5" s="325" t="s">
        <v>21</v>
      </c>
      <c r="U5" s="339" t="s">
        <v>22</v>
      </c>
      <c r="V5" s="339" t="s">
        <v>23</v>
      </c>
      <c r="W5" s="339" t="s">
        <v>24</v>
      </c>
      <c r="X5" s="339" t="s">
        <v>25</v>
      </c>
      <c r="Y5" s="339" t="s">
        <v>26</v>
      </c>
      <c r="Z5" s="339" t="s">
        <v>27</v>
      </c>
      <c r="AA5" s="339" t="s">
        <v>28</v>
      </c>
      <c r="AB5" s="339" t="s">
        <v>29</v>
      </c>
      <c r="AC5" s="334"/>
      <c r="AD5" s="334"/>
      <c r="AE5" s="337"/>
      <c r="AF5" s="344"/>
      <c r="AG5" s="318" t="s">
        <v>30</v>
      </c>
      <c r="AH5" s="318" t="s">
        <v>31</v>
      </c>
      <c r="AI5" s="318" t="s">
        <v>32</v>
      </c>
      <c r="AJ5" s="318" t="s">
        <v>33</v>
      </c>
      <c r="AK5" s="318" t="s">
        <v>34</v>
      </c>
      <c r="AL5" s="318" t="s">
        <v>33</v>
      </c>
      <c r="AM5" s="318" t="s">
        <v>35</v>
      </c>
      <c r="AN5" s="318" t="s">
        <v>33</v>
      </c>
      <c r="AO5" s="318" t="s">
        <v>36</v>
      </c>
      <c r="AP5" s="318" t="s">
        <v>33</v>
      </c>
      <c r="AQ5" s="350" t="s">
        <v>80</v>
      </c>
      <c r="AR5" s="352" t="s">
        <v>33</v>
      </c>
      <c r="AS5" s="320" t="s">
        <v>81</v>
      </c>
      <c r="AT5" s="341" t="s">
        <v>82</v>
      </c>
      <c r="AU5" s="341" t="s">
        <v>33</v>
      </c>
      <c r="AV5" s="347" t="s">
        <v>83</v>
      </c>
      <c r="AW5" s="348"/>
      <c r="AX5" s="349"/>
      <c r="AY5" s="318" t="s">
        <v>19</v>
      </c>
      <c r="AZ5" s="318" t="s">
        <v>38</v>
      </c>
      <c r="BA5" s="318" t="s">
        <v>33</v>
      </c>
      <c r="BB5" s="318" t="s">
        <v>39</v>
      </c>
      <c r="BC5" s="323"/>
      <c r="BD5" s="328"/>
      <c r="BE5" s="316"/>
    </row>
    <row r="6" spans="1:57" ht="54" customHeight="1" thickBot="1">
      <c r="A6" s="309"/>
      <c r="B6" s="312"/>
      <c r="C6" s="312"/>
      <c r="D6" s="312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40"/>
      <c r="V6" s="340"/>
      <c r="W6" s="340"/>
      <c r="X6" s="340"/>
      <c r="Y6" s="340"/>
      <c r="Z6" s="340"/>
      <c r="AA6" s="340"/>
      <c r="AB6" s="340"/>
      <c r="AC6" s="335"/>
      <c r="AD6" s="335"/>
      <c r="AE6" s="338"/>
      <c r="AF6" s="345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51"/>
      <c r="AR6" s="353"/>
      <c r="AS6" s="321"/>
      <c r="AT6" s="342"/>
      <c r="AU6" s="342"/>
      <c r="AV6" s="116" t="s">
        <v>84</v>
      </c>
      <c r="AW6" s="116" t="s">
        <v>85</v>
      </c>
      <c r="AX6" s="116" t="s">
        <v>86</v>
      </c>
      <c r="AY6" s="319"/>
      <c r="AZ6" s="319"/>
      <c r="BA6" s="319"/>
      <c r="BB6" s="319"/>
      <c r="BC6" s="324"/>
      <c r="BD6" s="329"/>
      <c r="BE6" s="317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100">
        <v>3684.8</v>
      </c>
      <c r="C9" s="101">
        <f>B9*8.65</f>
        <v>31873.520000000004</v>
      </c>
      <c r="D9" s="102">
        <f>C9*0.24088</f>
        <v>7677.693497600001</v>
      </c>
      <c r="E9" s="103">
        <v>2606.93</v>
      </c>
      <c r="F9" s="103">
        <v>455.86</v>
      </c>
      <c r="G9" s="103">
        <v>3519.38</v>
      </c>
      <c r="H9" s="103">
        <v>615.44</v>
      </c>
      <c r="I9" s="103">
        <v>8472.56</v>
      </c>
      <c r="J9" s="103">
        <v>1481.55</v>
      </c>
      <c r="K9" s="103">
        <v>5865.65</v>
      </c>
      <c r="L9" s="103">
        <v>1025.69</v>
      </c>
      <c r="M9" s="103">
        <v>2085.58</v>
      </c>
      <c r="N9" s="103">
        <v>364.69</v>
      </c>
      <c r="O9" s="103">
        <v>0</v>
      </c>
      <c r="P9" s="103">
        <v>0</v>
      </c>
      <c r="Q9" s="103">
        <v>0</v>
      </c>
      <c r="R9" s="103">
        <v>0</v>
      </c>
      <c r="S9" s="87">
        <f>E9+G9+I9+K9+M9+O9+Q9</f>
        <v>22550.1</v>
      </c>
      <c r="T9" s="104">
        <f>P9+N9+L9+J9+H9+F9+R9</f>
        <v>3943.2300000000005</v>
      </c>
      <c r="U9" s="87">
        <v>57.06</v>
      </c>
      <c r="V9" s="87">
        <v>77.02</v>
      </c>
      <c r="W9" s="87">
        <v>185.44</v>
      </c>
      <c r="X9" s="87">
        <v>128.38</v>
      </c>
      <c r="Y9" s="87">
        <v>45.65</v>
      </c>
      <c r="Z9" s="105">
        <v>0</v>
      </c>
      <c r="AA9" s="105">
        <v>0</v>
      </c>
      <c r="AB9" s="105">
        <f>SUM(U9:AA9)</f>
        <v>493.54999999999995</v>
      </c>
      <c r="AC9" s="106">
        <f>D9+T9+AB9</f>
        <v>12114.4734976</v>
      </c>
      <c r="AD9" s="107">
        <f>P9+Z9</f>
        <v>0</v>
      </c>
      <c r="AE9" s="98">
        <f>R9+AA9</f>
        <v>0</v>
      </c>
      <c r="AF9" s="98"/>
      <c r="AG9" s="16">
        <f>0.6*B9</f>
        <v>2210.88</v>
      </c>
      <c r="AH9" s="16">
        <f>B9*0.2*1.05826</f>
        <v>779.8952896000001</v>
      </c>
      <c r="AI9" s="16">
        <f>0.8518*B9-0.01</f>
        <v>3138.70264</v>
      </c>
      <c r="AJ9" s="16">
        <f>AI9*0.18</f>
        <v>564.9664752</v>
      </c>
      <c r="AK9" s="16">
        <f>1.04*B9*0.9531</f>
        <v>3652.4621952</v>
      </c>
      <c r="AL9" s="16">
        <f>AK9*0.18</f>
        <v>657.443195136</v>
      </c>
      <c r="AM9" s="16">
        <f>(1.91)*B9*0.9531</f>
        <v>6707.887300799999</v>
      </c>
      <c r="AN9" s="16">
        <f>AM9*0.18</f>
        <v>1207.4197141439997</v>
      </c>
      <c r="AO9" s="16"/>
      <c r="AP9" s="16">
        <f>AO9*0.18</f>
        <v>0</v>
      </c>
      <c r="AQ9" s="16"/>
      <c r="AR9" s="16"/>
      <c r="AS9" s="93">
        <v>545</v>
      </c>
      <c r="AT9" s="93"/>
      <c r="AU9" s="48">
        <f>AS9*0.18</f>
        <v>98.1</v>
      </c>
      <c r="AV9" s="48"/>
      <c r="AW9" s="48"/>
      <c r="AX9" s="31">
        <v>0</v>
      </c>
      <c r="AY9" s="31">
        <v>0</v>
      </c>
      <c r="AZ9" s="31">
        <v>0</v>
      </c>
      <c r="BA9" s="14">
        <f aca="true" t="shared" si="0" ref="BA9:BA25">AZ9*0.18</f>
        <v>0</v>
      </c>
      <c r="BB9" s="14">
        <f>SUM(AG9:BA9)</f>
        <v>19562.756810079994</v>
      </c>
      <c r="BC9" s="14">
        <v>0</v>
      </c>
      <c r="BD9" s="14">
        <f>AC9-BB9</f>
        <v>-7448.2833124799945</v>
      </c>
      <c r="BE9" s="30">
        <f>AB9-S9</f>
        <v>-22056.55</v>
      </c>
    </row>
    <row r="10" spans="1:57" ht="12.75" hidden="1">
      <c r="A10" s="11" t="s">
        <v>42</v>
      </c>
      <c r="B10" s="100">
        <v>3684.8</v>
      </c>
      <c r="C10" s="101">
        <f>B10*8.65</f>
        <v>31873.520000000004</v>
      </c>
      <c r="D10" s="102">
        <f>C10*0.24088</f>
        <v>7677.693497600001</v>
      </c>
      <c r="E10" s="103">
        <v>2454.97</v>
      </c>
      <c r="F10" s="103">
        <v>440.03</v>
      </c>
      <c r="G10" s="103">
        <v>3314.24</v>
      </c>
      <c r="H10" s="103">
        <v>594.03</v>
      </c>
      <c r="I10" s="103">
        <v>7978.67</v>
      </c>
      <c r="J10" s="103">
        <v>1429.98</v>
      </c>
      <c r="K10" s="103">
        <v>5523.77</v>
      </c>
      <c r="L10" s="103">
        <v>989.97</v>
      </c>
      <c r="M10" s="103">
        <v>1964.08</v>
      </c>
      <c r="N10" s="103">
        <v>351.99</v>
      </c>
      <c r="O10" s="103">
        <v>0</v>
      </c>
      <c r="P10" s="103">
        <v>0</v>
      </c>
      <c r="Q10" s="87">
        <v>0</v>
      </c>
      <c r="R10" s="87">
        <v>0</v>
      </c>
      <c r="S10" s="87">
        <f>E10+G10+I10+K10+M10+O10+Q10</f>
        <v>21235.730000000003</v>
      </c>
      <c r="T10" s="104">
        <f>P10+N10+L10+J10+H10+F10+R10</f>
        <v>3806</v>
      </c>
      <c r="U10" s="87">
        <v>1953.32</v>
      </c>
      <c r="V10" s="87">
        <v>2636.99</v>
      </c>
      <c r="W10" s="87">
        <v>6479.48</v>
      </c>
      <c r="X10" s="87">
        <v>4395</v>
      </c>
      <c r="Y10" s="87">
        <v>1562.71</v>
      </c>
      <c r="Z10" s="105">
        <v>0</v>
      </c>
      <c r="AA10" s="105">
        <v>0</v>
      </c>
      <c r="AB10" s="108">
        <f>SUM(U10:AA10)</f>
        <v>17027.5</v>
      </c>
      <c r="AC10" s="109">
        <f>D10+T10+AB10</f>
        <v>28511.1934976</v>
      </c>
      <c r="AD10" s="98">
        <f>P10+Z10</f>
        <v>0</v>
      </c>
      <c r="AE10" s="98">
        <f>R10+AA10</f>
        <v>0</v>
      </c>
      <c r="AF10" s="98"/>
      <c r="AG10" s="16">
        <f>0.6*B10</f>
        <v>2210.88</v>
      </c>
      <c r="AH10" s="16">
        <f>B10*0.201</f>
        <v>740.6448</v>
      </c>
      <c r="AI10" s="16">
        <f>0.8518*B10-0.01</f>
        <v>3138.70264</v>
      </c>
      <c r="AJ10" s="16">
        <f>AI10*0.18</f>
        <v>564.9664752</v>
      </c>
      <c r="AK10" s="16">
        <f>1.04*B10*0.9531</f>
        <v>3652.4621952</v>
      </c>
      <c r="AL10" s="16">
        <f>AK10*0.18</f>
        <v>657.443195136</v>
      </c>
      <c r="AM10" s="16">
        <f>(1.91)*B10*0.9531</f>
        <v>6707.887300799999</v>
      </c>
      <c r="AN10" s="16">
        <f>AM10*0.18</f>
        <v>1207.4197141439997</v>
      </c>
      <c r="AO10" s="16">
        <v>4820.04</v>
      </c>
      <c r="AP10" s="16">
        <f>AO10*0.18</f>
        <v>867.6071999999999</v>
      </c>
      <c r="AQ10" s="16"/>
      <c r="AR10" s="16"/>
      <c r="AS10" s="93">
        <v>3907</v>
      </c>
      <c r="AT10" s="93"/>
      <c r="AU10" s="48">
        <f>AS10*0.18</f>
        <v>703.26</v>
      </c>
      <c r="AV10" s="48"/>
      <c r="AW10" s="48"/>
      <c r="AX10" s="31">
        <v>0</v>
      </c>
      <c r="AY10" s="31">
        <v>0</v>
      </c>
      <c r="AZ10" s="31">
        <v>0</v>
      </c>
      <c r="BA10" s="14">
        <f t="shared" si="0"/>
        <v>0</v>
      </c>
      <c r="BB10" s="14">
        <f>SUM(AG10:BA10)</f>
        <v>29178.31352048</v>
      </c>
      <c r="BC10" s="14">
        <v>0</v>
      </c>
      <c r="BD10" s="14">
        <f>AC10-BB10</f>
        <v>-667.1200228799971</v>
      </c>
      <c r="BE10" s="30">
        <f>AB10-S10</f>
        <v>-4208.230000000003</v>
      </c>
    </row>
    <row r="11" spans="1:57" ht="12.75" hidden="1">
      <c r="A11" s="11" t="s">
        <v>43</v>
      </c>
      <c r="B11" s="100">
        <v>3684.8</v>
      </c>
      <c r="C11" s="101">
        <f>B11*8.65</f>
        <v>31873.520000000004</v>
      </c>
      <c r="D11" s="102">
        <f>C11*0.24035</f>
        <v>7660.800532000001</v>
      </c>
      <c r="E11" s="103">
        <v>2494.74</v>
      </c>
      <c r="F11" s="103">
        <v>447.35</v>
      </c>
      <c r="G11" s="103">
        <v>3367.9</v>
      </c>
      <c r="H11" s="103">
        <v>603.94</v>
      </c>
      <c r="I11" s="103">
        <v>8107.85</v>
      </c>
      <c r="J11" s="103">
        <v>1453.85</v>
      </c>
      <c r="K11" s="103">
        <v>5613.17</v>
      </c>
      <c r="L11" s="103">
        <v>1006.51</v>
      </c>
      <c r="M11" s="103">
        <v>1995.83</v>
      </c>
      <c r="N11" s="103">
        <v>357.87</v>
      </c>
      <c r="O11" s="103">
        <v>0</v>
      </c>
      <c r="P11" s="110">
        <v>0</v>
      </c>
      <c r="Q11" s="103">
        <v>0</v>
      </c>
      <c r="R11" s="110">
        <v>0</v>
      </c>
      <c r="S11" s="87">
        <f>E11+G11+I11+K11+M11+O11+Q11</f>
        <v>21579.489999999998</v>
      </c>
      <c r="T11" s="104">
        <f>P11+N11+L11+J11+H11+F11+R11</f>
        <v>3869.52</v>
      </c>
      <c r="U11" s="87">
        <v>2812.59</v>
      </c>
      <c r="V11" s="87">
        <v>3796.91</v>
      </c>
      <c r="W11" s="87">
        <v>9009.5</v>
      </c>
      <c r="X11" s="87">
        <v>6328.21</v>
      </c>
      <c r="Y11" s="87">
        <v>2250.12</v>
      </c>
      <c r="Z11" s="105">
        <v>0</v>
      </c>
      <c r="AA11" s="105">
        <v>0</v>
      </c>
      <c r="AB11" s="108">
        <f>SUM(U11:AA11)</f>
        <v>24197.329999999998</v>
      </c>
      <c r="AC11" s="109">
        <f>D11+T11+AB11</f>
        <v>35727.650532</v>
      </c>
      <c r="AD11" s="98">
        <f>P11+Z11</f>
        <v>0</v>
      </c>
      <c r="AE11" s="98">
        <f>R11+AA11</f>
        <v>0</v>
      </c>
      <c r="AF11" s="98"/>
      <c r="AG11" s="16">
        <f>0.6*B11</f>
        <v>2210.88</v>
      </c>
      <c r="AH11" s="16">
        <f>B11*0.2*1.02524</f>
        <v>755.5608704</v>
      </c>
      <c r="AI11" s="16">
        <f>0.84932*B11</f>
        <v>3129.574336</v>
      </c>
      <c r="AJ11" s="16">
        <f>AI11*0.18</f>
        <v>563.32338048</v>
      </c>
      <c r="AK11" s="16">
        <f>1.04*B11*0.95033</f>
        <v>3641.8470233600005</v>
      </c>
      <c r="AL11" s="16">
        <f>AK11*0.18</f>
        <v>655.5324642048</v>
      </c>
      <c r="AM11" s="16">
        <f>(1.91)*B11*0.95033</f>
        <v>6688.39212944</v>
      </c>
      <c r="AN11" s="16">
        <f>AM11*0.18</f>
        <v>1203.9105832992</v>
      </c>
      <c r="AO11" s="16"/>
      <c r="AP11" s="16">
        <f>AO11*0.18</f>
        <v>0</v>
      </c>
      <c r="AQ11" s="16"/>
      <c r="AR11" s="16"/>
      <c r="AS11" s="93">
        <v>4990</v>
      </c>
      <c r="AT11" s="93"/>
      <c r="AU11" s="48">
        <f>AS11*0.18</f>
        <v>898.1999999999999</v>
      </c>
      <c r="AV11" s="48"/>
      <c r="AW11" s="48"/>
      <c r="AX11" s="31">
        <v>0</v>
      </c>
      <c r="AY11" s="31">
        <v>0</v>
      </c>
      <c r="AZ11" s="31">
        <v>0</v>
      </c>
      <c r="BA11" s="14">
        <f t="shared" si="0"/>
        <v>0</v>
      </c>
      <c r="BB11" s="14">
        <f>SUM(AG11:BA11)</f>
        <v>24737.220787184</v>
      </c>
      <c r="BC11" s="14">
        <v>0</v>
      </c>
      <c r="BD11" s="14">
        <f>AC11-BB11</f>
        <v>10990.429744816</v>
      </c>
      <c r="BE11" s="30">
        <f>AB11-S11</f>
        <v>2617.84</v>
      </c>
    </row>
    <row r="12" spans="1:57" s="20" customFormat="1" ht="15" customHeight="1" hidden="1">
      <c r="A12" s="17" t="s">
        <v>5</v>
      </c>
      <c r="B12" s="60"/>
      <c r="C12" s="60">
        <f aca="true" t="shared" si="1" ref="C12:BE12">SUM(C9:C11)</f>
        <v>95620.56000000001</v>
      </c>
      <c r="D12" s="60">
        <f t="shared" si="1"/>
        <v>23016.187527200003</v>
      </c>
      <c r="E12" s="57">
        <f>SUM(E9:E11)</f>
        <v>7556.639999999999</v>
      </c>
      <c r="F12" s="57">
        <f t="shared" si="1"/>
        <v>1343.24</v>
      </c>
      <c r="G12" s="57">
        <f t="shared" si="1"/>
        <v>10201.52</v>
      </c>
      <c r="H12" s="57">
        <f t="shared" si="1"/>
        <v>1813.41</v>
      </c>
      <c r="I12" s="57">
        <f t="shared" si="1"/>
        <v>24559.08</v>
      </c>
      <c r="J12" s="57">
        <f t="shared" si="1"/>
        <v>4365.379999999999</v>
      </c>
      <c r="K12" s="57">
        <f t="shared" si="1"/>
        <v>17002.59</v>
      </c>
      <c r="L12" s="57">
        <f t="shared" si="1"/>
        <v>3022.17</v>
      </c>
      <c r="M12" s="57">
        <f t="shared" si="1"/>
        <v>6045.49</v>
      </c>
      <c r="N12" s="57">
        <f t="shared" si="1"/>
        <v>1074.5500000000002</v>
      </c>
      <c r="O12" s="57">
        <f t="shared" si="1"/>
        <v>0</v>
      </c>
      <c r="P12" s="57">
        <f t="shared" si="1"/>
        <v>0</v>
      </c>
      <c r="Q12" s="57">
        <f t="shared" si="1"/>
        <v>0</v>
      </c>
      <c r="R12" s="57">
        <f t="shared" si="1"/>
        <v>0</v>
      </c>
      <c r="S12" s="57">
        <f t="shared" si="1"/>
        <v>65365.32</v>
      </c>
      <c r="T12" s="57">
        <f t="shared" si="1"/>
        <v>11618.75</v>
      </c>
      <c r="U12" s="61">
        <f t="shared" si="1"/>
        <v>4822.97</v>
      </c>
      <c r="V12" s="61">
        <f t="shared" si="1"/>
        <v>6510.92</v>
      </c>
      <c r="W12" s="61">
        <f t="shared" si="1"/>
        <v>15674.419999999998</v>
      </c>
      <c r="X12" s="61">
        <f t="shared" si="1"/>
        <v>10851.59</v>
      </c>
      <c r="Y12" s="61">
        <f t="shared" si="1"/>
        <v>3858.48</v>
      </c>
      <c r="Z12" s="61">
        <f t="shared" si="1"/>
        <v>0</v>
      </c>
      <c r="AA12" s="61">
        <f t="shared" si="1"/>
        <v>0</v>
      </c>
      <c r="AB12" s="61">
        <f t="shared" si="1"/>
        <v>41718.38</v>
      </c>
      <c r="AC12" s="61">
        <f t="shared" si="1"/>
        <v>76353.31752720001</v>
      </c>
      <c r="AD12" s="61">
        <f>SUM(AD9:AD11)</f>
        <v>0</v>
      </c>
      <c r="AE12" s="96">
        <f t="shared" si="1"/>
        <v>0</v>
      </c>
      <c r="AF12" s="96">
        <f t="shared" si="1"/>
        <v>0</v>
      </c>
      <c r="AG12" s="18">
        <f t="shared" si="1"/>
        <v>6632.64</v>
      </c>
      <c r="AH12" s="18">
        <f t="shared" si="1"/>
        <v>2276.10096</v>
      </c>
      <c r="AI12" s="18">
        <f t="shared" si="1"/>
        <v>9406.979616</v>
      </c>
      <c r="AJ12" s="18">
        <f t="shared" si="1"/>
        <v>1693.25633088</v>
      </c>
      <c r="AK12" s="18">
        <f t="shared" si="1"/>
        <v>10946.771413760001</v>
      </c>
      <c r="AL12" s="18">
        <f t="shared" si="1"/>
        <v>1970.4188544767999</v>
      </c>
      <c r="AM12" s="18">
        <f>SUM(AM9:AM11)</f>
        <v>20104.166731039997</v>
      </c>
      <c r="AN12" s="18">
        <f>SUM(AN9:AN11)</f>
        <v>3618.7500115871994</v>
      </c>
      <c r="AO12" s="18">
        <f t="shared" si="1"/>
        <v>4820.04</v>
      </c>
      <c r="AP12" s="18">
        <f t="shared" si="1"/>
        <v>867.6071999999999</v>
      </c>
      <c r="AQ12" s="18">
        <f>SUM(AQ9:AQ11)</f>
        <v>0</v>
      </c>
      <c r="AR12" s="18">
        <f>SUM(AR9:AR11)</f>
        <v>0</v>
      </c>
      <c r="AS12" s="18">
        <f>SUM(AS9:AS11)</f>
        <v>9442</v>
      </c>
      <c r="AT12" s="18">
        <f>SUM(AT9:AT11)</f>
        <v>0</v>
      </c>
      <c r="AU12" s="18">
        <f>SUM(AU9:AU11)</f>
        <v>1699.56</v>
      </c>
      <c r="AV12" s="18"/>
      <c r="AW12" s="18"/>
      <c r="AX12" s="18">
        <f t="shared" si="1"/>
        <v>0</v>
      </c>
      <c r="AY12" s="18">
        <f t="shared" si="1"/>
        <v>0</v>
      </c>
      <c r="AZ12" s="18">
        <f t="shared" si="1"/>
        <v>0</v>
      </c>
      <c r="BA12" s="18">
        <f t="shared" si="1"/>
        <v>0</v>
      </c>
      <c r="BB12" s="18">
        <f t="shared" si="1"/>
        <v>73478.291117744</v>
      </c>
      <c r="BC12" s="18">
        <f t="shared" si="1"/>
        <v>0</v>
      </c>
      <c r="BD12" s="18">
        <f t="shared" si="1"/>
        <v>2875.026409456008</v>
      </c>
      <c r="BE12" s="19">
        <f t="shared" si="1"/>
        <v>-23646.940000000002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4"/>
      <c r="AD13" s="94"/>
      <c r="AE13" s="95"/>
      <c r="AF13" s="95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91"/>
      <c r="AT13" s="91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11">
        <v>3684.7</v>
      </c>
      <c r="C14" s="101">
        <f aca="true" t="shared" si="2" ref="C14:C25">B14*8.65</f>
        <v>31872.655</v>
      </c>
      <c r="D14" s="102">
        <f>C14*0.125</f>
        <v>3984.081875</v>
      </c>
      <c r="E14" s="103">
        <v>2521.32</v>
      </c>
      <c r="F14" s="103">
        <v>471.35</v>
      </c>
      <c r="G14" s="103">
        <v>3403.8</v>
      </c>
      <c r="H14" s="103">
        <v>636.34</v>
      </c>
      <c r="I14" s="103">
        <v>8194.31</v>
      </c>
      <c r="J14" s="103">
        <v>1531.85</v>
      </c>
      <c r="K14" s="103">
        <v>5673.05</v>
      </c>
      <c r="L14" s="103">
        <v>1060.51</v>
      </c>
      <c r="M14" s="103">
        <v>2017.15</v>
      </c>
      <c r="N14" s="103">
        <v>377.07</v>
      </c>
      <c r="O14" s="103">
        <v>0</v>
      </c>
      <c r="P14" s="110">
        <v>0</v>
      </c>
      <c r="Q14" s="103">
        <v>0</v>
      </c>
      <c r="R14" s="110">
        <v>0</v>
      </c>
      <c r="S14" s="87">
        <f aca="true" t="shared" si="3" ref="S14:S25">E14+G14+I14+K14+M14+O14+Q14</f>
        <v>21809.63</v>
      </c>
      <c r="T14" s="104">
        <f aca="true" t="shared" si="4" ref="T14:T25">P14+N14+L14+J14+H14+F14+R14</f>
        <v>4077.12</v>
      </c>
      <c r="U14" s="87">
        <v>1643.87</v>
      </c>
      <c r="V14" s="87">
        <v>2219.25</v>
      </c>
      <c r="W14" s="87">
        <v>5342.63</v>
      </c>
      <c r="X14" s="87">
        <v>3698.8</v>
      </c>
      <c r="Y14" s="87">
        <v>1315.13</v>
      </c>
      <c r="Z14" s="105">
        <v>0</v>
      </c>
      <c r="AA14" s="105">
        <v>0</v>
      </c>
      <c r="AB14" s="112">
        <f aca="true" t="shared" si="5" ref="AB14:AB22">SUM(U14:AA14)</f>
        <v>14219.68</v>
      </c>
      <c r="AC14" s="109">
        <f aca="true" t="shared" si="6" ref="AC14:AC22">D14+T14+AB14</f>
        <v>22280.881875</v>
      </c>
      <c r="AD14" s="98">
        <f aca="true" t="shared" si="7" ref="AD14:AD25">P14+Z14</f>
        <v>0</v>
      </c>
      <c r="AE14" s="98">
        <f aca="true" t="shared" si="8" ref="AE14:AE25">R14+AA14</f>
        <v>0</v>
      </c>
      <c r="AF14" s="98">
        <f>'[2]Т01-09'!$I$7</f>
        <v>237.30328000000003</v>
      </c>
      <c r="AG14" s="16">
        <f>0.6*B14*0.9</f>
        <v>1989.7379999999998</v>
      </c>
      <c r="AH14" s="16">
        <f>B14*0.2*0.891</f>
        <v>656.6135400000001</v>
      </c>
      <c r="AI14" s="16">
        <f>0.85*B14*0.867-0.02</f>
        <v>2715.419665</v>
      </c>
      <c r="AJ14" s="16">
        <f aca="true" t="shared" si="9" ref="AJ14:AJ25">AI14*0.18</f>
        <v>488.77553969999997</v>
      </c>
      <c r="AK14" s="16">
        <f>0.83*B14*0.8685</f>
        <v>2656.1344185</v>
      </c>
      <c r="AL14" s="16">
        <f aca="true" t="shared" si="10" ref="AL14:AL25">AK14*0.18</f>
        <v>478.1041953299999</v>
      </c>
      <c r="AM14" s="16">
        <f>1.91*B14*0.8686</f>
        <v>6113.0131022</v>
      </c>
      <c r="AN14" s="16">
        <f aca="true" t="shared" si="11" ref="AN14:AN25">AM14*0.18</f>
        <v>1100.3423583959998</v>
      </c>
      <c r="AO14" s="16"/>
      <c r="AP14" s="16">
        <f aca="true" t="shared" si="12" ref="AP14:AR25">AO14*0.18</f>
        <v>0</v>
      </c>
      <c r="AQ14" s="113"/>
      <c r="AR14" s="113">
        <f>AQ14*0.18</f>
        <v>0</v>
      </c>
      <c r="AS14" s="93">
        <v>1880</v>
      </c>
      <c r="AT14" s="93"/>
      <c r="AU14" s="93">
        <f>(AS14+AT14)*0.18+0.01</f>
        <v>338.40999999999997</v>
      </c>
      <c r="AV14" s="114"/>
      <c r="AW14" s="131">
        <v>2258</v>
      </c>
      <c r="AX14" s="16">
        <f aca="true" t="shared" si="13" ref="AX14:AX25">AW14*1.12*1.18</f>
        <v>2984.1728</v>
      </c>
      <c r="AY14" s="117"/>
      <c r="AZ14" s="118"/>
      <c r="BA14" s="118">
        <f>AZ14*0.18</f>
        <v>0</v>
      </c>
      <c r="BB14" s="118">
        <f>SUM(AG14:AU14)</f>
        <v>18416.550819125998</v>
      </c>
      <c r="BC14" s="129">
        <f>'[3]Т01-09'!$O$7</f>
        <v>100.87346672000002</v>
      </c>
      <c r="BD14" s="14">
        <f>AC14+AF14-BB14-BC14</f>
        <v>4000.7608691540013</v>
      </c>
      <c r="BE14" s="30">
        <f>AB14-S14</f>
        <v>-7589.950000000001</v>
      </c>
    </row>
    <row r="15" spans="1:57" ht="12.75" hidden="1">
      <c r="A15" s="11" t="s">
        <v>46</v>
      </c>
      <c r="B15" s="111">
        <v>3684.7</v>
      </c>
      <c r="C15" s="101">
        <f t="shared" si="2"/>
        <v>31872.655</v>
      </c>
      <c r="D15" s="102">
        <f>C15*0.125</f>
        <v>3984.081875</v>
      </c>
      <c r="E15" s="103">
        <v>2499.04</v>
      </c>
      <c r="F15" s="103">
        <v>471.35</v>
      </c>
      <c r="G15" s="103">
        <v>3373.7</v>
      </c>
      <c r="H15" s="103">
        <v>636.33</v>
      </c>
      <c r="I15" s="103">
        <v>8121.94</v>
      </c>
      <c r="J15" s="103">
        <v>1531.84</v>
      </c>
      <c r="K15" s="103">
        <v>5622.87</v>
      </c>
      <c r="L15" s="103">
        <v>1060.51</v>
      </c>
      <c r="M15" s="103">
        <v>1999.28</v>
      </c>
      <c r="N15" s="103">
        <v>377.07</v>
      </c>
      <c r="O15" s="103">
        <v>0</v>
      </c>
      <c r="P15" s="110">
        <v>0</v>
      </c>
      <c r="Q15" s="103">
        <v>0</v>
      </c>
      <c r="R15" s="110">
        <v>0</v>
      </c>
      <c r="S15" s="87">
        <f t="shared" si="3"/>
        <v>21616.829999999998</v>
      </c>
      <c r="T15" s="104">
        <f t="shared" si="4"/>
        <v>4077.1</v>
      </c>
      <c r="U15" s="87">
        <v>2415.62</v>
      </c>
      <c r="V15" s="87">
        <v>3261.1</v>
      </c>
      <c r="W15" s="87">
        <v>7850.84</v>
      </c>
      <c r="X15" s="87">
        <v>5435.19</v>
      </c>
      <c r="Y15" s="87">
        <v>1932.6</v>
      </c>
      <c r="Z15" s="105">
        <v>0</v>
      </c>
      <c r="AA15" s="105">
        <v>0</v>
      </c>
      <c r="AB15" s="108">
        <f t="shared" si="5"/>
        <v>20895.35</v>
      </c>
      <c r="AC15" s="109">
        <f t="shared" si="6"/>
        <v>28956.531875</v>
      </c>
      <c r="AD15" s="98">
        <f t="shared" si="7"/>
        <v>0</v>
      </c>
      <c r="AE15" s="98">
        <f t="shared" si="8"/>
        <v>0</v>
      </c>
      <c r="AF15" s="98">
        <f>'[2]Т02-09'!$I$7</f>
        <v>237.30328000000003</v>
      </c>
      <c r="AG15" s="16">
        <f>0.6*B15*0.9</f>
        <v>1989.7379999999998</v>
      </c>
      <c r="AH15" s="16">
        <f>B15*0.2*0.9153</f>
        <v>674.5211820000001</v>
      </c>
      <c r="AI15" s="16">
        <f>0.85*B15*0.867</f>
        <v>2715.439665</v>
      </c>
      <c r="AJ15" s="16">
        <f t="shared" si="9"/>
        <v>488.7791397</v>
      </c>
      <c r="AK15" s="16">
        <f>0.83*B15*0.8684</f>
        <v>2655.8285883999993</v>
      </c>
      <c r="AL15" s="16">
        <f t="shared" si="10"/>
        <v>478.04914591199986</v>
      </c>
      <c r="AM15" s="16">
        <f>(1.91)*B15*0.8684</f>
        <v>6111.605546799999</v>
      </c>
      <c r="AN15" s="16">
        <f t="shared" si="11"/>
        <v>1100.0889984239998</v>
      </c>
      <c r="AO15" s="16"/>
      <c r="AP15" s="16">
        <f t="shared" si="12"/>
        <v>0</v>
      </c>
      <c r="AQ15" s="113"/>
      <c r="AR15" s="113">
        <f>AQ15*0.18</f>
        <v>0</v>
      </c>
      <c r="AS15" s="93">
        <v>1580</v>
      </c>
      <c r="AT15" s="93"/>
      <c r="AU15" s="93">
        <f aca="true" t="shared" si="14" ref="AU15:AU25">(AS15+AT15)*0.18</f>
        <v>284.4</v>
      </c>
      <c r="AV15" s="114"/>
      <c r="AW15" s="131">
        <v>1529</v>
      </c>
      <c r="AX15" s="16">
        <f t="shared" si="13"/>
        <v>2020.7264000000002</v>
      </c>
      <c r="AY15" s="117"/>
      <c r="AZ15" s="118"/>
      <c r="BA15" s="118">
        <f>AZ15*0.18</f>
        <v>0</v>
      </c>
      <c r="BB15" s="118">
        <f>SUM(AG15:AU15)+AY15</f>
        <v>18078.450266236003</v>
      </c>
      <c r="BC15" s="125">
        <f>'[3]Т02-09'!$O$7</f>
        <v>101.03692032000002</v>
      </c>
      <c r="BD15" s="14">
        <f aca="true" t="shared" si="15" ref="BD15:BD24">AC15+AF15-BB15-BC15</f>
        <v>11014.347968443997</v>
      </c>
      <c r="BE15" s="30">
        <f aca="true" t="shared" si="16" ref="BE15:BE24">AB15-S15</f>
        <v>-721.4799999999996</v>
      </c>
    </row>
    <row r="16" spans="1:57" ht="12.75" hidden="1">
      <c r="A16" s="11" t="s">
        <v>47</v>
      </c>
      <c r="B16" s="119">
        <v>3684.7</v>
      </c>
      <c r="C16" s="101">
        <f t="shared" si="2"/>
        <v>31872.655</v>
      </c>
      <c r="D16" s="102">
        <f>C16*0.125</f>
        <v>3984.081875</v>
      </c>
      <c r="E16" s="103">
        <v>2528.55</v>
      </c>
      <c r="F16" s="103">
        <v>471.35</v>
      </c>
      <c r="G16" s="103">
        <v>3413.56</v>
      </c>
      <c r="H16" s="103">
        <v>636.34</v>
      </c>
      <c r="I16" s="103">
        <v>8217.82</v>
      </c>
      <c r="J16" s="103">
        <v>1531.85</v>
      </c>
      <c r="K16" s="103">
        <v>5689.29</v>
      </c>
      <c r="L16" s="103">
        <v>1060.51</v>
      </c>
      <c r="M16" s="103">
        <v>2022.88</v>
      </c>
      <c r="N16" s="103">
        <v>377.07</v>
      </c>
      <c r="O16" s="103">
        <v>0</v>
      </c>
      <c r="P16" s="110">
        <v>0</v>
      </c>
      <c r="Q16" s="103">
        <v>0</v>
      </c>
      <c r="R16" s="110">
        <v>0</v>
      </c>
      <c r="S16" s="87">
        <f t="shared" si="3"/>
        <v>21872.100000000002</v>
      </c>
      <c r="T16" s="104">
        <f t="shared" si="4"/>
        <v>4077.12</v>
      </c>
      <c r="U16" s="88">
        <v>2509.57</v>
      </c>
      <c r="V16" s="88">
        <v>3387.96</v>
      </c>
      <c r="W16" s="88">
        <v>8156.2</v>
      </c>
      <c r="X16" s="88">
        <v>5646.65</v>
      </c>
      <c r="Y16" s="88">
        <v>2007.7</v>
      </c>
      <c r="Z16" s="120">
        <v>0</v>
      </c>
      <c r="AA16" s="120">
        <v>0</v>
      </c>
      <c r="AB16" s="112">
        <f t="shared" si="5"/>
        <v>21708.079999999998</v>
      </c>
      <c r="AC16" s="109">
        <f t="shared" si="6"/>
        <v>29769.281874999997</v>
      </c>
      <c r="AD16" s="98">
        <f t="shared" si="7"/>
        <v>0</v>
      </c>
      <c r="AE16" s="98">
        <f t="shared" si="8"/>
        <v>0</v>
      </c>
      <c r="AF16" s="98">
        <f>'[2]Т02-09'!$I$7</f>
        <v>237.30328000000003</v>
      </c>
      <c r="AG16" s="16">
        <f>0.6*B16*0.9</f>
        <v>1989.7379999999998</v>
      </c>
      <c r="AH16" s="121">
        <f>B16*0.2*0.9082-0.01</f>
        <v>669.2789080000001</v>
      </c>
      <c r="AI16" s="16">
        <f>0.85*B16*0.8675</f>
        <v>2717.0056625</v>
      </c>
      <c r="AJ16" s="16">
        <f t="shared" si="9"/>
        <v>489.06101925</v>
      </c>
      <c r="AK16" s="121">
        <f>0.83*B16*0.838</f>
        <v>2562.8562379999994</v>
      </c>
      <c r="AL16" s="16">
        <f t="shared" si="10"/>
        <v>461.31412283999987</v>
      </c>
      <c r="AM16" s="16">
        <f>1.91*B16*0.8381</f>
        <v>5898.360903699999</v>
      </c>
      <c r="AN16" s="16">
        <f t="shared" si="11"/>
        <v>1061.7049626659998</v>
      </c>
      <c r="AO16" s="16"/>
      <c r="AP16" s="16">
        <f t="shared" si="12"/>
        <v>0</v>
      </c>
      <c r="AQ16" s="113"/>
      <c r="AR16" s="113">
        <f>AQ16*0.18</f>
        <v>0</v>
      </c>
      <c r="AS16" s="93">
        <v>8316</v>
      </c>
      <c r="AT16" s="93"/>
      <c r="AU16" s="93">
        <f t="shared" si="14"/>
        <v>1496.8799999999999</v>
      </c>
      <c r="AV16" s="114"/>
      <c r="AW16" s="132">
        <v>1381</v>
      </c>
      <c r="AX16" s="16">
        <f t="shared" si="13"/>
        <v>1825.1296000000002</v>
      </c>
      <c r="AY16" s="117"/>
      <c r="AZ16" s="118"/>
      <c r="BA16" s="118">
        <f>AZ16*0.18</f>
        <v>0</v>
      </c>
      <c r="BB16" s="118">
        <f>SUM(AG16:AU16)</f>
        <v>25662.199816956</v>
      </c>
      <c r="BC16" s="125">
        <f>'[3]Т03-09'!$O$7</f>
        <v>98.91772056</v>
      </c>
      <c r="BD16" s="14">
        <f t="shared" si="15"/>
        <v>4245.467617483998</v>
      </c>
      <c r="BE16" s="30">
        <f t="shared" si="16"/>
        <v>-164.02000000000407</v>
      </c>
    </row>
    <row r="17" spans="1:57" ht="12.75" hidden="1">
      <c r="A17" s="11" t="s">
        <v>48</v>
      </c>
      <c r="B17" s="122">
        <v>3684.7</v>
      </c>
      <c r="C17" s="101">
        <f t="shared" si="2"/>
        <v>31872.655</v>
      </c>
      <c r="D17" s="102">
        <f>C17*0.125</f>
        <v>3984.081875</v>
      </c>
      <c r="E17" s="123">
        <v>2514.19</v>
      </c>
      <c r="F17" s="123">
        <v>473.25</v>
      </c>
      <c r="G17" s="123">
        <v>3394.21</v>
      </c>
      <c r="H17" s="123">
        <v>638.9</v>
      </c>
      <c r="I17" s="123">
        <v>8171.23</v>
      </c>
      <c r="J17" s="123">
        <v>1538.02</v>
      </c>
      <c r="K17" s="123">
        <v>5657.07</v>
      </c>
      <c r="L17" s="123">
        <v>1064.78</v>
      </c>
      <c r="M17" s="123">
        <v>2011.4</v>
      </c>
      <c r="N17" s="123">
        <v>378.59</v>
      </c>
      <c r="O17" s="123">
        <v>0</v>
      </c>
      <c r="P17" s="124">
        <v>0</v>
      </c>
      <c r="Q17" s="123">
        <v>0</v>
      </c>
      <c r="R17" s="124">
        <v>0</v>
      </c>
      <c r="S17" s="87">
        <f t="shared" si="3"/>
        <v>21748.1</v>
      </c>
      <c r="T17" s="104">
        <f t="shared" si="4"/>
        <v>4093.54</v>
      </c>
      <c r="U17" s="87">
        <v>2600.58</v>
      </c>
      <c r="V17" s="87">
        <v>3510.85</v>
      </c>
      <c r="W17" s="87">
        <v>8452.02</v>
      </c>
      <c r="X17" s="87">
        <v>5851.47</v>
      </c>
      <c r="Y17" s="87">
        <v>2080.55</v>
      </c>
      <c r="Z17" s="87">
        <v>0</v>
      </c>
      <c r="AA17" s="87">
        <v>0</v>
      </c>
      <c r="AB17" s="112">
        <f t="shared" si="5"/>
        <v>22495.47</v>
      </c>
      <c r="AC17" s="109">
        <f t="shared" si="6"/>
        <v>30573.091875000002</v>
      </c>
      <c r="AD17" s="98">
        <f t="shared" si="7"/>
        <v>0</v>
      </c>
      <c r="AE17" s="98">
        <f t="shared" si="8"/>
        <v>0</v>
      </c>
      <c r="AF17" s="98">
        <f>'[3]Т04-09'!$I$7</f>
        <v>237.30328000000003</v>
      </c>
      <c r="AG17" s="16">
        <f>0.6*B17*0.9</f>
        <v>1989.7379999999998</v>
      </c>
      <c r="AH17" s="121">
        <f>B17*0.2*0.9234</f>
        <v>680.490396</v>
      </c>
      <c r="AI17" s="16">
        <f>0.85*B17*0.8934</f>
        <v>2798.1243329999998</v>
      </c>
      <c r="AJ17" s="16">
        <f t="shared" si="9"/>
        <v>503.66237993999994</v>
      </c>
      <c r="AK17" s="16">
        <f>0.83*B17*0.8498</f>
        <v>2598.9441897999995</v>
      </c>
      <c r="AL17" s="16">
        <f t="shared" si="10"/>
        <v>467.8099541639999</v>
      </c>
      <c r="AM17" s="16">
        <f>(1.91)*B17*0.8498</f>
        <v>5980.702894599999</v>
      </c>
      <c r="AN17" s="16">
        <f t="shared" si="11"/>
        <v>1076.5265210279997</v>
      </c>
      <c r="AO17" s="16"/>
      <c r="AP17" s="16">
        <f t="shared" si="12"/>
        <v>0</v>
      </c>
      <c r="AQ17" s="113"/>
      <c r="AR17" s="113">
        <f t="shared" si="12"/>
        <v>0</v>
      </c>
      <c r="AS17" s="93">
        <v>2896.49</v>
      </c>
      <c r="AT17" s="93"/>
      <c r="AU17" s="93">
        <f t="shared" si="14"/>
        <v>521.3681999999999</v>
      </c>
      <c r="AV17" s="114"/>
      <c r="AW17" s="115">
        <v>1438</v>
      </c>
      <c r="AX17" s="16">
        <f t="shared" si="13"/>
        <v>1900.4608</v>
      </c>
      <c r="AY17" s="31">
        <v>0</v>
      </c>
      <c r="AZ17" s="31">
        <v>0</v>
      </c>
      <c r="BA17" s="14">
        <f t="shared" si="0"/>
        <v>0</v>
      </c>
      <c r="BB17" s="14">
        <f>SUM(AG17:BA17)-AV17-AW17+AX14+AX15+AX16</f>
        <v>28244.346468532</v>
      </c>
      <c r="BC17" s="125">
        <f>'[3]Т04-09'!$O$7</f>
        <v>101.73987936000002</v>
      </c>
      <c r="BD17" s="14">
        <f t="shared" si="15"/>
        <v>2464.3088071080024</v>
      </c>
      <c r="BE17" s="30">
        <f t="shared" si="16"/>
        <v>747.3700000000026</v>
      </c>
    </row>
    <row r="18" spans="1:57" ht="12.75" hidden="1">
      <c r="A18" s="11" t="s">
        <v>49</v>
      </c>
      <c r="B18" s="126">
        <v>3684.7</v>
      </c>
      <c r="C18" s="101">
        <f t="shared" si="2"/>
        <v>31872.655</v>
      </c>
      <c r="D18" s="127">
        <f aca="true" t="shared" si="17" ref="D18:D25">C18-E18-F18-G18-H18-I18-J18-K18-L18-M18-N18</f>
        <v>3223.1450000000013</v>
      </c>
      <c r="E18" s="123">
        <v>2802.63</v>
      </c>
      <c r="F18" s="123">
        <v>504.12</v>
      </c>
      <c r="G18" s="123">
        <v>3796.21</v>
      </c>
      <c r="H18" s="123">
        <v>683.3</v>
      </c>
      <c r="I18" s="123">
        <v>9121.21</v>
      </c>
      <c r="J18" s="123">
        <v>1641.07</v>
      </c>
      <c r="K18" s="123">
        <v>6318.55</v>
      </c>
      <c r="L18" s="123">
        <v>1136.99</v>
      </c>
      <c r="M18" s="123">
        <v>2242.17</v>
      </c>
      <c r="N18" s="123">
        <v>403.26</v>
      </c>
      <c r="O18" s="123">
        <v>0</v>
      </c>
      <c r="P18" s="124">
        <v>0</v>
      </c>
      <c r="Q18" s="123">
        <v>0</v>
      </c>
      <c r="R18" s="124">
        <v>0</v>
      </c>
      <c r="S18" s="87">
        <f t="shared" si="3"/>
        <v>24280.769999999997</v>
      </c>
      <c r="T18" s="104">
        <f t="shared" si="4"/>
        <v>4368.74</v>
      </c>
      <c r="U18" s="88">
        <v>2302.77</v>
      </c>
      <c r="V18" s="88">
        <v>3108.73</v>
      </c>
      <c r="W18" s="88">
        <v>7483.94</v>
      </c>
      <c r="X18" s="88">
        <v>5181.16</v>
      </c>
      <c r="Y18" s="88">
        <v>1842.17</v>
      </c>
      <c r="Z18" s="120">
        <v>0</v>
      </c>
      <c r="AA18" s="120">
        <v>0</v>
      </c>
      <c r="AB18" s="112">
        <f t="shared" si="5"/>
        <v>19918.769999999997</v>
      </c>
      <c r="AC18" s="109">
        <f t="shared" si="6"/>
        <v>27510.655</v>
      </c>
      <c r="AD18" s="98">
        <f t="shared" si="7"/>
        <v>0</v>
      </c>
      <c r="AE18" s="98">
        <f t="shared" si="8"/>
        <v>0</v>
      </c>
      <c r="AF18" s="98">
        <f>'[3]Т04-09'!$I$7</f>
        <v>237.30328000000003</v>
      </c>
      <c r="AG18" s="16">
        <f aca="true" t="shared" si="18" ref="AG18:AG25">0.6*B18</f>
        <v>2210.8199999999997</v>
      </c>
      <c r="AH18" s="16">
        <f>B18*0.2*1.01</f>
        <v>744.3094000000001</v>
      </c>
      <c r="AI18" s="16">
        <f>0.85*B18</f>
        <v>3131.995</v>
      </c>
      <c r="AJ18" s="16">
        <f t="shared" si="9"/>
        <v>563.7591</v>
      </c>
      <c r="AK18" s="16">
        <f>0.83*B18</f>
        <v>3058.3009999999995</v>
      </c>
      <c r="AL18" s="16">
        <f t="shared" si="10"/>
        <v>550.4941799999999</v>
      </c>
      <c r="AM18" s="16">
        <f>(1.91)*B18</f>
        <v>7037.776999999999</v>
      </c>
      <c r="AN18" s="16">
        <f t="shared" si="11"/>
        <v>1266.7998599999999</v>
      </c>
      <c r="AO18" s="16"/>
      <c r="AP18" s="16">
        <f t="shared" si="12"/>
        <v>0</v>
      </c>
      <c r="AQ18" s="113"/>
      <c r="AR18" s="113">
        <f t="shared" si="12"/>
        <v>0</v>
      </c>
      <c r="AS18" s="93">
        <v>0</v>
      </c>
      <c r="AT18" s="93"/>
      <c r="AU18" s="93">
        <f t="shared" si="14"/>
        <v>0</v>
      </c>
      <c r="AV18" s="114"/>
      <c r="AW18" s="133">
        <v>1117</v>
      </c>
      <c r="AX18" s="16">
        <f t="shared" si="13"/>
        <v>1476.2272</v>
      </c>
      <c r="AY18" s="31">
        <v>0</v>
      </c>
      <c r="AZ18" s="31">
        <v>0</v>
      </c>
      <c r="BA18" s="14">
        <f t="shared" si="0"/>
        <v>0</v>
      </c>
      <c r="BB18" s="14">
        <f>SUM(AG18:BA18)-AV18-AW18</f>
        <v>20040.48274</v>
      </c>
      <c r="BC18" s="125">
        <f>'[3]Т05-09'!$O$7</f>
        <v>113.55407806400001</v>
      </c>
      <c r="BD18" s="14">
        <f>AC18+AF18-BB18-BC18</f>
        <v>7593.921461935999</v>
      </c>
      <c r="BE18" s="30">
        <f>AB18-S18</f>
        <v>-4362</v>
      </c>
    </row>
    <row r="19" spans="1:57" ht="12.75" hidden="1">
      <c r="A19" s="11" t="s">
        <v>50</v>
      </c>
      <c r="B19" s="126">
        <v>3684.7</v>
      </c>
      <c r="C19" s="101">
        <f t="shared" si="2"/>
        <v>31872.655</v>
      </c>
      <c r="D19" s="127">
        <f t="shared" si="17"/>
        <v>3172.4050000000034</v>
      </c>
      <c r="E19" s="123">
        <v>2805.12</v>
      </c>
      <c r="F19" s="123">
        <v>507.53</v>
      </c>
      <c r="G19" s="123">
        <v>3799.43</v>
      </c>
      <c r="H19" s="123">
        <v>687.92</v>
      </c>
      <c r="I19" s="123">
        <v>9129.21</v>
      </c>
      <c r="J19" s="123">
        <v>1652.16</v>
      </c>
      <c r="K19" s="123">
        <v>6324.05</v>
      </c>
      <c r="L19" s="123">
        <v>1144.67</v>
      </c>
      <c r="M19" s="123">
        <v>2244.17</v>
      </c>
      <c r="N19" s="123">
        <v>405.99</v>
      </c>
      <c r="O19" s="123">
        <v>0</v>
      </c>
      <c r="P19" s="124">
        <v>0</v>
      </c>
      <c r="Q19" s="123">
        <v>0</v>
      </c>
      <c r="R19" s="124">
        <v>0</v>
      </c>
      <c r="S19" s="87">
        <f t="shared" si="3"/>
        <v>24301.979999999996</v>
      </c>
      <c r="T19" s="104">
        <f t="shared" si="4"/>
        <v>4398.27</v>
      </c>
      <c r="U19" s="88">
        <v>2676.95</v>
      </c>
      <c r="V19" s="88">
        <v>3624.7</v>
      </c>
      <c r="W19" s="88">
        <v>8710.94</v>
      </c>
      <c r="X19" s="88">
        <v>6033.82</v>
      </c>
      <c r="Y19" s="88">
        <v>2141.75</v>
      </c>
      <c r="Z19" s="120">
        <v>0</v>
      </c>
      <c r="AA19" s="120">
        <v>0</v>
      </c>
      <c r="AB19" s="112">
        <f t="shared" si="5"/>
        <v>23188.16</v>
      </c>
      <c r="AC19" s="109">
        <f t="shared" si="6"/>
        <v>30758.835000000003</v>
      </c>
      <c r="AD19" s="98">
        <f t="shared" si="7"/>
        <v>0</v>
      </c>
      <c r="AE19" s="98">
        <f t="shared" si="8"/>
        <v>0</v>
      </c>
      <c r="AF19" s="98">
        <f>'[3]Т06-09'!$I$7</f>
        <v>237.30328000000003</v>
      </c>
      <c r="AG19" s="16">
        <f t="shared" si="18"/>
        <v>2210.8199999999997</v>
      </c>
      <c r="AH19" s="16">
        <f>B19*0.2*1.01045-0.01</f>
        <v>744.6310230000001</v>
      </c>
      <c r="AI19" s="16">
        <f>0.85*B19</f>
        <v>3131.995</v>
      </c>
      <c r="AJ19" s="16">
        <f t="shared" si="9"/>
        <v>563.7591</v>
      </c>
      <c r="AK19" s="16">
        <f>0.83*B19</f>
        <v>3058.3009999999995</v>
      </c>
      <c r="AL19" s="16">
        <f t="shared" si="10"/>
        <v>550.4941799999999</v>
      </c>
      <c r="AM19" s="16">
        <f>(1.91)*B19</f>
        <v>7037.776999999999</v>
      </c>
      <c r="AN19" s="16">
        <f t="shared" si="11"/>
        <v>1266.7998599999999</v>
      </c>
      <c r="AO19" s="16"/>
      <c r="AP19" s="16">
        <f t="shared" si="12"/>
        <v>0</v>
      </c>
      <c r="AQ19" s="134"/>
      <c r="AR19" s="113">
        <f t="shared" si="12"/>
        <v>0</v>
      </c>
      <c r="AS19" s="93">
        <v>32053.76</v>
      </c>
      <c r="AT19" s="93"/>
      <c r="AU19" s="93">
        <f t="shared" si="14"/>
        <v>5769.676799999999</v>
      </c>
      <c r="AV19" s="114"/>
      <c r="AW19" s="133">
        <v>1030</v>
      </c>
      <c r="AX19" s="16">
        <f t="shared" si="13"/>
        <v>1361.248</v>
      </c>
      <c r="AY19" s="117"/>
      <c r="AZ19" s="118"/>
      <c r="BA19" s="118">
        <f t="shared" si="0"/>
        <v>0</v>
      </c>
      <c r="BB19" s="118">
        <f>SUM(AG19:BA19)-AV19-AW19</f>
        <v>57749.261963</v>
      </c>
      <c r="BC19" s="125">
        <f>'[3]Т06-09'!$O$7</f>
        <v>107.51826384000002</v>
      </c>
      <c r="BD19" s="14">
        <f t="shared" si="15"/>
        <v>-26860.641946839994</v>
      </c>
      <c r="BE19" s="30">
        <f t="shared" si="16"/>
        <v>-1113.819999999996</v>
      </c>
    </row>
    <row r="20" spans="1:57" ht="12.75" hidden="1">
      <c r="A20" s="11" t="s">
        <v>51</v>
      </c>
      <c r="B20" s="111">
        <v>3684.7</v>
      </c>
      <c r="C20" s="101">
        <f t="shared" si="2"/>
        <v>31872.655</v>
      </c>
      <c r="D20" s="127">
        <f t="shared" si="17"/>
        <v>3172.385000000001</v>
      </c>
      <c r="E20" s="123">
        <v>2805.12</v>
      </c>
      <c r="F20" s="123">
        <v>507.53</v>
      </c>
      <c r="G20" s="123">
        <v>3799.46</v>
      </c>
      <c r="H20" s="123">
        <v>687.91</v>
      </c>
      <c r="I20" s="123">
        <v>9129.2</v>
      </c>
      <c r="J20" s="123">
        <v>1652.16</v>
      </c>
      <c r="K20" s="123">
        <v>6324.06</v>
      </c>
      <c r="L20" s="123">
        <v>1144.67</v>
      </c>
      <c r="M20" s="123">
        <v>2244.18</v>
      </c>
      <c r="N20" s="123">
        <v>405.98</v>
      </c>
      <c r="O20" s="123">
        <v>0</v>
      </c>
      <c r="P20" s="124">
        <v>0</v>
      </c>
      <c r="Q20" s="123">
        <v>0</v>
      </c>
      <c r="R20" s="124">
        <v>0</v>
      </c>
      <c r="S20" s="87">
        <f t="shared" si="3"/>
        <v>24302.02</v>
      </c>
      <c r="T20" s="104">
        <f t="shared" si="4"/>
        <v>4398.25</v>
      </c>
      <c r="U20" s="88">
        <v>3499.456</v>
      </c>
      <c r="V20" s="88">
        <v>4739.12</v>
      </c>
      <c r="W20" s="88">
        <v>11388.21</v>
      </c>
      <c r="X20" s="88">
        <v>7888.73</v>
      </c>
      <c r="Y20" s="88">
        <v>2799.61</v>
      </c>
      <c r="Z20" s="120">
        <v>0</v>
      </c>
      <c r="AA20" s="120">
        <v>0</v>
      </c>
      <c r="AB20" s="112">
        <f t="shared" si="5"/>
        <v>30315.126</v>
      </c>
      <c r="AC20" s="109">
        <f t="shared" si="6"/>
        <v>37885.761</v>
      </c>
      <c r="AD20" s="98">
        <f t="shared" si="7"/>
        <v>0</v>
      </c>
      <c r="AE20" s="98">
        <f t="shared" si="8"/>
        <v>0</v>
      </c>
      <c r="AF20" s="98">
        <f>'[2]Т07-09'!$I$7</f>
        <v>237.30328000000003</v>
      </c>
      <c r="AG20" s="16">
        <f t="shared" si="18"/>
        <v>2210.8199999999997</v>
      </c>
      <c r="AH20" s="16">
        <f>B20*0.2*0.99425</f>
        <v>732.702595</v>
      </c>
      <c r="AI20" s="16">
        <f>0.85*B20*0.9857</f>
        <v>3087.2074715</v>
      </c>
      <c r="AJ20" s="16">
        <f t="shared" si="9"/>
        <v>555.6973448699999</v>
      </c>
      <c r="AK20" s="16">
        <f>0.83*B20*0.9905</f>
        <v>3029.2471404999997</v>
      </c>
      <c r="AL20" s="16">
        <f t="shared" si="10"/>
        <v>545.2644852899999</v>
      </c>
      <c r="AM20" s="16">
        <f>(1.91)*B20*0.9904</f>
        <v>6970.214340799998</v>
      </c>
      <c r="AN20" s="16">
        <f t="shared" si="11"/>
        <v>1254.6385813439997</v>
      </c>
      <c r="AO20" s="16"/>
      <c r="AP20" s="16">
        <f t="shared" si="12"/>
        <v>0</v>
      </c>
      <c r="AQ20" s="113"/>
      <c r="AR20" s="113">
        <f t="shared" si="12"/>
        <v>0</v>
      </c>
      <c r="AS20" s="93">
        <v>1170.62</v>
      </c>
      <c r="AT20" s="93"/>
      <c r="AU20" s="93">
        <f t="shared" si="14"/>
        <v>210.71159999999998</v>
      </c>
      <c r="AV20" s="114"/>
      <c r="AW20" s="133">
        <v>701</v>
      </c>
      <c r="AX20" s="16">
        <f t="shared" si="13"/>
        <v>926.4416000000001</v>
      </c>
      <c r="AY20" s="117"/>
      <c r="AZ20" s="118"/>
      <c r="BA20" s="118">
        <f t="shared" si="0"/>
        <v>0</v>
      </c>
      <c r="BB20" s="118">
        <f>SUM(AG20:BA20)-AV20-AW20</f>
        <v>20693.565159303995</v>
      </c>
      <c r="BC20" s="125">
        <f>'[3]Т07-09'!$O$7</f>
        <v>112.13516016000003</v>
      </c>
      <c r="BD20" s="14">
        <f t="shared" si="15"/>
        <v>17317.363960536004</v>
      </c>
      <c r="BE20" s="30">
        <f t="shared" si="16"/>
        <v>6013.106</v>
      </c>
    </row>
    <row r="21" spans="1:57" ht="12.75" hidden="1">
      <c r="A21" s="11" t="s">
        <v>52</v>
      </c>
      <c r="B21" s="111">
        <v>3684.7</v>
      </c>
      <c r="C21" s="101">
        <f t="shared" si="2"/>
        <v>31872.655</v>
      </c>
      <c r="D21" s="127">
        <f t="shared" si="17"/>
        <v>4394.684999999999</v>
      </c>
      <c r="E21" s="123">
        <v>2667.19</v>
      </c>
      <c r="F21" s="123">
        <v>504.38</v>
      </c>
      <c r="G21" s="123">
        <v>3612.66</v>
      </c>
      <c r="H21" s="123">
        <v>683.63</v>
      </c>
      <c r="I21" s="123">
        <v>8680.31</v>
      </c>
      <c r="J21" s="123">
        <v>1641.89</v>
      </c>
      <c r="K21" s="123">
        <v>6013.1</v>
      </c>
      <c r="L21" s="123">
        <v>1137.55</v>
      </c>
      <c r="M21" s="123">
        <v>2133.8</v>
      </c>
      <c r="N21" s="123">
        <v>403.46</v>
      </c>
      <c r="O21" s="123">
        <v>0</v>
      </c>
      <c r="P21" s="124">
        <v>0</v>
      </c>
      <c r="Q21" s="88">
        <v>0</v>
      </c>
      <c r="R21" s="88">
        <v>0</v>
      </c>
      <c r="S21" s="87">
        <f t="shared" si="3"/>
        <v>23107.06</v>
      </c>
      <c r="T21" s="104">
        <f t="shared" si="4"/>
        <v>4370.91</v>
      </c>
      <c r="U21" s="88">
        <v>2404.26</v>
      </c>
      <c r="V21" s="88">
        <v>3256.27</v>
      </c>
      <c r="W21" s="88">
        <v>7824.32</v>
      </c>
      <c r="X21" s="88">
        <v>5420.07</v>
      </c>
      <c r="Y21" s="88">
        <v>1923.51</v>
      </c>
      <c r="Z21" s="120">
        <v>0</v>
      </c>
      <c r="AA21" s="120">
        <v>0</v>
      </c>
      <c r="AB21" s="112">
        <f t="shared" si="5"/>
        <v>20828.429999999997</v>
      </c>
      <c r="AC21" s="109">
        <f t="shared" si="6"/>
        <v>29594.024999999994</v>
      </c>
      <c r="AD21" s="98">
        <f t="shared" si="7"/>
        <v>0</v>
      </c>
      <c r="AE21" s="98">
        <f t="shared" si="8"/>
        <v>0</v>
      </c>
      <c r="AF21" s="98">
        <f>'[2]Т07-09'!$I$7</f>
        <v>237.30328000000003</v>
      </c>
      <c r="AG21" s="16">
        <f t="shared" si="18"/>
        <v>2210.8199999999997</v>
      </c>
      <c r="AH21" s="16">
        <f>B21*0.2*0.99875</f>
        <v>736.0188250000001</v>
      </c>
      <c r="AI21" s="16">
        <f>0.85*B21*0.98526</f>
        <v>3085.8293937</v>
      </c>
      <c r="AJ21" s="16">
        <f t="shared" si="9"/>
        <v>555.449290866</v>
      </c>
      <c r="AK21" s="16">
        <f>0.83*B21*0.99</f>
        <v>3027.7179899999996</v>
      </c>
      <c r="AL21" s="16">
        <f t="shared" si="10"/>
        <v>544.9892381999999</v>
      </c>
      <c r="AM21" s="16">
        <f>(1.91)*B21*0.99</f>
        <v>6967.399229999999</v>
      </c>
      <c r="AN21" s="16">
        <f t="shared" si="11"/>
        <v>1254.1318613999997</v>
      </c>
      <c r="AO21" s="16">
        <v>4186.29</v>
      </c>
      <c r="AP21" s="16">
        <f t="shared" si="12"/>
        <v>753.5322</v>
      </c>
      <c r="AQ21" s="113"/>
      <c r="AR21" s="113">
        <f t="shared" si="12"/>
        <v>0</v>
      </c>
      <c r="AS21" s="93"/>
      <c r="AT21" s="93"/>
      <c r="AU21" s="93">
        <f t="shared" si="14"/>
        <v>0</v>
      </c>
      <c r="AV21" s="114"/>
      <c r="AW21" s="133">
        <v>778</v>
      </c>
      <c r="AX21" s="16">
        <f t="shared" si="13"/>
        <v>1028.2048000000002</v>
      </c>
      <c r="AY21" s="117"/>
      <c r="AZ21" s="118"/>
      <c r="BA21" s="118">
        <f t="shared" si="0"/>
        <v>0</v>
      </c>
      <c r="BB21" s="118">
        <f>SUM(AG21:BA21)-AV21-AW21</f>
        <v>24350.382829166</v>
      </c>
      <c r="BC21" s="125">
        <f>'[3]Т08-09'!$O$7</f>
        <v>112.08420964800001</v>
      </c>
      <c r="BD21" s="14">
        <f t="shared" si="15"/>
        <v>5368.861241185995</v>
      </c>
      <c r="BE21" s="30">
        <f t="shared" si="16"/>
        <v>-2278.6300000000047</v>
      </c>
    </row>
    <row r="22" spans="1:57" ht="12.75" hidden="1">
      <c r="A22" s="11" t="s">
        <v>53</v>
      </c>
      <c r="B22" s="100">
        <v>3686.8</v>
      </c>
      <c r="C22" s="101">
        <f t="shared" si="2"/>
        <v>31890.820000000003</v>
      </c>
      <c r="D22" s="127">
        <f t="shared" si="17"/>
        <v>2654.790000000005</v>
      </c>
      <c r="E22" s="103">
        <v>2842.32</v>
      </c>
      <c r="F22" s="103">
        <v>532.36</v>
      </c>
      <c r="G22" s="103">
        <v>3849.25</v>
      </c>
      <c r="H22" s="103">
        <v>721.57</v>
      </c>
      <c r="I22" s="103">
        <v>9249.71</v>
      </c>
      <c r="J22" s="103">
        <v>1732.98</v>
      </c>
      <c r="K22" s="103">
        <v>6407.36</v>
      </c>
      <c r="L22" s="103">
        <v>1200.67</v>
      </c>
      <c r="M22" s="103">
        <v>2273.97</v>
      </c>
      <c r="N22" s="103">
        <v>425.84</v>
      </c>
      <c r="O22" s="103">
        <v>0</v>
      </c>
      <c r="P22" s="110">
        <v>0</v>
      </c>
      <c r="Q22" s="103">
        <v>0</v>
      </c>
      <c r="R22" s="110">
        <v>0</v>
      </c>
      <c r="S22" s="87">
        <f t="shared" si="3"/>
        <v>24622.61</v>
      </c>
      <c r="T22" s="104">
        <f t="shared" si="4"/>
        <v>4613.42</v>
      </c>
      <c r="U22" s="87">
        <v>2643.78</v>
      </c>
      <c r="V22" s="87">
        <v>3581.38</v>
      </c>
      <c r="W22" s="87">
        <v>8605.41</v>
      </c>
      <c r="X22" s="87">
        <v>5960.62</v>
      </c>
      <c r="Y22" s="87">
        <v>2115.02</v>
      </c>
      <c r="Z22" s="105">
        <v>0</v>
      </c>
      <c r="AA22" s="105">
        <v>0</v>
      </c>
      <c r="AB22" s="112">
        <f t="shared" si="5"/>
        <v>22906.21</v>
      </c>
      <c r="AC22" s="109">
        <f t="shared" si="6"/>
        <v>30174.420000000006</v>
      </c>
      <c r="AD22" s="98">
        <f t="shared" si="7"/>
        <v>0</v>
      </c>
      <c r="AE22" s="98">
        <f t="shared" si="8"/>
        <v>0</v>
      </c>
      <c r="AF22" s="98">
        <f>'[2]Т07-09'!$I$7</f>
        <v>237.30328000000003</v>
      </c>
      <c r="AG22" s="16">
        <f t="shared" si="18"/>
        <v>2212.08</v>
      </c>
      <c r="AH22" s="16">
        <f>B22*0.2*0.9997</f>
        <v>737.1387920000002</v>
      </c>
      <c r="AI22" s="16">
        <f>0.85*B22*0.98509</f>
        <v>3087.0553402</v>
      </c>
      <c r="AJ22" s="16">
        <f t="shared" si="9"/>
        <v>555.669961236</v>
      </c>
      <c r="AK22" s="16">
        <f>0.83*B22*0.98981</f>
        <v>3028.86215164</v>
      </c>
      <c r="AL22" s="16">
        <f t="shared" si="10"/>
        <v>545.1951872952</v>
      </c>
      <c r="AM22" s="16">
        <f>(1.91)*B22*0.98981</f>
        <v>6970.03218028</v>
      </c>
      <c r="AN22" s="16">
        <f t="shared" si="11"/>
        <v>1254.6057924504</v>
      </c>
      <c r="AO22" s="16"/>
      <c r="AP22" s="16">
        <f t="shared" si="12"/>
        <v>0</v>
      </c>
      <c r="AQ22" s="113"/>
      <c r="AR22" s="113">
        <f t="shared" si="12"/>
        <v>0</v>
      </c>
      <c r="AS22" s="93"/>
      <c r="AT22" s="93"/>
      <c r="AU22" s="93">
        <f t="shared" si="14"/>
        <v>0</v>
      </c>
      <c r="AV22" s="114"/>
      <c r="AW22" s="133">
        <v>976</v>
      </c>
      <c r="AX22" s="16">
        <f t="shared" si="13"/>
        <v>1289.8816000000002</v>
      </c>
      <c r="AY22" s="117"/>
      <c r="AZ22" s="118"/>
      <c r="BA22" s="118">
        <f t="shared" si="0"/>
        <v>0</v>
      </c>
      <c r="BB22" s="118">
        <f>SUM(AG22:BA22)-AV22-AW22</f>
        <v>19680.5210051016</v>
      </c>
      <c r="BC22" s="125">
        <f>'[3]Т09-09'!$O$7</f>
        <v>112.0672575792</v>
      </c>
      <c r="BD22" s="14">
        <f t="shared" si="15"/>
        <v>10619.135017319206</v>
      </c>
      <c r="BE22" s="30">
        <f>AB22-S22</f>
        <v>-1716.4000000000015</v>
      </c>
    </row>
    <row r="23" spans="1:57" ht="12.75" hidden="1">
      <c r="A23" s="11" t="s">
        <v>41</v>
      </c>
      <c r="B23" s="100">
        <v>3686.8</v>
      </c>
      <c r="C23" s="128">
        <f t="shared" si="2"/>
        <v>31890.820000000003</v>
      </c>
      <c r="D23" s="127">
        <f t="shared" si="17"/>
        <v>3182.630000000002</v>
      </c>
      <c r="E23" s="89">
        <v>2784.85</v>
      </c>
      <c r="F23" s="87">
        <v>528.7</v>
      </c>
      <c r="G23" s="87">
        <v>3772.04</v>
      </c>
      <c r="H23" s="87">
        <v>716.59</v>
      </c>
      <c r="I23" s="87">
        <v>9063.29</v>
      </c>
      <c r="J23" s="87">
        <v>1721.04</v>
      </c>
      <c r="K23" s="87">
        <v>6278.4</v>
      </c>
      <c r="L23" s="87">
        <v>1192.4</v>
      </c>
      <c r="M23" s="87">
        <v>2227.96</v>
      </c>
      <c r="N23" s="87">
        <v>422.92</v>
      </c>
      <c r="O23" s="87">
        <v>0</v>
      </c>
      <c r="P23" s="105">
        <v>0</v>
      </c>
      <c r="Q23" s="87">
        <v>0</v>
      </c>
      <c r="R23" s="87">
        <v>0</v>
      </c>
      <c r="S23" s="87">
        <f t="shared" si="3"/>
        <v>24126.54</v>
      </c>
      <c r="T23" s="104">
        <f t="shared" si="4"/>
        <v>4581.650000000001</v>
      </c>
      <c r="U23" s="90">
        <f>2712.28+131.45</f>
        <v>2843.73</v>
      </c>
      <c r="V23" s="87">
        <f>3672.49+177.64</f>
        <v>3850.1299999999997</v>
      </c>
      <c r="W23" s="87">
        <f>8825.88+426.62</f>
        <v>9252.5</v>
      </c>
      <c r="X23" s="87">
        <f>6113.55+295.95</f>
        <v>6409.5</v>
      </c>
      <c r="Y23" s="87">
        <f>2169.97+105.17</f>
        <v>2275.14</v>
      </c>
      <c r="Z23" s="105">
        <v>0</v>
      </c>
      <c r="AA23" s="105">
        <v>0</v>
      </c>
      <c r="AB23" s="105">
        <f>SUM(U23:AA23)</f>
        <v>24631</v>
      </c>
      <c r="AC23" s="109">
        <f>AB23+T23+D23</f>
        <v>32395.280000000002</v>
      </c>
      <c r="AD23" s="98">
        <f t="shared" si="7"/>
        <v>0</v>
      </c>
      <c r="AE23" s="98">
        <f t="shared" si="8"/>
        <v>0</v>
      </c>
      <c r="AF23" s="98">
        <f>'[1]Т10'!$I$7</f>
        <v>237.30328000000003</v>
      </c>
      <c r="AG23" s="16">
        <f t="shared" si="18"/>
        <v>2212.08</v>
      </c>
      <c r="AH23" s="16">
        <f>B23*0.2</f>
        <v>737.3600000000001</v>
      </c>
      <c r="AI23" s="16">
        <f>0.847*B23</f>
        <v>3122.7196</v>
      </c>
      <c r="AJ23" s="16">
        <f t="shared" si="9"/>
        <v>562.089528</v>
      </c>
      <c r="AK23" s="16">
        <f>0.83*B23</f>
        <v>3060.044</v>
      </c>
      <c r="AL23" s="16">
        <f t="shared" si="10"/>
        <v>550.80792</v>
      </c>
      <c r="AM23" s="16">
        <f>(2.25/1.18)*B23</f>
        <v>7029.9152542372885</v>
      </c>
      <c r="AN23" s="16">
        <f t="shared" si="11"/>
        <v>1265.3847457627119</v>
      </c>
      <c r="AO23" s="16"/>
      <c r="AP23" s="16">
        <f t="shared" si="12"/>
        <v>0</v>
      </c>
      <c r="AQ23" s="113">
        <f>1052.44+6789.6</f>
        <v>7842.040000000001</v>
      </c>
      <c r="AR23" s="113">
        <f t="shared" si="12"/>
        <v>1411.5672000000002</v>
      </c>
      <c r="AS23" s="93">
        <v>1442.45</v>
      </c>
      <c r="AT23" s="93">
        <f>1865</f>
        <v>1865</v>
      </c>
      <c r="AU23" s="93">
        <f t="shared" si="14"/>
        <v>595.3409999999999</v>
      </c>
      <c r="AV23" s="114"/>
      <c r="AW23" s="131">
        <v>921</v>
      </c>
      <c r="AX23" s="16">
        <f t="shared" si="13"/>
        <v>1217.1936000000003</v>
      </c>
      <c r="AY23" s="117"/>
      <c r="AZ23" s="135"/>
      <c r="BA23" s="118">
        <f t="shared" si="0"/>
        <v>0</v>
      </c>
      <c r="BB23" s="118">
        <f>SUM(AG23:AU23)+AX23+AY23+AZ23+BA23</f>
        <v>32913.992848</v>
      </c>
      <c r="BC23" s="125">
        <f>'[4]Т10'!$O$7</f>
        <v>112.932736</v>
      </c>
      <c r="BD23" s="14">
        <f t="shared" si="15"/>
        <v>-394.3423039999991</v>
      </c>
      <c r="BE23" s="30">
        <f>AB23-S23</f>
        <v>504.4599999999991</v>
      </c>
    </row>
    <row r="24" spans="1:57" ht="12.75" hidden="1">
      <c r="A24" s="11" t="s">
        <v>42</v>
      </c>
      <c r="B24" s="111">
        <v>3686.8</v>
      </c>
      <c r="C24" s="128">
        <f t="shared" si="2"/>
        <v>31890.820000000003</v>
      </c>
      <c r="D24" s="127">
        <f t="shared" si="17"/>
        <v>3154.580000000004</v>
      </c>
      <c r="E24" s="103">
        <v>2767.28</v>
      </c>
      <c r="F24" s="103">
        <v>549.57</v>
      </c>
      <c r="G24" s="103">
        <v>3748.02</v>
      </c>
      <c r="H24" s="103">
        <v>744.9</v>
      </c>
      <c r="I24" s="103">
        <v>9005.88</v>
      </c>
      <c r="J24" s="103">
        <v>1789.01</v>
      </c>
      <c r="K24" s="103">
        <v>6238.57</v>
      </c>
      <c r="L24" s="103">
        <v>1239.49</v>
      </c>
      <c r="M24" s="103">
        <v>2213.9</v>
      </c>
      <c r="N24" s="103">
        <v>439.62</v>
      </c>
      <c r="O24" s="103">
        <v>0</v>
      </c>
      <c r="P24" s="110">
        <v>0</v>
      </c>
      <c r="Q24" s="110">
        <v>0</v>
      </c>
      <c r="R24" s="110">
        <v>0</v>
      </c>
      <c r="S24" s="87">
        <f t="shared" si="3"/>
        <v>23973.65</v>
      </c>
      <c r="T24" s="104">
        <f t="shared" si="4"/>
        <v>4762.589999999999</v>
      </c>
      <c r="U24" s="87">
        <v>2346.71</v>
      </c>
      <c r="V24" s="87">
        <v>3179.09</v>
      </c>
      <c r="W24" s="87">
        <v>7637.83</v>
      </c>
      <c r="X24" s="87">
        <v>5291.05</v>
      </c>
      <c r="Y24" s="87">
        <v>1877.43</v>
      </c>
      <c r="Z24" s="105">
        <v>0</v>
      </c>
      <c r="AA24" s="105">
        <v>0</v>
      </c>
      <c r="AB24" s="105">
        <f>SUM(U24:AA24)</f>
        <v>20332.11</v>
      </c>
      <c r="AC24" s="109">
        <f>D24+T24+AB24</f>
        <v>28249.280000000006</v>
      </c>
      <c r="AD24" s="98">
        <f t="shared" si="7"/>
        <v>0</v>
      </c>
      <c r="AE24" s="98">
        <f t="shared" si="8"/>
        <v>0</v>
      </c>
      <c r="AF24" s="98">
        <f>'[1]Т11'!$I$7</f>
        <v>237.30328000000003</v>
      </c>
      <c r="AG24" s="16">
        <f t="shared" si="18"/>
        <v>2212.08</v>
      </c>
      <c r="AH24" s="16">
        <f>B24*0.2</f>
        <v>737.3600000000001</v>
      </c>
      <c r="AI24" s="16">
        <f>0.85*B24</f>
        <v>3133.78</v>
      </c>
      <c r="AJ24" s="16">
        <f t="shared" si="9"/>
        <v>564.0804</v>
      </c>
      <c r="AK24" s="16">
        <f>0.83*B24</f>
        <v>3060.044</v>
      </c>
      <c r="AL24" s="16">
        <f t="shared" si="10"/>
        <v>550.80792</v>
      </c>
      <c r="AM24" s="16">
        <f>(1.91)*B24</f>
        <v>7041.7880000000005</v>
      </c>
      <c r="AN24" s="16">
        <f t="shared" si="11"/>
        <v>1267.52184</v>
      </c>
      <c r="AO24" s="16"/>
      <c r="AP24" s="16">
        <f t="shared" si="12"/>
        <v>0</v>
      </c>
      <c r="AQ24" s="113"/>
      <c r="AR24" s="113">
        <f t="shared" si="12"/>
        <v>0</v>
      </c>
      <c r="AS24" s="93">
        <v>3363</v>
      </c>
      <c r="AT24" s="93">
        <f>7*375</f>
        <v>2625</v>
      </c>
      <c r="AU24" s="93">
        <f t="shared" si="14"/>
        <v>1077.84</v>
      </c>
      <c r="AV24" s="114"/>
      <c r="AW24" s="131">
        <v>1149</v>
      </c>
      <c r="AX24" s="16">
        <f t="shared" si="13"/>
        <v>1518.5184000000002</v>
      </c>
      <c r="AY24" s="117"/>
      <c r="AZ24" s="118"/>
      <c r="BA24" s="118">
        <f t="shared" si="0"/>
        <v>0</v>
      </c>
      <c r="BB24" s="118">
        <f>SUM(AG24:AU24)+AX24+AY24+AZ24+BA24</f>
        <v>27151.820560000004</v>
      </c>
      <c r="BC24" s="129">
        <f>'[1]Т11'!$O$7</f>
        <v>113.10192</v>
      </c>
      <c r="BD24" s="14">
        <f t="shared" si="15"/>
        <v>1221.6608000000024</v>
      </c>
      <c r="BE24" s="30">
        <f t="shared" si="16"/>
        <v>-3641.540000000001</v>
      </c>
    </row>
    <row r="25" spans="1:57" ht="12.75" hidden="1">
      <c r="A25" s="11" t="s">
        <v>43</v>
      </c>
      <c r="B25" s="100">
        <v>3685</v>
      </c>
      <c r="C25" s="128">
        <f t="shared" si="2"/>
        <v>31875.25</v>
      </c>
      <c r="D25" s="127">
        <f t="shared" si="17"/>
        <v>3323.9599999999973</v>
      </c>
      <c r="E25" s="103">
        <v>2743.98</v>
      </c>
      <c r="F25" s="103">
        <v>551.49</v>
      </c>
      <c r="G25" s="103">
        <v>3716.56</v>
      </c>
      <c r="H25" s="103">
        <v>747.5</v>
      </c>
      <c r="I25" s="103">
        <v>8930.11</v>
      </c>
      <c r="J25" s="103">
        <v>1795.3</v>
      </c>
      <c r="K25" s="103">
        <v>6186.1</v>
      </c>
      <c r="L25" s="103">
        <v>1243.83</v>
      </c>
      <c r="M25" s="103">
        <v>2195.25</v>
      </c>
      <c r="N25" s="103">
        <v>441.17</v>
      </c>
      <c r="O25" s="103">
        <v>0</v>
      </c>
      <c r="P25" s="110">
        <v>0</v>
      </c>
      <c r="Q25" s="110"/>
      <c r="R25" s="110"/>
      <c r="S25" s="87">
        <f t="shared" si="3"/>
        <v>23772</v>
      </c>
      <c r="T25" s="104">
        <f t="shared" si="4"/>
        <v>4779.29</v>
      </c>
      <c r="U25" s="87">
        <v>3696.49</v>
      </c>
      <c r="V25" s="87">
        <v>5005.35</v>
      </c>
      <c r="W25" s="87">
        <v>12028.55</v>
      </c>
      <c r="X25" s="87">
        <v>8332.12</v>
      </c>
      <c r="Y25" s="87">
        <v>2957.23</v>
      </c>
      <c r="Z25" s="105">
        <v>0</v>
      </c>
      <c r="AA25" s="105">
        <v>0</v>
      </c>
      <c r="AB25" s="105">
        <f>SUM(U25:AA25)</f>
        <v>32019.74</v>
      </c>
      <c r="AC25" s="109">
        <f>D25+T25+AB25</f>
        <v>40122.99</v>
      </c>
      <c r="AD25" s="98">
        <f t="shared" si="7"/>
        <v>0</v>
      </c>
      <c r="AE25" s="98">
        <f t="shared" si="8"/>
        <v>0</v>
      </c>
      <c r="AF25" s="98">
        <f>'[1]Т12'!$I$7</f>
        <v>237.30328000000003</v>
      </c>
      <c r="AG25" s="16">
        <f t="shared" si="18"/>
        <v>2211</v>
      </c>
      <c r="AH25" s="16">
        <f>B25*0.2</f>
        <v>737</v>
      </c>
      <c r="AI25" s="16">
        <f>0.85*B25</f>
        <v>3132.25</v>
      </c>
      <c r="AJ25" s="16">
        <f t="shared" si="9"/>
        <v>563.805</v>
      </c>
      <c r="AK25" s="16">
        <f>0.83*B25</f>
        <v>3058.5499999999997</v>
      </c>
      <c r="AL25" s="16">
        <f t="shared" si="10"/>
        <v>550.539</v>
      </c>
      <c r="AM25" s="16">
        <f>(1.91)*B25</f>
        <v>7038.349999999999</v>
      </c>
      <c r="AN25" s="16">
        <f t="shared" si="11"/>
        <v>1266.9029999999998</v>
      </c>
      <c r="AO25" s="16"/>
      <c r="AP25" s="16">
        <f t="shared" si="12"/>
        <v>0</v>
      </c>
      <c r="AQ25" s="113"/>
      <c r="AR25" s="113">
        <f t="shared" si="12"/>
        <v>0</v>
      </c>
      <c r="AS25" s="93">
        <v>1574</v>
      </c>
      <c r="AT25" s="93"/>
      <c r="AU25" s="93">
        <f t="shared" si="14"/>
        <v>283.32</v>
      </c>
      <c r="AV25" s="114"/>
      <c r="AW25" s="131">
        <v>1363</v>
      </c>
      <c r="AX25" s="16">
        <f t="shared" si="13"/>
        <v>1801.3408000000002</v>
      </c>
      <c r="AY25" s="117"/>
      <c r="AZ25" s="118"/>
      <c r="BA25" s="118">
        <f t="shared" si="0"/>
        <v>0</v>
      </c>
      <c r="BB25" s="118">
        <f>SUM(AG25:BA25)-AV25-AW25</f>
        <v>22217.0578</v>
      </c>
      <c r="BC25" s="129">
        <f>'[1]Т12'!$O$7</f>
        <v>113.10192</v>
      </c>
      <c r="BD25" s="14">
        <f>AC25+AF25-BB25-BC25</f>
        <v>18030.13356</v>
      </c>
      <c r="BE25" s="30">
        <f>AB25-S25</f>
        <v>8247.740000000002</v>
      </c>
    </row>
    <row r="26" spans="1:57" s="20" customFormat="1" ht="12.75" hidden="1">
      <c r="A26" s="17" t="s">
        <v>5</v>
      </c>
      <c r="B26" s="60"/>
      <c r="C26" s="60">
        <f aca="true" t="shared" si="19" ref="C26:BC26">SUM(C14:C25)</f>
        <v>382528.95</v>
      </c>
      <c r="D26" s="60">
        <f t="shared" si="19"/>
        <v>42214.90750000001</v>
      </c>
      <c r="E26" s="57">
        <f t="shared" si="19"/>
        <v>32281.589999999993</v>
      </c>
      <c r="F26" s="57">
        <f t="shared" si="19"/>
        <v>6072.979999999999</v>
      </c>
      <c r="G26" s="57">
        <f t="shared" si="19"/>
        <v>43678.899999999994</v>
      </c>
      <c r="H26" s="57">
        <f t="shared" si="19"/>
        <v>8221.23</v>
      </c>
      <c r="I26" s="57">
        <f t="shared" si="19"/>
        <v>105014.22000000002</v>
      </c>
      <c r="J26" s="57">
        <f t="shared" si="19"/>
        <v>19759.169999999995</v>
      </c>
      <c r="K26" s="57">
        <f t="shared" si="19"/>
        <v>72732.47</v>
      </c>
      <c r="L26" s="57">
        <f t="shared" si="19"/>
        <v>13686.579999999998</v>
      </c>
      <c r="M26" s="57">
        <f t="shared" si="19"/>
        <v>25826.110000000004</v>
      </c>
      <c r="N26" s="57">
        <f t="shared" si="19"/>
        <v>4858.040000000001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279533.29</v>
      </c>
      <c r="T26" s="57">
        <f t="shared" si="19"/>
        <v>52598</v>
      </c>
      <c r="U26" s="61">
        <f t="shared" si="19"/>
        <v>31583.786</v>
      </c>
      <c r="V26" s="61">
        <f t="shared" si="19"/>
        <v>42723.93</v>
      </c>
      <c r="W26" s="61">
        <f t="shared" si="19"/>
        <v>102733.39000000001</v>
      </c>
      <c r="X26" s="61">
        <f t="shared" si="19"/>
        <v>71149.18000000001</v>
      </c>
      <c r="Y26" s="61">
        <f t="shared" si="19"/>
        <v>25267.84</v>
      </c>
      <c r="Z26" s="61">
        <f t="shared" si="19"/>
        <v>0</v>
      </c>
      <c r="AA26" s="61">
        <f t="shared" si="19"/>
        <v>0</v>
      </c>
      <c r="AB26" s="61">
        <f t="shared" si="19"/>
        <v>273458.126</v>
      </c>
      <c r="AC26" s="61">
        <f t="shared" si="19"/>
        <v>368271.0335</v>
      </c>
      <c r="AD26" s="61">
        <f t="shared" si="19"/>
        <v>0</v>
      </c>
      <c r="AE26" s="96">
        <f t="shared" si="19"/>
        <v>0</v>
      </c>
      <c r="AF26" s="96">
        <f t="shared" si="19"/>
        <v>2847.6393600000006</v>
      </c>
      <c r="AG26" s="18">
        <f t="shared" si="19"/>
        <v>25649.472</v>
      </c>
      <c r="AH26" s="18">
        <f t="shared" si="19"/>
        <v>8587.424661000003</v>
      </c>
      <c r="AI26" s="18">
        <f t="shared" si="19"/>
        <v>35858.82113089999</v>
      </c>
      <c r="AJ26" s="18">
        <f t="shared" si="19"/>
        <v>6454.587803562</v>
      </c>
      <c r="AK26" s="18">
        <f t="shared" si="19"/>
        <v>34854.830716840006</v>
      </c>
      <c r="AL26" s="18">
        <f t="shared" si="19"/>
        <v>6273.869529031199</v>
      </c>
      <c r="AM26" s="18">
        <f t="shared" si="19"/>
        <v>80196.93545261728</v>
      </c>
      <c r="AN26" s="18">
        <f t="shared" si="19"/>
        <v>14435.448381471111</v>
      </c>
      <c r="AO26" s="18">
        <f t="shared" si="19"/>
        <v>4186.29</v>
      </c>
      <c r="AP26" s="18">
        <f t="shared" si="19"/>
        <v>753.5322</v>
      </c>
      <c r="AQ26" s="18">
        <f>SUM(AQ14:AQ25)</f>
        <v>7842.040000000001</v>
      </c>
      <c r="AR26" s="18">
        <f>SUM(AR14:AR25)</f>
        <v>1411.5672000000002</v>
      </c>
      <c r="AS26" s="18">
        <f>SUM(AS14:AS25)</f>
        <v>54276.32</v>
      </c>
      <c r="AT26" s="18">
        <f>SUM(AT14:AT25)</f>
        <v>4490</v>
      </c>
      <c r="AU26" s="18">
        <f>SUM(AU14:AU25)</f>
        <v>10577.9476</v>
      </c>
      <c r="AV26" s="18"/>
      <c r="AW26" s="18"/>
      <c r="AX26" s="18">
        <f t="shared" si="19"/>
        <v>19349.5456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315198.63227542164</v>
      </c>
      <c r="BC26" s="18">
        <f t="shared" si="19"/>
        <v>1299.0635322512003</v>
      </c>
      <c r="BD26" s="18">
        <f>SUM(BD14:BD25)</f>
        <v>54620.97705232722</v>
      </c>
      <c r="BE26" s="19">
        <f>SUM(BE14:BE25)</f>
        <v>-6075.164000000004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7"/>
      <c r="AD27" s="97"/>
      <c r="AE27" s="98"/>
      <c r="AF27" s="98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2"/>
      <c r="AT27" s="92"/>
      <c r="AU27" s="93"/>
      <c r="AV27" s="93"/>
      <c r="AW27" s="93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478149.51</v>
      </c>
      <c r="D28" s="23">
        <f>D12+D26</f>
        <v>65231.09502720001</v>
      </c>
      <c r="E28" s="50">
        <f aca="true" t="shared" si="20" ref="E28:BC28">E12+E26</f>
        <v>39838.229999999996</v>
      </c>
      <c r="F28" s="50">
        <f t="shared" si="20"/>
        <v>7416.219999999998</v>
      </c>
      <c r="G28" s="50">
        <f t="shared" si="20"/>
        <v>53880.42</v>
      </c>
      <c r="H28" s="50">
        <f t="shared" si="20"/>
        <v>10034.64</v>
      </c>
      <c r="I28" s="50">
        <f t="shared" si="20"/>
        <v>129573.30000000002</v>
      </c>
      <c r="J28" s="50">
        <f t="shared" si="20"/>
        <v>24124.549999999996</v>
      </c>
      <c r="K28" s="50">
        <f t="shared" si="20"/>
        <v>89735.06</v>
      </c>
      <c r="L28" s="50">
        <f t="shared" si="20"/>
        <v>16708.75</v>
      </c>
      <c r="M28" s="50">
        <f t="shared" si="20"/>
        <v>31871.600000000006</v>
      </c>
      <c r="N28" s="50">
        <f>N12+N26</f>
        <v>5932.590000000001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344898.61</v>
      </c>
      <c r="T28" s="50">
        <f t="shared" si="20"/>
        <v>64216.75</v>
      </c>
      <c r="U28" s="53">
        <f t="shared" si="20"/>
        <v>36406.756</v>
      </c>
      <c r="V28" s="53">
        <f t="shared" si="20"/>
        <v>49234.85</v>
      </c>
      <c r="W28" s="53">
        <f t="shared" si="20"/>
        <v>118407.81000000001</v>
      </c>
      <c r="X28" s="53">
        <f t="shared" si="20"/>
        <v>82000.77</v>
      </c>
      <c r="Y28" s="53">
        <f t="shared" si="20"/>
        <v>29126.32</v>
      </c>
      <c r="Z28" s="53">
        <f t="shared" si="20"/>
        <v>0</v>
      </c>
      <c r="AA28" s="53">
        <f t="shared" si="20"/>
        <v>0</v>
      </c>
      <c r="AB28" s="53">
        <f t="shared" si="20"/>
        <v>315176.506</v>
      </c>
      <c r="AC28" s="53">
        <f t="shared" si="20"/>
        <v>444624.3510272</v>
      </c>
      <c r="AD28" s="53">
        <f t="shared" si="20"/>
        <v>0</v>
      </c>
      <c r="AE28" s="53">
        <f>AE12+AE26</f>
        <v>0</v>
      </c>
      <c r="AF28" s="53">
        <f t="shared" si="20"/>
        <v>2847.6393600000006</v>
      </c>
      <c r="AG28" s="23">
        <f t="shared" si="20"/>
        <v>32282.112</v>
      </c>
      <c r="AH28" s="23">
        <f t="shared" si="20"/>
        <v>10863.525621000003</v>
      </c>
      <c r="AI28" s="23">
        <f t="shared" si="20"/>
        <v>45265.800746899986</v>
      </c>
      <c r="AJ28" s="23">
        <f t="shared" si="20"/>
        <v>8147.844134442</v>
      </c>
      <c r="AK28" s="23">
        <f t="shared" si="20"/>
        <v>45801.602130600004</v>
      </c>
      <c r="AL28" s="23">
        <f t="shared" si="20"/>
        <v>8244.288383508</v>
      </c>
      <c r="AM28" s="23">
        <f t="shared" si="20"/>
        <v>100301.10218365728</v>
      </c>
      <c r="AN28" s="23">
        <f t="shared" si="20"/>
        <v>18054.198393058312</v>
      </c>
      <c r="AO28" s="23">
        <f t="shared" si="20"/>
        <v>9006.33</v>
      </c>
      <c r="AP28" s="23">
        <f t="shared" si="20"/>
        <v>1621.1394</v>
      </c>
      <c r="AQ28" s="23">
        <f t="shared" si="20"/>
        <v>7842.040000000001</v>
      </c>
      <c r="AR28" s="23">
        <f t="shared" si="20"/>
        <v>1411.5672000000002</v>
      </c>
      <c r="AS28" s="23">
        <f t="shared" si="20"/>
        <v>63718.32</v>
      </c>
      <c r="AT28" s="23">
        <f t="shared" si="20"/>
        <v>4490</v>
      </c>
      <c r="AU28" s="23">
        <f t="shared" si="20"/>
        <v>12277.507599999999</v>
      </c>
      <c r="AV28" s="23"/>
      <c r="AW28" s="23"/>
      <c r="AX28" s="23">
        <f t="shared" si="20"/>
        <v>19349.5456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388676.92339316563</v>
      </c>
      <c r="BC28" s="23">
        <f t="shared" si="20"/>
        <v>1299.0635322512003</v>
      </c>
      <c r="BD28" s="23">
        <f>BD12+BD26</f>
        <v>57496.00346178323</v>
      </c>
      <c r="BE28" s="24">
        <f>BE12+BE26</f>
        <v>-29722.104000000007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4"/>
      <c r="AD29" s="94"/>
      <c r="AE29" s="95"/>
      <c r="AF29" s="95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91"/>
      <c r="AT29" s="91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100">
        <v>3685</v>
      </c>
      <c r="C30" s="128">
        <f aca="true" t="shared" si="21" ref="C30:C41">B30*8.65</f>
        <v>31875.25</v>
      </c>
      <c r="D30" s="127">
        <f aca="true" t="shared" si="22" ref="D30:D41">C30-E30-F30-G30-H30-I30-J30-K30-L30-M30-N30</f>
        <v>3159.7599999999948</v>
      </c>
      <c r="E30" s="103">
        <v>2795.88</v>
      </c>
      <c r="F30" s="103">
        <v>518.56</v>
      </c>
      <c r="G30" s="103">
        <v>3786.83</v>
      </c>
      <c r="H30" s="103">
        <v>702.86</v>
      </c>
      <c r="I30" s="103">
        <v>9099.01</v>
      </c>
      <c r="J30" s="103">
        <v>1688.08</v>
      </c>
      <c r="K30" s="103">
        <v>6303.12</v>
      </c>
      <c r="L30" s="103">
        <v>1169.55</v>
      </c>
      <c r="M30" s="103">
        <v>2236.78</v>
      </c>
      <c r="N30" s="103">
        <v>414.82</v>
      </c>
      <c r="O30" s="103">
        <v>0</v>
      </c>
      <c r="P30" s="110">
        <v>0</v>
      </c>
      <c r="Q30" s="110"/>
      <c r="R30" s="110"/>
      <c r="S30" s="87">
        <f aca="true" t="shared" si="23" ref="S30:S40">E30+G30+I30+K30+M30+O30+Q30</f>
        <v>24221.62</v>
      </c>
      <c r="T30" s="104">
        <f aca="true" t="shared" si="24" ref="T30:T40">P30+N30+L30+J30+H30+F30+R30</f>
        <v>4493.87</v>
      </c>
      <c r="U30" s="87">
        <v>1976.8</v>
      </c>
      <c r="V30" s="87">
        <v>2677.09</v>
      </c>
      <c r="W30" s="87">
        <v>6433.1</v>
      </c>
      <c r="X30" s="87">
        <v>4456.27</v>
      </c>
      <c r="Y30" s="87">
        <v>1581.47</v>
      </c>
      <c r="Z30" s="105">
        <v>0</v>
      </c>
      <c r="AA30" s="105">
        <v>0</v>
      </c>
      <c r="AB30" s="105">
        <f>SUM(U30:AA30)</f>
        <v>17124.730000000003</v>
      </c>
      <c r="AC30" s="109">
        <f aca="true" t="shared" si="25" ref="AC30:AC41">D30+T30+AB30</f>
        <v>24778.359999999997</v>
      </c>
      <c r="AD30" s="98">
        <f aca="true" t="shared" si="26" ref="AD30:AD41">P30+Z30</f>
        <v>0</v>
      </c>
      <c r="AE30" s="98">
        <f aca="true" t="shared" si="27" ref="AE30:AE40">R30+AA30</f>
        <v>0</v>
      </c>
      <c r="AF30" s="98">
        <f>'[5]Т01-10'!$I$7</f>
        <v>237.30328000000003</v>
      </c>
      <c r="AG30" s="16">
        <f aca="true" t="shared" si="28" ref="AG30:AG41">0.6*B30</f>
        <v>2211</v>
      </c>
      <c r="AH30" s="16">
        <f aca="true" t="shared" si="29" ref="AH30:AH41">B30*0.2</f>
        <v>737</v>
      </c>
      <c r="AI30" s="16">
        <f aca="true" t="shared" si="30" ref="AI30:AI41">1*B30</f>
        <v>3685</v>
      </c>
      <c r="AJ30" s="16">
        <v>0</v>
      </c>
      <c r="AK30" s="16">
        <f aca="true" t="shared" si="31" ref="AK30:AK41">0.98*B30</f>
        <v>3611.2999999999997</v>
      </c>
      <c r="AL30" s="16">
        <v>0</v>
      </c>
      <c r="AM30" s="16">
        <f aca="true" t="shared" si="32" ref="AM30:AM41">2.25*B30</f>
        <v>8291.25</v>
      </c>
      <c r="AN30" s="16">
        <v>0</v>
      </c>
      <c r="AO30" s="16">
        <v>4820.04</v>
      </c>
      <c r="AP30" s="16">
        <v>0</v>
      </c>
      <c r="AQ30" s="113"/>
      <c r="AR30" s="113"/>
      <c r="AS30" s="93">
        <v>5304</v>
      </c>
      <c r="AT30" s="93"/>
      <c r="AU30" s="93">
        <f aca="true" t="shared" si="33" ref="AU30:AU40">AT30*0.18</f>
        <v>0</v>
      </c>
      <c r="AV30" s="114"/>
      <c r="AW30" s="131">
        <v>1161</v>
      </c>
      <c r="AX30" s="16">
        <f aca="true" t="shared" si="34" ref="AX30:AX41">AW30*1.4</f>
        <v>1625.3999999999999</v>
      </c>
      <c r="AY30" s="117"/>
      <c r="AZ30" s="118"/>
      <c r="BA30" s="118">
        <f aca="true" t="shared" si="35" ref="BA30:BA40">AZ30*0.18</f>
        <v>0</v>
      </c>
      <c r="BB30" s="118">
        <f>SUM(AG30:BA30)-AV30-AW30</f>
        <v>30284.99</v>
      </c>
      <c r="BC30" s="129">
        <f>'[5]Т03-10'!$M$7</f>
        <v>112.968</v>
      </c>
      <c r="BD30" s="14">
        <f>AC30+AF30-BB30-BC30</f>
        <v>-5382.294720000004</v>
      </c>
      <c r="BE30" s="30">
        <f>AB30-S30</f>
        <v>-7096.889999999996</v>
      </c>
    </row>
    <row r="31" spans="1:57" ht="12.75" hidden="1">
      <c r="A31" s="11" t="s">
        <v>46</v>
      </c>
      <c r="B31" s="111">
        <v>3685</v>
      </c>
      <c r="C31" s="128">
        <f t="shared" si="21"/>
        <v>31875.25</v>
      </c>
      <c r="D31" s="127">
        <f t="shared" si="22"/>
        <v>3159.749999999997</v>
      </c>
      <c r="E31" s="136">
        <v>2772.06</v>
      </c>
      <c r="F31" s="103">
        <v>542.38</v>
      </c>
      <c r="G31" s="103">
        <v>3754.55</v>
      </c>
      <c r="H31" s="103">
        <v>735.15</v>
      </c>
      <c r="I31" s="103">
        <v>9021.47</v>
      </c>
      <c r="J31" s="103">
        <v>1765.62</v>
      </c>
      <c r="K31" s="103">
        <v>6249.4</v>
      </c>
      <c r="L31" s="103">
        <v>1223.27</v>
      </c>
      <c r="M31" s="103">
        <v>2217.73</v>
      </c>
      <c r="N31" s="103">
        <v>433.87</v>
      </c>
      <c r="O31" s="103">
        <v>0</v>
      </c>
      <c r="P31" s="110">
        <v>0</v>
      </c>
      <c r="Q31" s="110">
        <v>0</v>
      </c>
      <c r="R31" s="110">
        <v>0</v>
      </c>
      <c r="S31" s="87">
        <f t="shared" si="23"/>
        <v>24015.21</v>
      </c>
      <c r="T31" s="104">
        <f t="shared" si="24"/>
        <v>4700.29</v>
      </c>
      <c r="U31" s="87">
        <v>2693.11</v>
      </c>
      <c r="V31" s="87">
        <v>3648.54</v>
      </c>
      <c r="W31" s="87">
        <v>8765.2</v>
      </c>
      <c r="X31" s="87">
        <v>6072.09</v>
      </c>
      <c r="Y31" s="87">
        <v>2154.56</v>
      </c>
      <c r="Z31" s="105">
        <v>0</v>
      </c>
      <c r="AA31" s="105">
        <v>0</v>
      </c>
      <c r="AB31" s="105">
        <f>SUM(U31:AA31)</f>
        <v>23333.500000000004</v>
      </c>
      <c r="AC31" s="109">
        <f t="shared" si="25"/>
        <v>31193.54</v>
      </c>
      <c r="AD31" s="98">
        <f t="shared" si="26"/>
        <v>0</v>
      </c>
      <c r="AE31" s="98">
        <f t="shared" si="27"/>
        <v>0</v>
      </c>
      <c r="AF31" s="98">
        <f>'[5]Т01-10'!$I$7</f>
        <v>237.30328000000003</v>
      </c>
      <c r="AG31" s="16">
        <f t="shared" si="28"/>
        <v>2211</v>
      </c>
      <c r="AH31" s="16">
        <f t="shared" si="29"/>
        <v>737</v>
      </c>
      <c r="AI31" s="16">
        <f t="shared" si="30"/>
        <v>3685</v>
      </c>
      <c r="AJ31" s="16">
        <v>0</v>
      </c>
      <c r="AK31" s="16">
        <f t="shared" si="31"/>
        <v>3611.2999999999997</v>
      </c>
      <c r="AL31" s="16">
        <v>0</v>
      </c>
      <c r="AM31" s="16">
        <f t="shared" si="32"/>
        <v>8291.25</v>
      </c>
      <c r="AN31" s="16">
        <v>0</v>
      </c>
      <c r="AO31" s="16"/>
      <c r="AP31" s="16"/>
      <c r="AQ31" s="113"/>
      <c r="AR31" s="113"/>
      <c r="AS31" s="93">
        <v>5748</v>
      </c>
      <c r="AT31" s="93"/>
      <c r="AU31" s="93">
        <f t="shared" si="33"/>
        <v>0</v>
      </c>
      <c r="AV31" s="114"/>
      <c r="AW31" s="131">
        <v>1095</v>
      </c>
      <c r="AX31" s="16">
        <f t="shared" si="34"/>
        <v>1533</v>
      </c>
      <c r="AY31" s="117"/>
      <c r="AZ31" s="118"/>
      <c r="BA31" s="118">
        <f t="shared" si="35"/>
        <v>0</v>
      </c>
      <c r="BB31" s="118">
        <f>SUM(AG31:BA31)-AV31-AW31</f>
        <v>25816.55</v>
      </c>
      <c r="BC31" s="129">
        <f>'[5]Т03-10'!$M$7</f>
        <v>112.968</v>
      </c>
      <c r="BD31" s="14">
        <f aca="true" t="shared" si="36" ref="BD31:BD41">AC31+AF31-BB31-BC31</f>
        <v>5501.325280000002</v>
      </c>
      <c r="BE31" s="30">
        <f aca="true" t="shared" si="37" ref="BE31:BE41">AB31-S31</f>
        <v>-681.7099999999955</v>
      </c>
    </row>
    <row r="32" spans="1:57" ht="12.75" hidden="1">
      <c r="A32" s="11" t="s">
        <v>47</v>
      </c>
      <c r="B32" s="100">
        <v>3685</v>
      </c>
      <c r="C32" s="128">
        <f t="shared" si="21"/>
        <v>31875.25</v>
      </c>
      <c r="D32" s="127">
        <f t="shared" si="22"/>
        <v>4159.75</v>
      </c>
      <c r="E32" s="103">
        <v>2770.23</v>
      </c>
      <c r="F32" s="103">
        <v>544.21</v>
      </c>
      <c r="G32" s="103">
        <v>2752.07</v>
      </c>
      <c r="H32" s="103">
        <v>737.63</v>
      </c>
      <c r="I32" s="103">
        <v>9015.5</v>
      </c>
      <c r="J32" s="103">
        <v>1771.59</v>
      </c>
      <c r="K32" s="103">
        <v>6245.26</v>
      </c>
      <c r="L32" s="103">
        <v>1227.41</v>
      </c>
      <c r="M32" s="103">
        <v>2216.26</v>
      </c>
      <c r="N32" s="103">
        <v>435.34</v>
      </c>
      <c r="O32" s="103">
        <v>0</v>
      </c>
      <c r="P32" s="110">
        <v>0</v>
      </c>
      <c r="Q32" s="110">
        <v>0</v>
      </c>
      <c r="R32" s="110">
        <v>0</v>
      </c>
      <c r="S32" s="87">
        <f t="shared" si="23"/>
        <v>22999.32</v>
      </c>
      <c r="T32" s="104">
        <f t="shared" si="24"/>
        <v>4716.18</v>
      </c>
      <c r="U32" s="87">
        <v>2715.65</v>
      </c>
      <c r="V32" s="87">
        <v>3677.96</v>
      </c>
      <c r="W32" s="87">
        <v>8837.66</v>
      </c>
      <c r="X32" s="87">
        <v>6122.05</v>
      </c>
      <c r="Y32" s="87">
        <v>2172.63</v>
      </c>
      <c r="Z32" s="105">
        <v>0</v>
      </c>
      <c r="AA32" s="105">
        <v>0</v>
      </c>
      <c r="AB32" s="105">
        <f>SUM(U32:AA32)</f>
        <v>23525.95</v>
      </c>
      <c r="AC32" s="109">
        <f t="shared" si="25"/>
        <v>32401.88</v>
      </c>
      <c r="AD32" s="98">
        <f t="shared" si="26"/>
        <v>0</v>
      </c>
      <c r="AE32" s="98">
        <f t="shared" si="27"/>
        <v>0</v>
      </c>
      <c r="AF32" s="98">
        <f>'[5]Т01-10'!$I$7</f>
        <v>237.30328000000003</v>
      </c>
      <c r="AG32" s="16">
        <f t="shared" si="28"/>
        <v>2211</v>
      </c>
      <c r="AH32" s="16">
        <f t="shared" si="29"/>
        <v>737</v>
      </c>
      <c r="AI32" s="16">
        <f t="shared" si="30"/>
        <v>3685</v>
      </c>
      <c r="AJ32" s="16">
        <v>0</v>
      </c>
      <c r="AK32" s="16">
        <f t="shared" si="31"/>
        <v>3611.2999999999997</v>
      </c>
      <c r="AL32" s="16">
        <v>0</v>
      </c>
      <c r="AM32" s="16">
        <f t="shared" si="32"/>
        <v>8291.25</v>
      </c>
      <c r="AN32" s="16">
        <v>0</v>
      </c>
      <c r="AO32" s="16"/>
      <c r="AP32" s="16"/>
      <c r="AQ32" s="113">
        <v>6855</v>
      </c>
      <c r="AR32" s="113"/>
      <c r="AS32" s="93">
        <v>1884</v>
      </c>
      <c r="AT32" s="93"/>
      <c r="AU32" s="93">
        <f t="shared" si="33"/>
        <v>0</v>
      </c>
      <c r="AV32" s="114"/>
      <c r="AW32" s="131">
        <v>902</v>
      </c>
      <c r="AX32" s="16">
        <f t="shared" si="34"/>
        <v>1262.8</v>
      </c>
      <c r="AY32" s="117"/>
      <c r="AZ32" s="118"/>
      <c r="BA32" s="118">
        <f t="shared" si="35"/>
        <v>0</v>
      </c>
      <c r="BB32" s="118">
        <f>SUM(AG32:BA32)-AV32-AW32</f>
        <v>28537.35</v>
      </c>
      <c r="BC32" s="129">
        <f>'[5]Т03-10'!$M$7</f>
        <v>112.968</v>
      </c>
      <c r="BD32" s="14">
        <f t="shared" si="36"/>
        <v>3988.8652800000027</v>
      </c>
      <c r="BE32" s="30">
        <f t="shared" si="37"/>
        <v>526.630000000001</v>
      </c>
    </row>
    <row r="33" spans="1:57" ht="12.75" hidden="1">
      <c r="A33" s="11" t="s">
        <v>48</v>
      </c>
      <c r="B33" s="100">
        <v>3685</v>
      </c>
      <c r="C33" s="128">
        <f t="shared" si="21"/>
        <v>31875.25</v>
      </c>
      <c r="D33" s="127">
        <f t="shared" si="22"/>
        <v>4159.75</v>
      </c>
      <c r="E33" s="103">
        <v>2770.23</v>
      </c>
      <c r="F33" s="103">
        <v>544.21</v>
      </c>
      <c r="G33" s="103">
        <v>2752.07</v>
      </c>
      <c r="H33" s="103">
        <v>737.63</v>
      </c>
      <c r="I33" s="103">
        <v>9015.5</v>
      </c>
      <c r="J33" s="103">
        <v>1771.59</v>
      </c>
      <c r="K33" s="103">
        <v>6245.26</v>
      </c>
      <c r="L33" s="103">
        <v>1227.41</v>
      </c>
      <c r="M33" s="103">
        <v>2216.26</v>
      </c>
      <c r="N33" s="103">
        <v>435.34</v>
      </c>
      <c r="O33" s="103">
        <v>0</v>
      </c>
      <c r="P33" s="110">
        <v>0</v>
      </c>
      <c r="Q33" s="110"/>
      <c r="R33" s="110"/>
      <c r="S33" s="87">
        <f t="shared" si="23"/>
        <v>22999.32</v>
      </c>
      <c r="T33" s="104">
        <f t="shared" si="24"/>
        <v>4716.18</v>
      </c>
      <c r="U33" s="87">
        <v>2600.58</v>
      </c>
      <c r="V33" s="87">
        <v>3510.85</v>
      </c>
      <c r="W33" s="87">
        <v>8452.02</v>
      </c>
      <c r="X33" s="87">
        <v>5851.47</v>
      </c>
      <c r="Y33" s="87">
        <v>2080.55</v>
      </c>
      <c r="Z33" s="105">
        <v>0</v>
      </c>
      <c r="AA33" s="105">
        <v>0</v>
      </c>
      <c r="AB33" s="105">
        <f>SUM(U33:AA33)</f>
        <v>22495.47</v>
      </c>
      <c r="AC33" s="109">
        <f t="shared" si="25"/>
        <v>31371.4</v>
      </c>
      <c r="AD33" s="98">
        <f t="shared" si="26"/>
        <v>0</v>
      </c>
      <c r="AE33" s="98">
        <f t="shared" si="27"/>
        <v>0</v>
      </c>
      <c r="AF33" s="98">
        <f>'[6]Т04-10'!$I$7</f>
        <v>237.30328000000003</v>
      </c>
      <c r="AG33" s="16">
        <f t="shared" si="28"/>
        <v>2211</v>
      </c>
      <c r="AH33" s="16">
        <f t="shared" si="29"/>
        <v>737</v>
      </c>
      <c r="AI33" s="16">
        <f t="shared" si="30"/>
        <v>3685</v>
      </c>
      <c r="AJ33" s="16">
        <v>0</v>
      </c>
      <c r="AK33" s="16">
        <f t="shared" si="31"/>
        <v>3611.2999999999997</v>
      </c>
      <c r="AL33" s="16">
        <v>0</v>
      </c>
      <c r="AM33" s="16">
        <f t="shared" si="32"/>
        <v>8291.25</v>
      </c>
      <c r="AN33" s="16">
        <v>0</v>
      </c>
      <c r="AO33" s="16"/>
      <c r="AP33" s="16"/>
      <c r="AQ33" s="113"/>
      <c r="AR33" s="113"/>
      <c r="AS33" s="93">
        <v>5945</v>
      </c>
      <c r="AT33" s="93"/>
      <c r="AU33" s="93">
        <f t="shared" si="33"/>
        <v>0</v>
      </c>
      <c r="AV33" s="114"/>
      <c r="AW33" s="131">
        <v>878</v>
      </c>
      <c r="AX33" s="16">
        <f t="shared" si="34"/>
        <v>1229.1999999999998</v>
      </c>
      <c r="AY33" s="117"/>
      <c r="AZ33" s="118"/>
      <c r="BA33" s="118">
        <f t="shared" si="35"/>
        <v>0</v>
      </c>
      <c r="BB33" s="118">
        <f aca="true" t="shared" si="38" ref="BB33:BB41">SUM(AG33:BA33)-AV33-AW33</f>
        <v>25709.75</v>
      </c>
      <c r="BC33" s="129">
        <f>'[6]Т04-10'!$M$7</f>
        <v>112.968</v>
      </c>
      <c r="BD33" s="14">
        <f t="shared" si="36"/>
        <v>5785.985280000002</v>
      </c>
      <c r="BE33" s="30">
        <f t="shared" si="37"/>
        <v>-503.84999999999854</v>
      </c>
    </row>
    <row r="34" spans="1:57" ht="12.75" hidden="1">
      <c r="A34" s="11" t="s">
        <v>49</v>
      </c>
      <c r="B34" s="100">
        <v>3688.4</v>
      </c>
      <c r="C34" s="128">
        <f t="shared" si="21"/>
        <v>31904.660000000003</v>
      </c>
      <c r="D34" s="127">
        <f t="shared" si="22"/>
        <v>3178.1</v>
      </c>
      <c r="E34" s="103">
        <v>2771.47</v>
      </c>
      <c r="F34" s="103">
        <v>544.21</v>
      </c>
      <c r="G34" s="103">
        <v>3753.83</v>
      </c>
      <c r="H34" s="103">
        <v>737.63</v>
      </c>
      <c r="I34" s="103">
        <v>9019.67</v>
      </c>
      <c r="J34" s="103">
        <v>1771.59</v>
      </c>
      <c r="K34" s="103">
        <v>6248.14</v>
      </c>
      <c r="L34" s="103">
        <v>1227.41</v>
      </c>
      <c r="M34" s="103">
        <v>2217.27</v>
      </c>
      <c r="N34" s="103">
        <v>435.34</v>
      </c>
      <c r="O34" s="103">
        <v>0</v>
      </c>
      <c r="P34" s="110">
        <v>0</v>
      </c>
      <c r="Q34" s="110"/>
      <c r="R34" s="110"/>
      <c r="S34" s="87">
        <f t="shared" si="23"/>
        <v>24010.38</v>
      </c>
      <c r="T34" s="104">
        <f t="shared" si="24"/>
        <v>4716.18</v>
      </c>
      <c r="U34" s="137">
        <v>3036.38</v>
      </c>
      <c r="V34" s="137">
        <v>4112.11</v>
      </c>
      <c r="W34" s="137">
        <v>9881.28</v>
      </c>
      <c r="X34" s="137">
        <v>8944.82</v>
      </c>
      <c r="Y34" s="137">
        <v>2429.18</v>
      </c>
      <c r="Z34" s="138">
        <v>0</v>
      </c>
      <c r="AA34" s="138">
        <v>0</v>
      </c>
      <c r="AB34" s="105">
        <f aca="true" t="shared" si="39" ref="AB34:AB41">SUM(U34:AA34)</f>
        <v>28403.77</v>
      </c>
      <c r="AC34" s="109">
        <f t="shared" si="25"/>
        <v>36298.05</v>
      </c>
      <c r="AD34" s="98">
        <f t="shared" si="26"/>
        <v>0</v>
      </c>
      <c r="AE34" s="98">
        <f t="shared" si="27"/>
        <v>0</v>
      </c>
      <c r="AF34" s="98">
        <f>'[6]Т04-10'!$I$7</f>
        <v>237.30328000000003</v>
      </c>
      <c r="AG34" s="16">
        <f t="shared" si="28"/>
        <v>2213.04</v>
      </c>
      <c r="AH34" s="16">
        <f t="shared" si="29"/>
        <v>737.6800000000001</v>
      </c>
      <c r="AI34" s="16">
        <f t="shared" si="30"/>
        <v>3688.4</v>
      </c>
      <c r="AJ34" s="16">
        <v>0</v>
      </c>
      <c r="AK34" s="16">
        <f t="shared" si="31"/>
        <v>3614.632</v>
      </c>
      <c r="AL34" s="16">
        <v>0</v>
      </c>
      <c r="AM34" s="16">
        <f t="shared" si="32"/>
        <v>8298.9</v>
      </c>
      <c r="AN34" s="16">
        <v>0</v>
      </c>
      <c r="AO34" s="16"/>
      <c r="AP34" s="16"/>
      <c r="AQ34" s="113"/>
      <c r="AR34" s="113"/>
      <c r="AS34" s="93">
        <v>5353</v>
      </c>
      <c r="AT34" s="93"/>
      <c r="AU34" s="93">
        <f t="shared" si="33"/>
        <v>0</v>
      </c>
      <c r="AV34" s="114"/>
      <c r="AW34" s="131">
        <v>711</v>
      </c>
      <c r="AX34" s="16">
        <f t="shared" si="34"/>
        <v>995.4</v>
      </c>
      <c r="AY34" s="117"/>
      <c r="AZ34" s="118"/>
      <c r="BA34" s="118">
        <f t="shared" si="35"/>
        <v>0</v>
      </c>
      <c r="BB34" s="118">
        <f t="shared" si="38"/>
        <v>24901.052000000003</v>
      </c>
      <c r="BC34" s="129">
        <f>'[6]Т04-10'!$M$7</f>
        <v>112.968</v>
      </c>
      <c r="BD34" s="14">
        <f t="shared" si="36"/>
        <v>11521.333279999999</v>
      </c>
      <c r="BE34" s="30">
        <f t="shared" si="37"/>
        <v>4393.389999999999</v>
      </c>
    </row>
    <row r="35" spans="1:57" ht="12.75" hidden="1">
      <c r="A35" s="11" t="s">
        <v>50</v>
      </c>
      <c r="B35" s="100">
        <v>3688.4</v>
      </c>
      <c r="C35" s="128">
        <f t="shared" si="21"/>
        <v>31904.660000000003</v>
      </c>
      <c r="D35" s="127">
        <f t="shared" si="22"/>
        <v>3188.0900000000047</v>
      </c>
      <c r="E35" s="103">
        <v>2770.3</v>
      </c>
      <c r="F35" s="103">
        <v>544.21</v>
      </c>
      <c r="G35" s="103">
        <v>3752.27</v>
      </c>
      <c r="H35" s="103">
        <v>737.64</v>
      </c>
      <c r="I35" s="103">
        <v>9015.93</v>
      </c>
      <c r="J35" s="103">
        <v>1771.59</v>
      </c>
      <c r="K35" s="103">
        <v>6245.55</v>
      </c>
      <c r="L35" s="103">
        <v>1227.41</v>
      </c>
      <c r="M35" s="103">
        <v>2216.32</v>
      </c>
      <c r="N35" s="103">
        <v>435.35</v>
      </c>
      <c r="O35" s="103">
        <v>0</v>
      </c>
      <c r="P35" s="110">
        <v>0</v>
      </c>
      <c r="Q35" s="103">
        <v>0</v>
      </c>
      <c r="R35" s="110">
        <v>0</v>
      </c>
      <c r="S35" s="87">
        <f t="shared" si="23"/>
        <v>24000.37</v>
      </c>
      <c r="T35" s="104">
        <f t="shared" si="24"/>
        <v>4716.200000000001</v>
      </c>
      <c r="U35" s="87">
        <v>2207.33</v>
      </c>
      <c r="V35" s="87">
        <v>2990.21</v>
      </c>
      <c r="W35" s="87">
        <v>7183.98</v>
      </c>
      <c r="X35" s="87">
        <v>4976.65</v>
      </c>
      <c r="Y35" s="87">
        <v>1765.92</v>
      </c>
      <c r="Z35" s="105">
        <v>0</v>
      </c>
      <c r="AA35" s="105">
        <v>0</v>
      </c>
      <c r="AB35" s="105">
        <f t="shared" si="39"/>
        <v>19124.089999999997</v>
      </c>
      <c r="AC35" s="109">
        <f t="shared" si="25"/>
        <v>27028.38</v>
      </c>
      <c r="AD35" s="98">
        <f t="shared" si="26"/>
        <v>0</v>
      </c>
      <c r="AE35" s="98">
        <f t="shared" si="27"/>
        <v>0</v>
      </c>
      <c r="AF35" s="98">
        <f>'[6]Т04-10'!$I$7</f>
        <v>237.30328000000003</v>
      </c>
      <c r="AG35" s="16">
        <f t="shared" si="28"/>
        <v>2213.04</v>
      </c>
      <c r="AH35" s="16">
        <f t="shared" si="29"/>
        <v>737.6800000000001</v>
      </c>
      <c r="AI35" s="16">
        <f t="shared" si="30"/>
        <v>3688.4</v>
      </c>
      <c r="AJ35" s="16">
        <v>0</v>
      </c>
      <c r="AK35" s="16">
        <f t="shared" si="31"/>
        <v>3614.632</v>
      </c>
      <c r="AL35" s="16">
        <v>0</v>
      </c>
      <c r="AM35" s="16">
        <f t="shared" si="32"/>
        <v>8298.9</v>
      </c>
      <c r="AN35" s="16">
        <v>0</v>
      </c>
      <c r="AO35" s="16"/>
      <c r="AP35" s="16"/>
      <c r="AQ35" s="113">
        <f>100+500</f>
        <v>600</v>
      </c>
      <c r="AR35" s="113"/>
      <c r="AS35" s="93">
        <v>569</v>
      </c>
      <c r="AT35" s="93"/>
      <c r="AU35" s="93">
        <f t="shared" si="33"/>
        <v>0</v>
      </c>
      <c r="AV35" s="114"/>
      <c r="AW35" s="131">
        <v>475</v>
      </c>
      <c r="AX35" s="16">
        <f t="shared" si="34"/>
        <v>665</v>
      </c>
      <c r="AY35" s="117"/>
      <c r="AZ35" s="118"/>
      <c r="BA35" s="118">
        <f t="shared" si="35"/>
        <v>0</v>
      </c>
      <c r="BB35" s="118">
        <f t="shared" si="38"/>
        <v>20386.652000000002</v>
      </c>
      <c r="BC35" s="129">
        <f>'[6]Т06-10'!$M$7</f>
        <v>112.968</v>
      </c>
      <c r="BD35" s="14">
        <f t="shared" si="36"/>
        <v>6766.063279999999</v>
      </c>
      <c r="BE35" s="30">
        <f t="shared" si="37"/>
        <v>-4876.2800000000025</v>
      </c>
    </row>
    <row r="36" spans="1:57" ht="12.75" hidden="1">
      <c r="A36" s="11" t="s">
        <v>51</v>
      </c>
      <c r="B36" s="100">
        <v>3688.4</v>
      </c>
      <c r="C36" s="128">
        <f t="shared" si="21"/>
        <v>31904.660000000003</v>
      </c>
      <c r="D36" s="127">
        <f t="shared" si="22"/>
        <v>3145.420000000004</v>
      </c>
      <c r="E36" s="136">
        <v>3319.53</v>
      </c>
      <c r="F36" s="103">
        <v>0</v>
      </c>
      <c r="G36" s="103">
        <v>4496.45</v>
      </c>
      <c r="H36" s="103">
        <v>0</v>
      </c>
      <c r="I36" s="103">
        <v>10803.56</v>
      </c>
      <c r="J36" s="103">
        <v>0</v>
      </c>
      <c r="K36" s="103">
        <v>7484.02</v>
      </c>
      <c r="L36" s="103">
        <v>0</v>
      </c>
      <c r="M36" s="103">
        <v>2655.68</v>
      </c>
      <c r="N36" s="103">
        <v>0</v>
      </c>
      <c r="O36" s="103">
        <v>0</v>
      </c>
      <c r="P36" s="110">
        <v>0</v>
      </c>
      <c r="Q36" s="110"/>
      <c r="R36" s="110"/>
      <c r="S36" s="87">
        <f t="shared" si="23"/>
        <v>28759.24</v>
      </c>
      <c r="T36" s="104">
        <f t="shared" si="24"/>
        <v>0</v>
      </c>
      <c r="U36" s="89">
        <v>3378.87</v>
      </c>
      <c r="V36" s="87">
        <v>4575.85</v>
      </c>
      <c r="W36" s="87">
        <v>10995.99</v>
      </c>
      <c r="X36" s="87">
        <v>5539.52</v>
      </c>
      <c r="Y36" s="87">
        <v>2703.26</v>
      </c>
      <c r="Z36" s="105">
        <v>0</v>
      </c>
      <c r="AA36" s="105">
        <v>0</v>
      </c>
      <c r="AB36" s="105">
        <f t="shared" si="39"/>
        <v>27193.489999999998</v>
      </c>
      <c r="AC36" s="109">
        <f t="shared" si="25"/>
        <v>30338.910000000003</v>
      </c>
      <c r="AD36" s="98">
        <f t="shared" si="26"/>
        <v>0</v>
      </c>
      <c r="AE36" s="98">
        <f t="shared" si="27"/>
        <v>0</v>
      </c>
      <c r="AF36" s="98"/>
      <c r="AG36" s="16">
        <f t="shared" si="28"/>
        <v>2213.04</v>
      </c>
      <c r="AH36" s="16">
        <f t="shared" si="29"/>
        <v>737.6800000000001</v>
      </c>
      <c r="AI36" s="16">
        <f t="shared" si="30"/>
        <v>3688.4</v>
      </c>
      <c r="AJ36" s="16">
        <v>0</v>
      </c>
      <c r="AK36" s="16">
        <f t="shared" si="31"/>
        <v>3614.632</v>
      </c>
      <c r="AL36" s="16">
        <v>0</v>
      </c>
      <c r="AM36" s="16">
        <f t="shared" si="32"/>
        <v>8298.9</v>
      </c>
      <c r="AN36" s="16">
        <v>0</v>
      </c>
      <c r="AO36" s="16"/>
      <c r="AP36" s="16"/>
      <c r="AQ36" s="113"/>
      <c r="AR36" s="113"/>
      <c r="AS36" s="93"/>
      <c r="AT36" s="93"/>
      <c r="AU36" s="93">
        <f t="shared" si="33"/>
        <v>0</v>
      </c>
      <c r="AV36" s="114"/>
      <c r="AW36" s="131">
        <v>545</v>
      </c>
      <c r="AX36" s="16">
        <f t="shared" si="34"/>
        <v>763</v>
      </c>
      <c r="AY36" s="117"/>
      <c r="AZ36" s="118"/>
      <c r="BA36" s="118">
        <f t="shared" si="35"/>
        <v>0</v>
      </c>
      <c r="BB36" s="118">
        <f t="shared" si="38"/>
        <v>19315.652000000002</v>
      </c>
      <c r="BC36" s="129"/>
      <c r="BD36" s="14">
        <f t="shared" si="36"/>
        <v>11023.258000000002</v>
      </c>
      <c r="BE36" s="30">
        <f t="shared" si="37"/>
        <v>-1565.7500000000036</v>
      </c>
    </row>
    <row r="37" spans="1:57" ht="12.75" hidden="1">
      <c r="A37" s="11" t="s">
        <v>52</v>
      </c>
      <c r="B37" s="100">
        <v>3688.4</v>
      </c>
      <c r="C37" s="128">
        <f t="shared" si="21"/>
        <v>31904.660000000003</v>
      </c>
      <c r="D37" s="127">
        <f t="shared" si="22"/>
        <v>3140.920000000004</v>
      </c>
      <c r="E37" s="136">
        <v>3320.06</v>
      </c>
      <c r="F37" s="103">
        <v>0</v>
      </c>
      <c r="G37" s="103">
        <v>4497.15</v>
      </c>
      <c r="H37" s="103">
        <v>0</v>
      </c>
      <c r="I37" s="103">
        <v>10805.27</v>
      </c>
      <c r="J37" s="103">
        <v>0</v>
      </c>
      <c r="K37" s="103">
        <v>7485.16</v>
      </c>
      <c r="L37" s="103">
        <v>0</v>
      </c>
      <c r="M37" s="103">
        <v>2656.1</v>
      </c>
      <c r="N37" s="103">
        <v>0</v>
      </c>
      <c r="O37" s="103">
        <v>0</v>
      </c>
      <c r="P37" s="110">
        <v>0</v>
      </c>
      <c r="Q37" s="110"/>
      <c r="R37" s="110"/>
      <c r="S37" s="87">
        <f t="shared" si="23"/>
        <v>28763.739999999998</v>
      </c>
      <c r="T37" s="104">
        <f t="shared" si="24"/>
        <v>0</v>
      </c>
      <c r="U37" s="137">
        <v>2638.66</v>
      </c>
      <c r="V37" s="137">
        <v>3574.28</v>
      </c>
      <c r="W37" s="137">
        <v>8587.69</v>
      </c>
      <c r="X37" s="137">
        <v>5949.14</v>
      </c>
      <c r="Y37" s="137">
        <v>2110.97</v>
      </c>
      <c r="Z37" s="138">
        <v>0</v>
      </c>
      <c r="AA37" s="138">
        <v>0</v>
      </c>
      <c r="AB37" s="105">
        <f t="shared" si="39"/>
        <v>22860.74</v>
      </c>
      <c r="AC37" s="109">
        <f t="shared" si="25"/>
        <v>26001.660000000007</v>
      </c>
      <c r="AD37" s="98">
        <f t="shared" si="26"/>
        <v>0</v>
      </c>
      <c r="AE37" s="98">
        <f t="shared" si="27"/>
        <v>0</v>
      </c>
      <c r="AF37" s="98"/>
      <c r="AG37" s="16">
        <f t="shared" si="28"/>
        <v>2213.04</v>
      </c>
      <c r="AH37" s="16">
        <f t="shared" si="29"/>
        <v>737.6800000000001</v>
      </c>
      <c r="AI37" s="16">
        <f t="shared" si="30"/>
        <v>3688.4</v>
      </c>
      <c r="AJ37" s="16">
        <v>0</v>
      </c>
      <c r="AK37" s="16">
        <f t="shared" si="31"/>
        <v>3614.632</v>
      </c>
      <c r="AL37" s="16">
        <v>0</v>
      </c>
      <c r="AM37" s="16">
        <f t="shared" si="32"/>
        <v>8298.9</v>
      </c>
      <c r="AN37" s="16">
        <v>0</v>
      </c>
      <c r="AO37" s="16"/>
      <c r="AP37" s="16"/>
      <c r="AQ37" s="113"/>
      <c r="AR37" s="113"/>
      <c r="AS37" s="93"/>
      <c r="AT37" s="93">
        <f>47.8+54</f>
        <v>101.8</v>
      </c>
      <c r="AU37" s="93"/>
      <c r="AV37" s="114"/>
      <c r="AW37" s="131">
        <v>512</v>
      </c>
      <c r="AX37" s="16">
        <f t="shared" si="34"/>
        <v>716.8</v>
      </c>
      <c r="AY37" s="117"/>
      <c r="AZ37" s="118"/>
      <c r="BA37" s="118">
        <f t="shared" si="35"/>
        <v>0</v>
      </c>
      <c r="BB37" s="118">
        <f t="shared" si="38"/>
        <v>19371.252</v>
      </c>
      <c r="BC37" s="129"/>
      <c r="BD37" s="14">
        <f t="shared" si="36"/>
        <v>6630.408000000007</v>
      </c>
      <c r="BE37" s="30">
        <f t="shared" si="37"/>
        <v>-5902.999999999996</v>
      </c>
    </row>
    <row r="38" spans="1:57" ht="12.75" hidden="1">
      <c r="A38" s="11" t="s">
        <v>53</v>
      </c>
      <c r="B38" s="139">
        <v>3688.4</v>
      </c>
      <c r="C38" s="128">
        <f t="shared" si="21"/>
        <v>31904.660000000003</v>
      </c>
      <c r="D38" s="127">
        <f t="shared" si="22"/>
        <v>3134.8000000000034</v>
      </c>
      <c r="E38" s="103">
        <v>3320.79</v>
      </c>
      <c r="F38" s="103">
        <v>0</v>
      </c>
      <c r="G38" s="103">
        <v>4498.07</v>
      </c>
      <c r="H38" s="103">
        <v>0</v>
      </c>
      <c r="I38" s="103">
        <v>10807.57</v>
      </c>
      <c r="J38" s="103">
        <v>0</v>
      </c>
      <c r="K38" s="103">
        <v>7486.75</v>
      </c>
      <c r="L38" s="103">
        <v>0</v>
      </c>
      <c r="M38" s="103">
        <v>2656.68</v>
      </c>
      <c r="N38" s="103">
        <v>0</v>
      </c>
      <c r="O38" s="103">
        <v>0</v>
      </c>
      <c r="P38" s="110">
        <v>0</v>
      </c>
      <c r="Q38" s="110"/>
      <c r="R38" s="110"/>
      <c r="S38" s="87">
        <f t="shared" si="23"/>
        <v>28769.86</v>
      </c>
      <c r="T38" s="104">
        <f t="shared" si="24"/>
        <v>0</v>
      </c>
      <c r="U38" s="87">
        <v>3151.32</v>
      </c>
      <c r="V38" s="87">
        <v>4268.48</v>
      </c>
      <c r="W38" s="87">
        <v>10255.94</v>
      </c>
      <c r="X38" s="87">
        <v>7082.14</v>
      </c>
      <c r="Y38" s="87">
        <v>2521.04</v>
      </c>
      <c r="Z38" s="105">
        <v>0</v>
      </c>
      <c r="AA38" s="105">
        <v>0</v>
      </c>
      <c r="AB38" s="105">
        <f t="shared" si="39"/>
        <v>27278.92</v>
      </c>
      <c r="AC38" s="109">
        <f t="shared" si="25"/>
        <v>30413.72</v>
      </c>
      <c r="AD38" s="98">
        <f t="shared" si="26"/>
        <v>0</v>
      </c>
      <c r="AE38" s="98">
        <f t="shared" si="27"/>
        <v>0</v>
      </c>
      <c r="AF38" s="98"/>
      <c r="AG38" s="16">
        <f t="shared" si="28"/>
        <v>2213.04</v>
      </c>
      <c r="AH38" s="16">
        <f t="shared" si="29"/>
        <v>737.6800000000001</v>
      </c>
      <c r="AI38" s="16">
        <f t="shared" si="30"/>
        <v>3688.4</v>
      </c>
      <c r="AJ38" s="16">
        <v>0</v>
      </c>
      <c r="AK38" s="16">
        <f t="shared" si="31"/>
        <v>3614.632</v>
      </c>
      <c r="AL38" s="16">
        <v>0</v>
      </c>
      <c r="AM38" s="16">
        <f t="shared" si="32"/>
        <v>8298.9</v>
      </c>
      <c r="AN38" s="16">
        <v>0</v>
      </c>
      <c r="AO38" s="16"/>
      <c r="AP38" s="16"/>
      <c r="AQ38" s="113"/>
      <c r="AR38" s="113"/>
      <c r="AS38" s="93">
        <v>2214</v>
      </c>
      <c r="AT38" s="93"/>
      <c r="AU38" s="140">
        <f t="shared" si="33"/>
        <v>0</v>
      </c>
      <c r="AV38" s="114"/>
      <c r="AW38" s="131">
        <v>979</v>
      </c>
      <c r="AX38" s="16">
        <f t="shared" si="34"/>
        <v>1370.6</v>
      </c>
      <c r="AY38" s="117"/>
      <c r="AZ38" s="118"/>
      <c r="BA38" s="118">
        <f t="shared" si="35"/>
        <v>0</v>
      </c>
      <c r="BB38" s="118">
        <f t="shared" si="38"/>
        <v>22137.252</v>
      </c>
      <c r="BC38" s="129"/>
      <c r="BD38" s="14">
        <f t="shared" si="36"/>
        <v>8276.468</v>
      </c>
      <c r="BE38" s="30">
        <f t="shared" si="37"/>
        <v>-1490.9400000000023</v>
      </c>
    </row>
    <row r="39" spans="1:57" ht="12.75" hidden="1">
      <c r="A39" s="11" t="s">
        <v>41</v>
      </c>
      <c r="B39" s="100">
        <v>3688.4</v>
      </c>
      <c r="C39" s="128">
        <f t="shared" si="21"/>
        <v>31904.660000000003</v>
      </c>
      <c r="D39" s="127">
        <f t="shared" si="22"/>
        <v>3579.360000000001</v>
      </c>
      <c r="E39" s="123">
        <v>3269.58</v>
      </c>
      <c r="F39" s="123">
        <v>0</v>
      </c>
      <c r="G39" s="123">
        <v>4428.45</v>
      </c>
      <c r="H39" s="123">
        <v>0</v>
      </c>
      <c r="I39" s="123">
        <v>10640.6</v>
      </c>
      <c r="J39" s="123">
        <v>0</v>
      </c>
      <c r="K39" s="123">
        <v>7370.99</v>
      </c>
      <c r="L39" s="123">
        <v>0</v>
      </c>
      <c r="M39" s="123">
        <v>2615.68</v>
      </c>
      <c r="N39" s="123">
        <v>0</v>
      </c>
      <c r="O39" s="123">
        <v>0</v>
      </c>
      <c r="P39" s="124">
        <v>0</v>
      </c>
      <c r="Q39" s="124"/>
      <c r="R39" s="124"/>
      <c r="S39" s="87">
        <f t="shared" si="23"/>
        <v>28325.300000000003</v>
      </c>
      <c r="T39" s="104">
        <f t="shared" si="24"/>
        <v>0</v>
      </c>
      <c r="U39" s="87">
        <v>3435.89</v>
      </c>
      <c r="V39" s="87">
        <v>4653.78</v>
      </c>
      <c r="W39" s="87">
        <v>11182.13</v>
      </c>
      <c r="X39" s="87">
        <v>7746.13</v>
      </c>
      <c r="Y39" s="87">
        <v>2748.85</v>
      </c>
      <c r="Z39" s="105">
        <v>0</v>
      </c>
      <c r="AA39" s="105">
        <v>0</v>
      </c>
      <c r="AB39" s="105">
        <f t="shared" si="39"/>
        <v>29766.78</v>
      </c>
      <c r="AC39" s="109">
        <f t="shared" si="25"/>
        <v>33346.14</v>
      </c>
      <c r="AD39" s="98">
        <f t="shared" si="26"/>
        <v>0</v>
      </c>
      <c r="AE39" s="98">
        <f t="shared" si="27"/>
        <v>0</v>
      </c>
      <c r="AF39" s="98">
        <v>150</v>
      </c>
      <c r="AG39" s="16">
        <f t="shared" si="28"/>
        <v>2213.04</v>
      </c>
      <c r="AH39" s="16">
        <f t="shared" si="29"/>
        <v>737.6800000000001</v>
      </c>
      <c r="AI39" s="16">
        <f t="shared" si="30"/>
        <v>3688.4</v>
      </c>
      <c r="AJ39" s="16">
        <v>0</v>
      </c>
      <c r="AK39" s="16">
        <f t="shared" si="31"/>
        <v>3614.632</v>
      </c>
      <c r="AL39" s="16">
        <v>0</v>
      </c>
      <c r="AM39" s="16">
        <f t="shared" si="32"/>
        <v>8298.9</v>
      </c>
      <c r="AN39" s="16">
        <v>0</v>
      </c>
      <c r="AO39" s="16">
        <v>3441.42</v>
      </c>
      <c r="AP39" s="16"/>
      <c r="AQ39" s="113"/>
      <c r="AR39" s="113"/>
      <c r="AS39" s="93">
        <v>1742</v>
      </c>
      <c r="AT39" s="93">
        <f>84+60</f>
        <v>144</v>
      </c>
      <c r="AU39" s="93"/>
      <c r="AV39" s="114"/>
      <c r="AW39" s="131">
        <v>758</v>
      </c>
      <c r="AX39" s="16">
        <f t="shared" si="34"/>
        <v>1061.2</v>
      </c>
      <c r="AY39" s="117"/>
      <c r="AZ39" s="118"/>
      <c r="BA39" s="118">
        <f t="shared" si="35"/>
        <v>0</v>
      </c>
      <c r="BB39" s="118">
        <f t="shared" si="38"/>
        <v>24941.272</v>
      </c>
      <c r="BC39" s="129">
        <v>37.5</v>
      </c>
      <c r="BD39" s="14">
        <f t="shared" si="36"/>
        <v>8517.367999999999</v>
      </c>
      <c r="BE39" s="30">
        <f t="shared" si="37"/>
        <v>1441.479999999996</v>
      </c>
    </row>
    <row r="40" spans="1:57" ht="12.75" hidden="1">
      <c r="A40" s="11" t="s">
        <v>42</v>
      </c>
      <c r="B40" s="100">
        <v>3688.4</v>
      </c>
      <c r="C40" s="128">
        <f t="shared" si="21"/>
        <v>31904.660000000003</v>
      </c>
      <c r="D40" s="127">
        <f t="shared" si="22"/>
        <v>3279.550000000004</v>
      </c>
      <c r="E40" s="103">
        <v>3304.13</v>
      </c>
      <c r="F40" s="103">
        <v>0</v>
      </c>
      <c r="G40" s="103">
        <v>4475.37</v>
      </c>
      <c r="H40" s="103">
        <v>0</v>
      </c>
      <c r="I40" s="103">
        <v>10753.21</v>
      </c>
      <c r="J40" s="103">
        <v>0</v>
      </c>
      <c r="K40" s="103">
        <v>7449.06</v>
      </c>
      <c r="L40" s="103">
        <v>0</v>
      </c>
      <c r="M40" s="103">
        <v>2643.34</v>
      </c>
      <c r="N40" s="103">
        <v>0</v>
      </c>
      <c r="O40" s="103">
        <v>0</v>
      </c>
      <c r="P40" s="110">
        <v>0</v>
      </c>
      <c r="Q40" s="110"/>
      <c r="R40" s="110"/>
      <c r="S40" s="87">
        <f t="shared" si="23"/>
        <v>28625.11</v>
      </c>
      <c r="T40" s="104">
        <f t="shared" si="24"/>
        <v>0</v>
      </c>
      <c r="U40" s="89">
        <v>3042.72</v>
      </c>
      <c r="V40" s="87">
        <v>4122.26</v>
      </c>
      <c r="W40" s="87">
        <v>9903.24</v>
      </c>
      <c r="X40" s="87">
        <v>6860.41</v>
      </c>
      <c r="Y40" s="87">
        <v>2434.19</v>
      </c>
      <c r="Z40" s="105">
        <v>0</v>
      </c>
      <c r="AA40" s="105">
        <v>0</v>
      </c>
      <c r="AB40" s="105">
        <f t="shared" si="39"/>
        <v>26362.82</v>
      </c>
      <c r="AC40" s="109">
        <f t="shared" si="25"/>
        <v>29642.370000000003</v>
      </c>
      <c r="AD40" s="98">
        <f t="shared" si="26"/>
        <v>0</v>
      </c>
      <c r="AE40" s="98">
        <f t="shared" si="27"/>
        <v>0</v>
      </c>
      <c r="AF40" s="98">
        <v>150</v>
      </c>
      <c r="AG40" s="16">
        <f t="shared" si="28"/>
        <v>2213.04</v>
      </c>
      <c r="AH40" s="16">
        <f t="shared" si="29"/>
        <v>737.6800000000001</v>
      </c>
      <c r="AI40" s="16">
        <f t="shared" si="30"/>
        <v>3688.4</v>
      </c>
      <c r="AJ40" s="16">
        <v>0</v>
      </c>
      <c r="AK40" s="16">
        <f t="shared" si="31"/>
        <v>3614.632</v>
      </c>
      <c r="AL40" s="16">
        <v>0</v>
      </c>
      <c r="AM40" s="16">
        <f t="shared" si="32"/>
        <v>8298.9</v>
      </c>
      <c r="AN40" s="16">
        <v>0</v>
      </c>
      <c r="AO40" s="16"/>
      <c r="AP40" s="16"/>
      <c r="AQ40" s="113"/>
      <c r="AR40" s="113"/>
      <c r="AS40" s="93">
        <v>5678</v>
      </c>
      <c r="AT40" s="93"/>
      <c r="AU40" s="93">
        <f t="shared" si="33"/>
        <v>0</v>
      </c>
      <c r="AV40" s="114"/>
      <c r="AW40" s="131">
        <v>769</v>
      </c>
      <c r="AX40" s="16">
        <f t="shared" si="34"/>
        <v>1076.6</v>
      </c>
      <c r="AY40" s="117"/>
      <c r="AZ40" s="118"/>
      <c r="BA40" s="118">
        <f t="shared" si="35"/>
        <v>0</v>
      </c>
      <c r="BB40" s="118">
        <f t="shared" si="38"/>
        <v>25307.252</v>
      </c>
      <c r="BC40" s="129">
        <v>37.5</v>
      </c>
      <c r="BD40" s="14">
        <f t="shared" si="36"/>
        <v>4447.618000000002</v>
      </c>
      <c r="BE40" s="30">
        <f t="shared" si="37"/>
        <v>-2262.290000000001</v>
      </c>
    </row>
    <row r="41" spans="1:57" ht="12.75" hidden="1">
      <c r="A41" s="11" t="s">
        <v>43</v>
      </c>
      <c r="B41" s="142">
        <v>3688.4</v>
      </c>
      <c r="C41" s="128">
        <f t="shared" si="21"/>
        <v>31904.660000000003</v>
      </c>
      <c r="D41" s="127">
        <f t="shared" si="22"/>
        <v>3278.540000000005</v>
      </c>
      <c r="E41" s="143">
        <v>3304.24</v>
      </c>
      <c r="F41" s="143">
        <v>0</v>
      </c>
      <c r="G41" s="143">
        <v>4475.54</v>
      </c>
      <c r="H41" s="143">
        <v>0</v>
      </c>
      <c r="I41" s="143">
        <v>10753.58</v>
      </c>
      <c r="J41" s="143">
        <v>0</v>
      </c>
      <c r="K41" s="143">
        <v>7449.32</v>
      </c>
      <c r="L41" s="143">
        <v>0</v>
      </c>
      <c r="M41" s="143">
        <v>2643.44</v>
      </c>
      <c r="N41" s="143">
        <v>0</v>
      </c>
      <c r="O41" s="143">
        <v>0</v>
      </c>
      <c r="P41" s="144">
        <v>0</v>
      </c>
      <c r="Q41" s="144"/>
      <c r="R41" s="144"/>
      <c r="S41" s="145">
        <f>E41+G41+I41+K41+M41+O41+Q42</f>
        <v>28626.12</v>
      </c>
      <c r="T41" s="146">
        <f>P41+N41+L41+J41+H41+F41+R42</f>
        <v>0</v>
      </c>
      <c r="U41" s="145">
        <v>3969.7</v>
      </c>
      <c r="V41" s="145">
        <v>5376.28</v>
      </c>
      <c r="W41" s="145">
        <v>12918.77</v>
      </c>
      <c r="X41" s="145">
        <v>8948.88</v>
      </c>
      <c r="Y41" s="145">
        <v>3175.83</v>
      </c>
      <c r="Z41" s="147">
        <v>0</v>
      </c>
      <c r="AA41" s="147">
        <v>0</v>
      </c>
      <c r="AB41" s="147">
        <f t="shared" si="39"/>
        <v>34389.46</v>
      </c>
      <c r="AC41" s="148">
        <f t="shared" si="25"/>
        <v>37668.00000000001</v>
      </c>
      <c r="AD41" s="149">
        <f t="shared" si="26"/>
        <v>0</v>
      </c>
      <c r="AE41" s="149">
        <f>R42+AA41</f>
        <v>0</v>
      </c>
      <c r="AF41" s="149">
        <v>150</v>
      </c>
      <c r="AG41" s="150">
        <f t="shared" si="28"/>
        <v>2213.04</v>
      </c>
      <c r="AH41" s="150">
        <f t="shared" si="29"/>
        <v>737.6800000000001</v>
      </c>
      <c r="AI41" s="150">
        <f t="shared" si="30"/>
        <v>3688.4</v>
      </c>
      <c r="AJ41" s="150">
        <v>0</v>
      </c>
      <c r="AK41" s="150">
        <f t="shared" si="31"/>
        <v>3614.632</v>
      </c>
      <c r="AL41" s="150">
        <v>0</v>
      </c>
      <c r="AM41" s="150">
        <f t="shared" si="32"/>
        <v>8298.9</v>
      </c>
      <c r="AN41" s="150">
        <v>0</v>
      </c>
      <c r="AO41" s="150"/>
      <c r="AP41" s="150"/>
      <c r="AQ41" s="151"/>
      <c r="AR41" s="151"/>
      <c r="AS41" s="152"/>
      <c r="AT41" s="152">
        <f>6049+425.85+463.56+1283.05+628.47+74533.16+31890.59</f>
        <v>115273.68</v>
      </c>
      <c r="AU41" s="152">
        <f>(425.85+463.56+1283.05+628.47+74533.16+31890.59)*0.18</f>
        <v>19660.442399999996</v>
      </c>
      <c r="AV41" s="153"/>
      <c r="AW41" s="154">
        <v>1273</v>
      </c>
      <c r="AX41" s="150">
        <f t="shared" si="34"/>
        <v>1782.1999999999998</v>
      </c>
      <c r="AY41" s="117"/>
      <c r="AZ41" s="155"/>
      <c r="BA41" s="155">
        <v>0</v>
      </c>
      <c r="BB41" s="155">
        <f t="shared" si="38"/>
        <v>155268.9744</v>
      </c>
      <c r="BC41" s="156">
        <v>37.5</v>
      </c>
      <c r="BD41" s="14">
        <f t="shared" si="36"/>
        <v>-117488.4744</v>
      </c>
      <c r="BE41" s="30">
        <f t="shared" si="37"/>
        <v>5763.34</v>
      </c>
    </row>
    <row r="42" spans="1:57" s="20" customFormat="1" ht="12.75" hidden="1">
      <c r="A42" s="17" t="s">
        <v>5</v>
      </c>
      <c r="B42" s="60"/>
      <c r="C42" s="60">
        <f aca="true" t="shared" si="40" ref="C42:AU42">SUM(C30:C41)</f>
        <v>382738.28000000014</v>
      </c>
      <c r="D42" s="60">
        <f t="shared" si="40"/>
        <v>40563.79000000002</v>
      </c>
      <c r="E42" s="57">
        <f t="shared" si="40"/>
        <v>36488.49999999999</v>
      </c>
      <c r="F42" s="57">
        <f t="shared" si="40"/>
        <v>3237.78</v>
      </c>
      <c r="G42" s="57">
        <f t="shared" si="40"/>
        <v>47422.65</v>
      </c>
      <c r="H42" s="57">
        <f t="shared" si="40"/>
        <v>4388.54</v>
      </c>
      <c r="I42" s="57">
        <f t="shared" si="40"/>
        <v>118750.86999999998</v>
      </c>
      <c r="J42" s="57">
        <f t="shared" si="40"/>
        <v>10540.06</v>
      </c>
      <c r="K42" s="57">
        <f t="shared" si="40"/>
        <v>82262.03</v>
      </c>
      <c r="L42" s="57">
        <f t="shared" si="40"/>
        <v>7302.459999999999</v>
      </c>
      <c r="M42" s="57">
        <f t="shared" si="40"/>
        <v>29191.54</v>
      </c>
      <c r="N42" s="57">
        <f t="shared" si="40"/>
        <v>2590.06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314115.58999999997</v>
      </c>
      <c r="T42" s="57">
        <f t="shared" si="40"/>
        <v>28058.9</v>
      </c>
      <c r="U42" s="61">
        <f t="shared" si="40"/>
        <v>34847.01</v>
      </c>
      <c r="V42" s="61">
        <f t="shared" si="40"/>
        <v>47187.689999999995</v>
      </c>
      <c r="W42" s="61">
        <f t="shared" si="40"/>
        <v>113397.00000000001</v>
      </c>
      <c r="X42" s="61">
        <f t="shared" si="40"/>
        <v>78549.56999999999</v>
      </c>
      <c r="Y42" s="61">
        <f t="shared" si="40"/>
        <v>27878.449999999997</v>
      </c>
      <c r="Z42" s="61">
        <f t="shared" si="40"/>
        <v>0</v>
      </c>
      <c r="AA42" s="61">
        <f t="shared" si="40"/>
        <v>0</v>
      </c>
      <c r="AB42" s="61">
        <f t="shared" si="40"/>
        <v>301859.72</v>
      </c>
      <c r="AC42" s="61">
        <f t="shared" si="40"/>
        <v>370482.41000000003</v>
      </c>
      <c r="AD42" s="61">
        <f t="shared" si="40"/>
        <v>0</v>
      </c>
      <c r="AE42" s="96">
        <f t="shared" si="40"/>
        <v>0</v>
      </c>
      <c r="AF42" s="96">
        <f t="shared" si="40"/>
        <v>1873.8196800000003</v>
      </c>
      <c r="AG42" s="18">
        <f t="shared" si="40"/>
        <v>26548.320000000007</v>
      </c>
      <c r="AH42" s="18">
        <f t="shared" si="40"/>
        <v>8849.440000000002</v>
      </c>
      <c r="AI42" s="18">
        <f t="shared" si="40"/>
        <v>44247.20000000001</v>
      </c>
      <c r="AJ42" s="18">
        <f t="shared" si="40"/>
        <v>0</v>
      </c>
      <c r="AK42" s="18">
        <f t="shared" si="40"/>
        <v>43362.256</v>
      </c>
      <c r="AL42" s="18">
        <f t="shared" si="40"/>
        <v>0</v>
      </c>
      <c r="AM42" s="18">
        <f t="shared" si="40"/>
        <v>99556.19999999998</v>
      </c>
      <c r="AN42" s="18">
        <f t="shared" si="40"/>
        <v>0</v>
      </c>
      <c r="AO42" s="18">
        <f t="shared" si="40"/>
        <v>8261.46</v>
      </c>
      <c r="AP42" s="18">
        <f t="shared" si="40"/>
        <v>0</v>
      </c>
      <c r="AQ42" s="18">
        <f t="shared" si="40"/>
        <v>7455</v>
      </c>
      <c r="AR42" s="18">
        <f t="shared" si="40"/>
        <v>0</v>
      </c>
      <c r="AS42" s="18">
        <f t="shared" si="40"/>
        <v>34437</v>
      </c>
      <c r="AT42" s="18">
        <f t="shared" si="40"/>
        <v>115519.48</v>
      </c>
      <c r="AU42" s="18">
        <f t="shared" si="40"/>
        <v>19660.442399999996</v>
      </c>
      <c r="AV42" s="18"/>
      <c r="AW42" s="18"/>
      <c r="AX42" s="18">
        <f aca="true" t="shared" si="41" ref="AX42:BE42">SUM(AX30:AX41)</f>
        <v>14081.2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421977.99840000004</v>
      </c>
      <c r="BC42" s="18">
        <f t="shared" si="41"/>
        <v>790.308</v>
      </c>
      <c r="BD42" s="18">
        <f t="shared" si="41"/>
        <v>-50412.07672</v>
      </c>
      <c r="BE42" s="19">
        <f t="shared" si="41"/>
        <v>-12255.869999999999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7"/>
      <c r="AD43" s="97"/>
      <c r="AE43" s="98"/>
      <c r="AF43" s="98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2"/>
      <c r="AT43" s="92"/>
      <c r="AU43" s="93"/>
      <c r="AV43" s="93"/>
      <c r="AW43" s="93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860887.7900000002</v>
      </c>
      <c r="D44" s="23">
        <f t="shared" si="42"/>
        <v>105794.88502720004</v>
      </c>
      <c r="E44" s="50">
        <f t="shared" si="42"/>
        <v>76326.72999999998</v>
      </c>
      <c r="F44" s="50">
        <f t="shared" si="42"/>
        <v>10653.999999999998</v>
      </c>
      <c r="G44" s="50">
        <f t="shared" si="42"/>
        <v>101303.07</v>
      </c>
      <c r="H44" s="50">
        <f t="shared" si="42"/>
        <v>14423.18</v>
      </c>
      <c r="I44" s="50">
        <f t="shared" si="42"/>
        <v>248324.16999999998</v>
      </c>
      <c r="J44" s="50">
        <f t="shared" si="42"/>
        <v>34664.60999999999</v>
      </c>
      <c r="K44" s="50">
        <f t="shared" si="42"/>
        <v>171997.09</v>
      </c>
      <c r="L44" s="50">
        <f t="shared" si="42"/>
        <v>24011.21</v>
      </c>
      <c r="M44" s="50">
        <f t="shared" si="42"/>
        <v>61063.14000000001</v>
      </c>
      <c r="N44" s="50">
        <f t="shared" si="42"/>
        <v>8522.650000000001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659014.2</v>
      </c>
      <c r="T44" s="50">
        <f t="shared" si="42"/>
        <v>92275.65</v>
      </c>
      <c r="U44" s="53">
        <f t="shared" si="42"/>
        <v>71253.766</v>
      </c>
      <c r="V44" s="53">
        <f t="shared" si="42"/>
        <v>96422.54</v>
      </c>
      <c r="W44" s="53">
        <f t="shared" si="42"/>
        <v>231804.81000000003</v>
      </c>
      <c r="X44" s="53">
        <f t="shared" si="42"/>
        <v>160550.34</v>
      </c>
      <c r="Y44" s="53">
        <f t="shared" si="42"/>
        <v>57004.77</v>
      </c>
      <c r="Z44" s="53">
        <f t="shared" si="42"/>
        <v>0</v>
      </c>
      <c r="AA44" s="53">
        <f t="shared" si="42"/>
        <v>0</v>
      </c>
      <c r="AB44" s="53">
        <f t="shared" si="42"/>
        <v>617036.226</v>
      </c>
      <c r="AC44" s="53">
        <f t="shared" si="42"/>
        <v>815106.7610272</v>
      </c>
      <c r="AD44" s="53">
        <f t="shared" si="42"/>
        <v>0</v>
      </c>
      <c r="AE44" s="53">
        <f t="shared" si="42"/>
        <v>0</v>
      </c>
      <c r="AF44" s="53">
        <f t="shared" si="42"/>
        <v>4721.459040000001</v>
      </c>
      <c r="AG44" s="23">
        <f t="shared" si="42"/>
        <v>58830.43200000001</v>
      </c>
      <c r="AH44" s="23">
        <f t="shared" si="42"/>
        <v>19712.965621000003</v>
      </c>
      <c r="AI44" s="23">
        <f t="shared" si="42"/>
        <v>89513.0007469</v>
      </c>
      <c r="AJ44" s="23">
        <f t="shared" si="42"/>
        <v>8147.844134442</v>
      </c>
      <c r="AK44" s="23">
        <f t="shared" si="42"/>
        <v>89163.85813060001</v>
      </c>
      <c r="AL44" s="23">
        <f t="shared" si="42"/>
        <v>8244.288383508</v>
      </c>
      <c r="AM44" s="23">
        <f t="shared" si="42"/>
        <v>199857.30218365724</v>
      </c>
      <c r="AN44" s="23">
        <f t="shared" si="42"/>
        <v>18054.198393058312</v>
      </c>
      <c r="AO44" s="23">
        <f t="shared" si="42"/>
        <v>17267.79</v>
      </c>
      <c r="AP44" s="23">
        <f t="shared" si="42"/>
        <v>1621.1394</v>
      </c>
      <c r="AQ44" s="23">
        <f t="shared" si="42"/>
        <v>15297.04</v>
      </c>
      <c r="AR44" s="23">
        <f t="shared" si="42"/>
        <v>1411.5672000000002</v>
      </c>
      <c r="AS44" s="23">
        <f t="shared" si="42"/>
        <v>98155.32</v>
      </c>
      <c r="AT44" s="23">
        <f t="shared" si="42"/>
        <v>120009.48</v>
      </c>
      <c r="AU44" s="23">
        <f t="shared" si="42"/>
        <v>31937.949999999997</v>
      </c>
      <c r="AV44" s="23"/>
      <c r="AW44" s="23"/>
      <c r="AX44" s="23">
        <f aca="true" t="shared" si="43" ref="AX44:BE44">AX28+AX42</f>
        <v>33430.7456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810654.9217931656</v>
      </c>
      <c r="BC44" s="23">
        <f t="shared" si="43"/>
        <v>2089.3715322512003</v>
      </c>
      <c r="BD44" s="23">
        <f t="shared" si="43"/>
        <v>7083.926741783231</v>
      </c>
      <c r="BE44" s="24">
        <f t="shared" si="43"/>
        <v>-41977.974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33">
      <selection activeCell="B55" sqref="B55"/>
    </sheetView>
  </sheetViews>
  <sheetFormatPr defaultColWidth="9.00390625" defaultRowHeight="12.75"/>
  <cols>
    <col min="1" max="1" width="10.00390625" style="2" customWidth="1"/>
    <col min="2" max="2" width="10.375" style="2" customWidth="1"/>
    <col min="3" max="3" width="9.875" style="2" customWidth="1"/>
    <col min="4" max="4" width="11.003906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9.375" style="2" customWidth="1"/>
    <col min="16" max="16" width="10.75390625" style="2" customWidth="1"/>
    <col min="17" max="17" width="10.25390625" style="2" customWidth="1"/>
    <col min="18" max="16384" width="9.125" style="2" customWidth="1"/>
  </cols>
  <sheetData>
    <row r="1" spans="2:8" ht="20.25" customHeight="1">
      <c r="B1" s="360" t="s">
        <v>55</v>
      </c>
      <c r="C1" s="360"/>
      <c r="D1" s="360"/>
      <c r="E1" s="360"/>
      <c r="F1" s="360"/>
      <c r="G1" s="360"/>
      <c r="H1" s="360"/>
    </row>
    <row r="2" spans="2:8" ht="21" customHeight="1">
      <c r="B2" s="360" t="s">
        <v>56</v>
      </c>
      <c r="C2" s="360"/>
      <c r="D2" s="360"/>
      <c r="E2" s="360"/>
      <c r="F2" s="360"/>
      <c r="G2" s="360"/>
      <c r="H2" s="360"/>
    </row>
    <row r="5" spans="1:16" ht="12.75">
      <c r="A5" s="362" t="s">
        <v>90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</row>
    <row r="6" spans="1:16" ht="12.75">
      <c r="A6" s="363" t="s">
        <v>93</v>
      </c>
      <c r="B6" s="363"/>
      <c r="C6" s="363"/>
      <c r="D6" s="363"/>
      <c r="E6" s="363"/>
      <c r="F6" s="363"/>
      <c r="G6" s="363"/>
      <c r="H6" s="99"/>
      <c r="I6" s="99"/>
      <c r="J6" s="99"/>
      <c r="K6" s="99"/>
      <c r="L6" s="99"/>
      <c r="M6" s="99"/>
      <c r="N6" s="99"/>
      <c r="O6" s="99"/>
      <c r="P6" s="99"/>
    </row>
    <row r="7" spans="1:16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6" ht="13.5" thickBot="1">
      <c r="A8" s="361" t="s">
        <v>57</v>
      </c>
      <c r="B8" s="361"/>
      <c r="C8" s="361"/>
      <c r="D8" s="361"/>
      <c r="E8" s="361">
        <v>8.65</v>
      </c>
      <c r="F8" s="361"/>
    </row>
    <row r="9" spans="1:17" ht="12.75" customHeight="1">
      <c r="A9" s="307" t="s">
        <v>58</v>
      </c>
      <c r="B9" s="393" t="s">
        <v>1</v>
      </c>
      <c r="C9" s="354" t="s">
        <v>59</v>
      </c>
      <c r="D9" s="357" t="s">
        <v>3</v>
      </c>
      <c r="E9" s="375" t="s">
        <v>60</v>
      </c>
      <c r="F9" s="376"/>
      <c r="G9" s="379" t="s">
        <v>61</v>
      </c>
      <c r="H9" s="380"/>
      <c r="I9" s="388" t="s">
        <v>10</v>
      </c>
      <c r="J9" s="346"/>
      <c r="K9" s="346"/>
      <c r="L9" s="346"/>
      <c r="M9" s="346"/>
      <c r="N9" s="389"/>
      <c r="O9" s="322" t="s">
        <v>76</v>
      </c>
      <c r="P9" s="364" t="s">
        <v>62</v>
      </c>
      <c r="Q9" s="364" t="s">
        <v>12</v>
      </c>
    </row>
    <row r="10" spans="1:17" ht="12.75">
      <c r="A10" s="308"/>
      <c r="B10" s="394"/>
      <c r="C10" s="355"/>
      <c r="D10" s="358"/>
      <c r="E10" s="377"/>
      <c r="F10" s="378"/>
      <c r="G10" s="381"/>
      <c r="H10" s="382"/>
      <c r="I10" s="390"/>
      <c r="J10" s="318"/>
      <c r="K10" s="318"/>
      <c r="L10" s="318"/>
      <c r="M10" s="318"/>
      <c r="N10" s="391"/>
      <c r="O10" s="323"/>
      <c r="P10" s="365"/>
      <c r="Q10" s="365"/>
    </row>
    <row r="11" spans="1:17" ht="26.25" customHeight="1">
      <c r="A11" s="308"/>
      <c r="B11" s="394"/>
      <c r="C11" s="355"/>
      <c r="D11" s="358"/>
      <c r="E11" s="367" t="s">
        <v>63</v>
      </c>
      <c r="F11" s="368"/>
      <c r="G11" s="85" t="s">
        <v>64</v>
      </c>
      <c r="H11" s="369" t="s">
        <v>7</v>
      </c>
      <c r="I11" s="371" t="s">
        <v>65</v>
      </c>
      <c r="J11" s="373" t="s">
        <v>32</v>
      </c>
      <c r="K11" s="373" t="s">
        <v>66</v>
      </c>
      <c r="L11" s="373" t="s">
        <v>37</v>
      </c>
      <c r="M11" s="373" t="s">
        <v>67</v>
      </c>
      <c r="N11" s="369" t="s">
        <v>39</v>
      </c>
      <c r="O11" s="323"/>
      <c r="P11" s="365"/>
      <c r="Q11" s="365"/>
    </row>
    <row r="12" spans="1:17" ht="66.75" customHeight="1" thickBot="1">
      <c r="A12" s="392"/>
      <c r="B12" s="395"/>
      <c r="C12" s="356"/>
      <c r="D12" s="359"/>
      <c r="E12" s="63" t="s">
        <v>68</v>
      </c>
      <c r="F12" s="66" t="s">
        <v>21</v>
      </c>
      <c r="G12" s="81" t="s">
        <v>69</v>
      </c>
      <c r="H12" s="370"/>
      <c r="I12" s="372"/>
      <c r="J12" s="374"/>
      <c r="K12" s="374"/>
      <c r="L12" s="374"/>
      <c r="M12" s="374"/>
      <c r="N12" s="370"/>
      <c r="O12" s="324"/>
      <c r="P12" s="366"/>
      <c r="Q12" s="366"/>
    </row>
    <row r="13" spans="1:17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</row>
    <row r="14" spans="1:17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82"/>
      <c r="P14" s="76"/>
      <c r="Q14" s="73"/>
    </row>
    <row r="15" spans="1:17" ht="12.75" hidden="1">
      <c r="A15" s="11" t="s">
        <v>41</v>
      </c>
      <c r="B15" s="83">
        <f>Лист1!B9</f>
        <v>3684.8</v>
      </c>
      <c r="C15" s="27">
        <f>B15*8.65</f>
        <v>31873.520000000004</v>
      </c>
      <c r="D15" s="28">
        <f>Лист1!D9</f>
        <v>7677.693497600001</v>
      </c>
      <c r="E15" s="14">
        <f>Лист1!S9</f>
        <v>22550.1</v>
      </c>
      <c r="F15" s="30">
        <f>Лист1!T9</f>
        <v>3943.2300000000005</v>
      </c>
      <c r="G15" s="29">
        <f>Лист1!AB9</f>
        <v>493.54999999999995</v>
      </c>
      <c r="H15" s="30">
        <f>Лист1!AC9</f>
        <v>12114.4734976</v>
      </c>
      <c r="I15" s="29">
        <f>Лист1!AG9</f>
        <v>2210.88</v>
      </c>
      <c r="J15" s="14">
        <f>Лист1!AI9+Лист1!AJ9</f>
        <v>3703.6691152</v>
      </c>
      <c r="K15" s="14">
        <f>Лист1!AH9+Лист1!AK9+Лист1!AL9+Лист1!AM9+Лист1!AN9+Лист1!AO9+Лист1!AP9</f>
        <v>13005.10769488</v>
      </c>
      <c r="L15" s="31">
        <f>Лист1!AS9+Лист1!AU9</f>
        <v>643.1</v>
      </c>
      <c r="M15" s="31">
        <f>Лист1!AX9</f>
        <v>0</v>
      </c>
      <c r="N15" s="30">
        <f>Лист1!BB9</f>
        <v>19562.756810079994</v>
      </c>
      <c r="O15" s="86">
        <f>Лист1!BC9</f>
        <v>0</v>
      </c>
      <c r="P15" s="74">
        <f>Лист1!BD9</f>
        <v>-7448.2833124799945</v>
      </c>
      <c r="Q15" s="74">
        <f>Лист1!BE9</f>
        <v>-22056.55</v>
      </c>
    </row>
    <row r="16" spans="1:17" ht="12.75" hidden="1">
      <c r="A16" s="11" t="s">
        <v>42</v>
      </c>
      <c r="B16" s="83">
        <f>Лист1!B10</f>
        <v>3684.8</v>
      </c>
      <c r="C16" s="27">
        <f aca="true" t="shared" si="0" ref="C16:C31">B16*8.65</f>
        <v>31873.520000000004</v>
      </c>
      <c r="D16" s="28">
        <f>Лист1!D10</f>
        <v>7677.693497600001</v>
      </c>
      <c r="E16" s="14">
        <f>Лист1!S10</f>
        <v>21235.730000000003</v>
      </c>
      <c r="F16" s="30">
        <f>Лист1!T10</f>
        <v>3806</v>
      </c>
      <c r="G16" s="29">
        <f>Лист1!AB10</f>
        <v>17027.5</v>
      </c>
      <c r="H16" s="30">
        <f>Лист1!AC10</f>
        <v>28511.1934976</v>
      </c>
      <c r="I16" s="29">
        <f>Лист1!AG10</f>
        <v>2210.88</v>
      </c>
      <c r="J16" s="14">
        <f>Лист1!AI10+Лист1!AJ10</f>
        <v>3703.6691152</v>
      </c>
      <c r="K16" s="14">
        <f>Лист1!AH10+Лист1!AK10+Лист1!AL10+Лист1!AM10+Лист1!AN10+Лист1!AO10+Лист1!AP10</f>
        <v>18653.504405279997</v>
      </c>
      <c r="L16" s="31">
        <f>Лист1!AS10+Лист1!AU10</f>
        <v>4610.26</v>
      </c>
      <c r="M16" s="31">
        <f>Лист1!AX10</f>
        <v>0</v>
      </c>
      <c r="N16" s="30">
        <f>Лист1!BB10</f>
        <v>29178.31352048</v>
      </c>
      <c r="O16" s="86">
        <f>Лист1!BC10</f>
        <v>0</v>
      </c>
      <c r="P16" s="74">
        <f>Лист1!BD10</f>
        <v>-667.1200228799971</v>
      </c>
      <c r="Q16" s="74">
        <f>Лист1!BE10</f>
        <v>-4208.230000000003</v>
      </c>
    </row>
    <row r="17" spans="1:19" ht="13.5" hidden="1" thickBot="1">
      <c r="A17" s="32" t="s">
        <v>43</v>
      </c>
      <c r="B17" s="83">
        <f>Лист1!B11</f>
        <v>3684.8</v>
      </c>
      <c r="C17" s="33">
        <f t="shared" si="0"/>
        <v>31873.520000000004</v>
      </c>
      <c r="D17" s="28">
        <f>Лист1!D11</f>
        <v>7660.800532000001</v>
      </c>
      <c r="E17" s="14">
        <f>Лист1!S11</f>
        <v>21579.489999999998</v>
      </c>
      <c r="F17" s="30">
        <f>Лист1!T11</f>
        <v>3869.52</v>
      </c>
      <c r="G17" s="29">
        <f>Лист1!AB11</f>
        <v>24197.329999999998</v>
      </c>
      <c r="H17" s="30">
        <f>Лист1!AC11</f>
        <v>35727.650532</v>
      </c>
      <c r="I17" s="29">
        <f>Лист1!AG11</f>
        <v>2210.88</v>
      </c>
      <c r="J17" s="14">
        <f>Лист1!AI11+Лист1!AJ11</f>
        <v>3692.89771648</v>
      </c>
      <c r="K17" s="14">
        <f>Лист1!AH11+Лист1!AK11+Лист1!AL11+Лист1!AM11+Лист1!AN11+Лист1!AO11+Лист1!AP11</f>
        <v>12945.243070704</v>
      </c>
      <c r="L17" s="31">
        <f>Лист1!AS11+Лист1!AU11</f>
        <v>5888.2</v>
      </c>
      <c r="M17" s="31">
        <f>Лист1!AX11</f>
        <v>0</v>
      </c>
      <c r="N17" s="30">
        <f>Лист1!BB11</f>
        <v>24737.220787184</v>
      </c>
      <c r="O17" s="86">
        <f>Лист1!BC11</f>
        <v>0</v>
      </c>
      <c r="P17" s="74">
        <f>Лист1!BD11</f>
        <v>10990.429744816</v>
      </c>
      <c r="Q17" s="74">
        <f>Лист1!BE11</f>
        <v>2617.84</v>
      </c>
      <c r="R17" s="1"/>
      <c r="S17" s="1"/>
    </row>
    <row r="18" spans="1:19" s="20" customFormat="1" ht="13.5" hidden="1" thickBot="1">
      <c r="A18" s="34" t="s">
        <v>5</v>
      </c>
      <c r="B18" s="35"/>
      <c r="C18" s="36">
        <f>SUM(C15:C17)</f>
        <v>95620.56000000001</v>
      </c>
      <c r="D18" s="67">
        <f aca="true" t="shared" si="1" ref="D18:I18">SUM(D15:D17)</f>
        <v>23016.187527200003</v>
      </c>
      <c r="E18" s="36">
        <f t="shared" si="1"/>
        <v>65365.32</v>
      </c>
      <c r="F18" s="68">
        <f t="shared" si="1"/>
        <v>11618.75</v>
      </c>
      <c r="G18" s="67">
        <f t="shared" si="1"/>
        <v>41718.38</v>
      </c>
      <c r="H18" s="68">
        <f t="shared" si="1"/>
        <v>76353.31752720001</v>
      </c>
      <c r="I18" s="67">
        <f t="shared" si="1"/>
        <v>6632.64</v>
      </c>
      <c r="J18" s="36">
        <f aca="true" t="shared" si="2" ref="J18:Q18">SUM(J15:J17)</f>
        <v>11100.235946879999</v>
      </c>
      <c r="K18" s="36">
        <f t="shared" si="2"/>
        <v>44603.855170864</v>
      </c>
      <c r="L18" s="36">
        <f t="shared" si="2"/>
        <v>11141.560000000001</v>
      </c>
      <c r="M18" s="36">
        <f t="shared" si="2"/>
        <v>0</v>
      </c>
      <c r="N18" s="68">
        <f t="shared" si="2"/>
        <v>73478.291117744</v>
      </c>
      <c r="O18" s="68">
        <f t="shared" si="2"/>
        <v>0</v>
      </c>
      <c r="P18" s="75">
        <f t="shared" si="2"/>
        <v>2875.026409456008</v>
      </c>
      <c r="Q18" s="75">
        <f t="shared" si="2"/>
        <v>-23646.940000000002</v>
      </c>
      <c r="R18" s="70"/>
      <c r="S18" s="71"/>
    </row>
    <row r="19" spans="1:19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86"/>
      <c r="P19" s="74"/>
      <c r="Q19" s="74"/>
      <c r="R19" s="1"/>
      <c r="S19" s="1"/>
    </row>
    <row r="20" spans="1:19" ht="12.75" hidden="1">
      <c r="A20" s="11" t="s">
        <v>45</v>
      </c>
      <c r="B20" s="83">
        <f>Лист1!B14</f>
        <v>3684.7</v>
      </c>
      <c r="C20" s="27">
        <f t="shared" si="0"/>
        <v>31872.655</v>
      </c>
      <c r="D20" s="28">
        <f>Лист1!D14</f>
        <v>3984.081875</v>
      </c>
      <c r="E20" s="14">
        <f>Лист1!S14</f>
        <v>21809.63</v>
      </c>
      <c r="F20" s="30">
        <f>Лист1!T14</f>
        <v>4077.12</v>
      </c>
      <c r="G20" s="29">
        <f>Лист1!AB14</f>
        <v>14219.68</v>
      </c>
      <c r="H20" s="30">
        <f>Лист1!AC14</f>
        <v>22280.881875</v>
      </c>
      <c r="I20" s="29">
        <f>Лист1!AG14</f>
        <v>1989.7379999999998</v>
      </c>
      <c r="J20" s="14">
        <f>Лист1!AI14+Лист1!AJ14</f>
        <v>3204.1952047</v>
      </c>
      <c r="K20" s="14">
        <f>Лист1!AH14+Лист1!AK14+Лист1!AL14+Лист1!AM14+Лист1!AN14+Лист1!AO14+Лист1!AP14+Лист1!AQ14+Лист1!AR14</f>
        <v>11004.207614425999</v>
      </c>
      <c r="L20" s="31">
        <f>Лист1!AS14+Лист1!AT14+Лист1!AU14+Лист1!AZ14+Лист1!BA14</f>
        <v>2218.41</v>
      </c>
      <c r="M20" s="31">
        <f>Лист1!AX14</f>
        <v>2984.1728</v>
      </c>
      <c r="N20" s="30">
        <f>Лист1!BB14</f>
        <v>18416.550819125998</v>
      </c>
      <c r="O20" s="86">
        <f>Лист1!BC14</f>
        <v>100.87346672000002</v>
      </c>
      <c r="P20" s="74">
        <f>Лист1!BD14</f>
        <v>4000.7608691540013</v>
      </c>
      <c r="Q20" s="74">
        <f>Лист1!BE14</f>
        <v>-7589.950000000001</v>
      </c>
      <c r="R20" s="1"/>
      <c r="S20" s="1"/>
    </row>
    <row r="21" spans="1:19" ht="12.75" hidden="1">
      <c r="A21" s="11" t="s">
        <v>46</v>
      </c>
      <c r="B21" s="83">
        <f>Лист1!B15</f>
        <v>3684.7</v>
      </c>
      <c r="C21" s="27">
        <f t="shared" si="0"/>
        <v>31872.655</v>
      </c>
      <c r="D21" s="28">
        <f>Лист1!D15</f>
        <v>3984.081875</v>
      </c>
      <c r="E21" s="14">
        <f>Лист1!S15</f>
        <v>21616.829999999998</v>
      </c>
      <c r="F21" s="30">
        <f>Лист1!T15</f>
        <v>4077.1</v>
      </c>
      <c r="G21" s="29">
        <f>Лист1!AB15</f>
        <v>20895.35</v>
      </c>
      <c r="H21" s="30">
        <f>Лист1!AC15</f>
        <v>28956.531875</v>
      </c>
      <c r="I21" s="29">
        <f>Лист1!AG15</f>
        <v>1989.7379999999998</v>
      </c>
      <c r="J21" s="14">
        <f>Лист1!AI15+Лист1!AJ15</f>
        <v>3204.2188047</v>
      </c>
      <c r="K21" s="14">
        <f>Лист1!AH15+Лист1!AK15+Лист1!AL15+Лист1!AM15+Лист1!AN15+Лист1!AO15+Лист1!AP15+Лист1!AQ15+Лист1!AR15</f>
        <v>11020.093461535998</v>
      </c>
      <c r="L21" s="31">
        <f>Лист1!AS15+Лист1!AT15+Лист1!AU15+Лист1!AZ15+Лист1!BA15</f>
        <v>1864.4</v>
      </c>
      <c r="M21" s="31">
        <f>Лист1!AX15</f>
        <v>2020.7264000000002</v>
      </c>
      <c r="N21" s="30">
        <f>Лист1!BB15</f>
        <v>18078.450266236003</v>
      </c>
      <c r="O21" s="86">
        <f>Лист1!BC15</f>
        <v>101.03692032000002</v>
      </c>
      <c r="P21" s="74">
        <f>Лист1!BD15</f>
        <v>11014.347968443997</v>
      </c>
      <c r="Q21" s="74">
        <f>Лист1!BE15</f>
        <v>-721.4799999999996</v>
      </c>
      <c r="R21" s="1"/>
      <c r="S21" s="1"/>
    </row>
    <row r="22" spans="1:19" ht="12.75" hidden="1">
      <c r="A22" s="11" t="s">
        <v>47</v>
      </c>
      <c r="B22" s="83">
        <f>Лист1!B16</f>
        <v>3684.7</v>
      </c>
      <c r="C22" s="27">
        <f t="shared" si="0"/>
        <v>31872.655</v>
      </c>
      <c r="D22" s="28">
        <f>Лист1!D16</f>
        <v>3984.081875</v>
      </c>
      <c r="E22" s="14">
        <f>Лист1!S16</f>
        <v>21872.100000000002</v>
      </c>
      <c r="F22" s="30">
        <f>Лист1!T16</f>
        <v>4077.12</v>
      </c>
      <c r="G22" s="29">
        <f>Лист1!AB16</f>
        <v>21708.079999999998</v>
      </c>
      <c r="H22" s="30">
        <f>Лист1!AC16</f>
        <v>29769.281874999997</v>
      </c>
      <c r="I22" s="29">
        <f>Лист1!AG16</f>
        <v>1989.7379999999998</v>
      </c>
      <c r="J22" s="14">
        <f>Лист1!AI16+Лист1!AJ16</f>
        <v>3206.06668175</v>
      </c>
      <c r="K22" s="14">
        <f>Лист1!AH16+Лист1!AK16+Лист1!AL16+Лист1!AM16+Лист1!AN16+Лист1!AO16+Лист1!AP16+Лист1!AQ16+Лист1!AR16</f>
        <v>10653.515135205997</v>
      </c>
      <c r="L22" s="31">
        <f>Лист1!AS16+Лист1!AT16+Лист1!AU16+Лист1!AZ16+Лист1!BA16</f>
        <v>9812.88</v>
      </c>
      <c r="M22" s="31">
        <f>Лист1!AX16</f>
        <v>1825.1296000000002</v>
      </c>
      <c r="N22" s="30">
        <f>Лист1!BB16</f>
        <v>25662.199816956</v>
      </c>
      <c r="O22" s="86">
        <f>Лист1!BC16</f>
        <v>98.91772056</v>
      </c>
      <c r="P22" s="74">
        <f>Лист1!BD16</f>
        <v>4245.467617483998</v>
      </c>
      <c r="Q22" s="74">
        <f>Лист1!BE16</f>
        <v>-164.02000000000407</v>
      </c>
      <c r="R22" s="1"/>
      <c r="S22" s="1"/>
    </row>
    <row r="23" spans="1:19" ht="12.75" hidden="1">
      <c r="A23" s="11" t="s">
        <v>48</v>
      </c>
      <c r="B23" s="83">
        <f>Лист1!B17</f>
        <v>3684.7</v>
      </c>
      <c r="C23" s="27">
        <f t="shared" si="0"/>
        <v>31872.655</v>
      </c>
      <c r="D23" s="28">
        <f>Лист1!D17</f>
        <v>3984.081875</v>
      </c>
      <c r="E23" s="14">
        <f>Лист1!S17</f>
        <v>21748.1</v>
      </c>
      <c r="F23" s="30">
        <f>Лист1!T17</f>
        <v>4093.54</v>
      </c>
      <c r="G23" s="29">
        <f>Лист1!AB17</f>
        <v>22495.47</v>
      </c>
      <c r="H23" s="30">
        <f>Лист1!AC17</f>
        <v>30573.091875000002</v>
      </c>
      <c r="I23" s="29">
        <f>Лист1!AG17</f>
        <v>1989.7379999999998</v>
      </c>
      <c r="J23" s="14">
        <f>Лист1!AI17+Лист1!AJ17</f>
        <v>3301.7867129399997</v>
      </c>
      <c r="K23" s="14">
        <f>Лист1!AH17+Лист1!AK17+Лист1!AL17+Лист1!AM17+Лист1!AN17+Лист1!AO17+Лист1!AP17+Лист1!AQ17+Лист1!AR17</f>
        <v>10804.473955591999</v>
      </c>
      <c r="L23" s="31">
        <f>Лист1!AS17+Лист1!AT17+Лист1!AU17+Лист1!AZ17+Лист1!BA17</f>
        <v>3417.8581999999997</v>
      </c>
      <c r="M23" s="31">
        <f>Лист1!AX17</f>
        <v>1900.4608</v>
      </c>
      <c r="N23" s="30">
        <f>Лист1!BB17</f>
        <v>28244.346468532</v>
      </c>
      <c r="O23" s="86">
        <f>Лист1!BC17</f>
        <v>101.73987936000002</v>
      </c>
      <c r="P23" s="74">
        <f>Лист1!BD17</f>
        <v>2464.3088071080024</v>
      </c>
      <c r="Q23" s="74">
        <f>Лист1!BE17</f>
        <v>747.3700000000026</v>
      </c>
      <c r="R23" s="1"/>
      <c r="S23" s="1"/>
    </row>
    <row r="24" spans="1:19" ht="12.75" hidden="1">
      <c r="A24" s="11" t="s">
        <v>49</v>
      </c>
      <c r="B24" s="83">
        <f>Лист1!B18</f>
        <v>3684.7</v>
      </c>
      <c r="C24" s="27">
        <f t="shared" si="0"/>
        <v>31872.655</v>
      </c>
      <c r="D24" s="28">
        <f>Лист1!D18</f>
        <v>3223.1450000000013</v>
      </c>
      <c r="E24" s="14">
        <f>Лист1!S18</f>
        <v>24280.769999999997</v>
      </c>
      <c r="F24" s="30">
        <f>Лист1!T18</f>
        <v>4368.74</v>
      </c>
      <c r="G24" s="29">
        <f>Лист1!AB18</f>
        <v>19918.769999999997</v>
      </c>
      <c r="H24" s="30">
        <f>Лист1!AC18</f>
        <v>27510.655</v>
      </c>
      <c r="I24" s="29">
        <f>Лист1!AG18</f>
        <v>2210.8199999999997</v>
      </c>
      <c r="J24" s="14">
        <f>Лист1!AI18+Лист1!AJ18</f>
        <v>3695.7541</v>
      </c>
      <c r="K24" s="14">
        <f>Лист1!AH18+Лист1!AK18+Лист1!AL18+Лист1!AM18+Лист1!AN18+Лист1!AO18+Лист1!AP18+Лист1!AQ18+Лист1!AR18</f>
        <v>12657.681439999997</v>
      </c>
      <c r="L24" s="31">
        <f>Лист1!AS18+Лист1!AT18+Лист1!AU18+Лист1!AZ18+Лист1!BA18</f>
        <v>0</v>
      </c>
      <c r="M24" s="31">
        <f>Лист1!AX18</f>
        <v>1476.2272</v>
      </c>
      <c r="N24" s="30">
        <f>Лист1!BB18</f>
        <v>20040.48274</v>
      </c>
      <c r="O24" s="86">
        <f>Лист1!BC18</f>
        <v>113.55407806400001</v>
      </c>
      <c r="P24" s="74">
        <f>Лист1!BD18</f>
        <v>7593.921461935999</v>
      </c>
      <c r="Q24" s="74">
        <f>Лист1!BE18</f>
        <v>-4362</v>
      </c>
      <c r="R24" s="1"/>
      <c r="S24" s="1"/>
    </row>
    <row r="25" spans="1:19" ht="12.75" hidden="1">
      <c r="A25" s="11" t="s">
        <v>50</v>
      </c>
      <c r="B25" s="83">
        <f>Лист1!B19</f>
        <v>3684.7</v>
      </c>
      <c r="C25" s="27">
        <f t="shared" si="0"/>
        <v>31872.655</v>
      </c>
      <c r="D25" s="28">
        <f>Лист1!D19</f>
        <v>3172.4050000000034</v>
      </c>
      <c r="E25" s="14">
        <f>Лист1!S19</f>
        <v>24301.979999999996</v>
      </c>
      <c r="F25" s="30">
        <f>Лист1!T19</f>
        <v>4398.27</v>
      </c>
      <c r="G25" s="29">
        <f>Лист1!AB19</f>
        <v>23188.16</v>
      </c>
      <c r="H25" s="30">
        <f>Лист1!AC19</f>
        <v>30758.835000000003</v>
      </c>
      <c r="I25" s="29">
        <f>Лист1!AG19</f>
        <v>2210.8199999999997</v>
      </c>
      <c r="J25" s="14">
        <f>Лист1!AI19+Лист1!AJ19</f>
        <v>3695.7541</v>
      </c>
      <c r="K25" s="14">
        <f>Лист1!AH19+Лист1!AK19+Лист1!AL19+Лист1!AM19+Лист1!AN19+Лист1!AO19+Лист1!AP19+Лист1!AQ19+Лист1!AR19</f>
        <v>12658.003062999996</v>
      </c>
      <c r="L25" s="31">
        <f>Лист1!AS19+Лист1!AT19+Лист1!AU19+Лист1!AZ19+Лист1!BA19</f>
        <v>37823.436799999996</v>
      </c>
      <c r="M25" s="31">
        <f>Лист1!AX19</f>
        <v>1361.248</v>
      </c>
      <c r="N25" s="30">
        <f>Лист1!BB19</f>
        <v>57749.261963</v>
      </c>
      <c r="O25" s="86">
        <f>Лист1!BC19</f>
        <v>107.51826384000002</v>
      </c>
      <c r="P25" s="74">
        <f>Лист1!BD19</f>
        <v>-26860.641946839994</v>
      </c>
      <c r="Q25" s="74">
        <f>Лист1!BE19</f>
        <v>-1113.819999999996</v>
      </c>
      <c r="R25" s="1"/>
      <c r="S25" s="1"/>
    </row>
    <row r="26" spans="1:19" ht="12.75" hidden="1">
      <c r="A26" s="11" t="s">
        <v>51</v>
      </c>
      <c r="B26" s="83">
        <f>Лист1!B20</f>
        <v>3684.7</v>
      </c>
      <c r="C26" s="27">
        <f t="shared" si="0"/>
        <v>31872.655</v>
      </c>
      <c r="D26" s="28">
        <f>Лист1!D20</f>
        <v>3172.385000000001</v>
      </c>
      <c r="E26" s="14">
        <f>Лист1!S20</f>
        <v>24302.02</v>
      </c>
      <c r="F26" s="30">
        <f>Лист1!T20</f>
        <v>4398.25</v>
      </c>
      <c r="G26" s="29">
        <f>Лист1!AB20</f>
        <v>30315.126</v>
      </c>
      <c r="H26" s="30">
        <f>Лист1!AC20</f>
        <v>37885.761</v>
      </c>
      <c r="I26" s="29">
        <f>Лист1!AG20</f>
        <v>2210.8199999999997</v>
      </c>
      <c r="J26" s="14">
        <f>Лист1!AI20+Лист1!AJ20</f>
        <v>3642.90481637</v>
      </c>
      <c r="K26" s="14">
        <f>Лист1!AH20+Лист1!AK20+Лист1!AL20+Лист1!AM20+Лист1!AN20+Лист1!AO20+Лист1!AP20+Лист1!AQ20+Лист1!AR20</f>
        <v>12532.067142933996</v>
      </c>
      <c r="L26" s="31">
        <f>Лист1!AS20+Лист1!AT20+Лист1!AU20+Лист1!AZ20+Лист1!BA20</f>
        <v>1381.3316</v>
      </c>
      <c r="M26" s="31">
        <f>Лист1!AX20</f>
        <v>926.4416000000001</v>
      </c>
      <c r="N26" s="30">
        <f>Лист1!BB20</f>
        <v>20693.565159303995</v>
      </c>
      <c r="O26" s="86">
        <f>Лист1!BC20</f>
        <v>112.13516016000003</v>
      </c>
      <c r="P26" s="74">
        <f>Лист1!BD20</f>
        <v>17317.363960536004</v>
      </c>
      <c r="Q26" s="74">
        <f>Лист1!BE20</f>
        <v>6013.106</v>
      </c>
      <c r="R26" s="1"/>
      <c r="S26" s="1"/>
    </row>
    <row r="27" spans="1:19" ht="12.75" hidden="1">
      <c r="A27" s="11" t="s">
        <v>52</v>
      </c>
      <c r="B27" s="83">
        <f>Лист1!B21</f>
        <v>3684.7</v>
      </c>
      <c r="C27" s="27">
        <f t="shared" si="0"/>
        <v>31872.655</v>
      </c>
      <c r="D27" s="28">
        <f>Лист1!D21</f>
        <v>4394.684999999999</v>
      </c>
      <c r="E27" s="14">
        <f>Лист1!S21</f>
        <v>23107.06</v>
      </c>
      <c r="F27" s="30">
        <f>Лист1!T21</f>
        <v>4370.91</v>
      </c>
      <c r="G27" s="29">
        <f>Лист1!AB21</f>
        <v>20828.429999999997</v>
      </c>
      <c r="H27" s="30">
        <f>Лист1!AC21</f>
        <v>29594.024999999994</v>
      </c>
      <c r="I27" s="29">
        <f>Лист1!AG21</f>
        <v>2210.8199999999997</v>
      </c>
      <c r="J27" s="14">
        <f>Лист1!AI21+Лист1!AJ21</f>
        <v>3641.278684566</v>
      </c>
      <c r="K27" s="14">
        <f>Лист1!AH21+Лист1!AK21+Лист1!AL21+Лист1!AM21+Лист1!AN21+Лист1!AO21+Лист1!AP21+Лист1!AQ21+Лист1!AR21</f>
        <v>17470.0793446</v>
      </c>
      <c r="L27" s="31">
        <f>Лист1!AS21+Лист1!AT21+Лист1!AU21+Лист1!AZ21+Лист1!BA21</f>
        <v>0</v>
      </c>
      <c r="M27" s="31">
        <f>Лист1!AX21</f>
        <v>1028.2048000000002</v>
      </c>
      <c r="N27" s="30">
        <f>Лист1!BB21</f>
        <v>24350.382829166</v>
      </c>
      <c r="O27" s="86">
        <f>Лист1!BC21</f>
        <v>112.08420964800001</v>
      </c>
      <c r="P27" s="74">
        <f>Лист1!BD21</f>
        <v>5368.861241185995</v>
      </c>
      <c r="Q27" s="74">
        <f>Лист1!BE21</f>
        <v>-2278.6300000000047</v>
      </c>
      <c r="R27" s="1"/>
      <c r="S27" s="1"/>
    </row>
    <row r="28" spans="1:19" ht="12.75" hidden="1">
      <c r="A28" s="11" t="s">
        <v>53</v>
      </c>
      <c r="B28" s="83">
        <f>Лист1!B22</f>
        <v>3686.8</v>
      </c>
      <c r="C28" s="27">
        <f t="shared" si="0"/>
        <v>31890.820000000003</v>
      </c>
      <c r="D28" s="28">
        <f>Лист1!D22</f>
        <v>2654.790000000005</v>
      </c>
      <c r="E28" s="14">
        <f>Лист1!S22</f>
        <v>24622.61</v>
      </c>
      <c r="F28" s="30">
        <f>Лист1!T22</f>
        <v>4613.42</v>
      </c>
      <c r="G28" s="29">
        <f>Лист1!AB22</f>
        <v>22906.21</v>
      </c>
      <c r="H28" s="30">
        <f>Лист1!AC22</f>
        <v>30174.420000000006</v>
      </c>
      <c r="I28" s="29">
        <f>Лист1!AG22</f>
        <v>2212.08</v>
      </c>
      <c r="J28" s="14">
        <f>Лист1!AI22+Лист1!AJ22</f>
        <v>3642.725301436</v>
      </c>
      <c r="K28" s="14">
        <f>Лист1!AH22+Лист1!AK22+Лист1!AL22+Лист1!AM22+Лист1!AN22+Лист1!AO22+Лист1!AP22+Лист1!AQ22+Лист1!AR22</f>
        <v>12535.8341036656</v>
      </c>
      <c r="L28" s="31">
        <f>Лист1!AS22+Лист1!AT22+Лист1!AU22+Лист1!AZ22+Лист1!BA22</f>
        <v>0</v>
      </c>
      <c r="M28" s="31">
        <f>Лист1!AX22</f>
        <v>1289.8816000000002</v>
      </c>
      <c r="N28" s="30">
        <f>Лист1!BB22</f>
        <v>19680.5210051016</v>
      </c>
      <c r="O28" s="86">
        <f>Лист1!BC22</f>
        <v>112.0672575792</v>
      </c>
      <c r="P28" s="74">
        <f>Лист1!BD22</f>
        <v>10619.135017319206</v>
      </c>
      <c r="Q28" s="74">
        <f>Лист1!BE22</f>
        <v>-1716.4000000000015</v>
      </c>
      <c r="R28" s="1"/>
      <c r="S28" s="1"/>
    </row>
    <row r="29" spans="1:19" ht="12.75" hidden="1">
      <c r="A29" s="11" t="s">
        <v>41</v>
      </c>
      <c r="B29" s="83">
        <f>Лист1!B23</f>
        <v>3686.8</v>
      </c>
      <c r="C29" s="27">
        <f>B29*8.65</f>
        <v>31890.820000000003</v>
      </c>
      <c r="D29" s="28">
        <f>Лист1!D23</f>
        <v>3182.630000000002</v>
      </c>
      <c r="E29" s="14">
        <f>Лист1!S23</f>
        <v>24126.54</v>
      </c>
      <c r="F29" s="30">
        <f>Лист1!T23</f>
        <v>4581.650000000001</v>
      </c>
      <c r="G29" s="29">
        <f>Лист1!AB23</f>
        <v>24631</v>
      </c>
      <c r="H29" s="30">
        <f>Лист1!AC23</f>
        <v>32395.280000000002</v>
      </c>
      <c r="I29" s="29">
        <f>Лист1!AG23</f>
        <v>2212.08</v>
      </c>
      <c r="J29" s="14">
        <f>Лист1!AI23+Лист1!AJ23</f>
        <v>3684.809128</v>
      </c>
      <c r="K29" s="14">
        <f>Лист1!AH23+Лист1!AK23+Лист1!AL23+Лист1!AM23+Лист1!AN23+Лист1!AO23+Лист1!AP23+Лист1!AQ23+Лист1!AR23</f>
        <v>21897.119120000003</v>
      </c>
      <c r="L29" s="31">
        <f>Лист1!AS23+Лист1!AT23+Лист1!AU23+Лист1!AZ23+Лист1!BA23</f>
        <v>3902.7909999999997</v>
      </c>
      <c r="M29" s="31">
        <f>Лист1!AX23</f>
        <v>1217.1936000000003</v>
      </c>
      <c r="N29" s="30">
        <f>Лист1!BB23</f>
        <v>32913.992848</v>
      </c>
      <c r="O29" s="86">
        <f>Лист1!BC23</f>
        <v>112.932736</v>
      </c>
      <c r="P29" s="74">
        <f>Лист1!BD23</f>
        <v>-394.3423039999991</v>
      </c>
      <c r="Q29" s="74">
        <f>Лист1!BE23</f>
        <v>504.4599999999991</v>
      </c>
      <c r="R29" s="1"/>
      <c r="S29" s="1"/>
    </row>
    <row r="30" spans="1:19" ht="12.75" hidden="1">
      <c r="A30" s="11" t="s">
        <v>42</v>
      </c>
      <c r="B30" s="83">
        <f>Лист1!B24</f>
        <v>3686.8</v>
      </c>
      <c r="C30" s="27">
        <f t="shared" si="0"/>
        <v>31890.820000000003</v>
      </c>
      <c r="D30" s="28">
        <f>Лист1!D24</f>
        <v>3154.580000000004</v>
      </c>
      <c r="E30" s="14">
        <f>Лист1!S24</f>
        <v>23973.65</v>
      </c>
      <c r="F30" s="30">
        <f>Лист1!T24</f>
        <v>4762.589999999999</v>
      </c>
      <c r="G30" s="29">
        <f>Лист1!AB24</f>
        <v>20332.11</v>
      </c>
      <c r="H30" s="30">
        <f>Лист1!AC24</f>
        <v>28249.280000000006</v>
      </c>
      <c r="I30" s="29">
        <f>Лист1!AG24</f>
        <v>2212.08</v>
      </c>
      <c r="J30" s="14">
        <f>Лист1!AI24+Лист1!AJ24</f>
        <v>3697.8604000000005</v>
      </c>
      <c r="K30" s="14">
        <f>Лист1!AH24+Лист1!AK24+Лист1!AL24+Лист1!AM24+Лист1!AN24+Лист1!AO24+Лист1!AP24+Лист1!AQ24+Лист1!AR24</f>
        <v>12657.52176</v>
      </c>
      <c r="L30" s="31">
        <f>Лист1!AS24+Лист1!AT24+Лист1!AU24+Лист1!AZ24+Лист1!BA24</f>
        <v>7065.84</v>
      </c>
      <c r="M30" s="31">
        <f>Лист1!AX24</f>
        <v>1518.5184000000002</v>
      </c>
      <c r="N30" s="30">
        <f>Лист1!BB24</f>
        <v>27151.820560000004</v>
      </c>
      <c r="O30" s="86">
        <f>Лист1!BC24</f>
        <v>113.10192</v>
      </c>
      <c r="P30" s="74">
        <f>Лист1!BD24</f>
        <v>1221.6608000000024</v>
      </c>
      <c r="Q30" s="74">
        <f>Лист1!BE24</f>
        <v>-3641.540000000001</v>
      </c>
      <c r="R30" s="1"/>
      <c r="S30" s="1"/>
    </row>
    <row r="31" spans="1:19" ht="13.5" hidden="1" thickBot="1">
      <c r="A31" s="32" t="s">
        <v>43</v>
      </c>
      <c r="B31" s="83">
        <f>Лист1!B25</f>
        <v>3685</v>
      </c>
      <c r="C31" s="33">
        <f t="shared" si="0"/>
        <v>31875.25</v>
      </c>
      <c r="D31" s="28">
        <f>Лист1!D25</f>
        <v>3323.9599999999973</v>
      </c>
      <c r="E31" s="14">
        <f>Лист1!S25</f>
        <v>23772</v>
      </c>
      <c r="F31" s="30">
        <f>Лист1!T25</f>
        <v>4779.29</v>
      </c>
      <c r="G31" s="29">
        <f>Лист1!AB25</f>
        <v>32019.74</v>
      </c>
      <c r="H31" s="30">
        <f>Лист1!AC25</f>
        <v>40122.99</v>
      </c>
      <c r="I31" s="29">
        <f>Лист1!AG25</f>
        <v>2211</v>
      </c>
      <c r="J31" s="14">
        <f>Лист1!AI25+Лист1!AJ25</f>
        <v>3696.055</v>
      </c>
      <c r="K31" s="14">
        <f>Лист1!AH25+Лист1!AK25+Лист1!AL25+Лист1!AM25+Лист1!AN25+Лист1!AO25+Лист1!AP25+Лист1!AQ25+Лист1!AR25</f>
        <v>12651.341999999999</v>
      </c>
      <c r="L31" s="31">
        <f>Лист1!AS25+Лист1!AT25+Лист1!AU25+Лист1!AZ25+Лист1!BA25</f>
        <v>1857.32</v>
      </c>
      <c r="M31" s="31">
        <f>Лист1!AX25</f>
        <v>1801.3408000000002</v>
      </c>
      <c r="N31" s="30">
        <f>Лист1!BB25</f>
        <v>22217.0578</v>
      </c>
      <c r="O31" s="86">
        <f>Лист1!BC25</f>
        <v>113.10192</v>
      </c>
      <c r="P31" s="74">
        <f>Лист1!BD25</f>
        <v>18030.13356</v>
      </c>
      <c r="Q31" s="74">
        <f>Лист1!BE25</f>
        <v>8247.740000000002</v>
      </c>
      <c r="R31" s="1"/>
      <c r="S31" s="1"/>
    </row>
    <row r="32" spans="1:19" s="20" customFormat="1" ht="13.5" hidden="1" thickBot="1">
      <c r="A32" s="34" t="s">
        <v>5</v>
      </c>
      <c r="B32" s="35"/>
      <c r="C32" s="36">
        <f aca="true" t="shared" si="3" ref="C32:Q32">SUM(C20:C31)</f>
        <v>382528.95</v>
      </c>
      <c r="D32" s="67">
        <f t="shared" si="3"/>
        <v>42214.90750000001</v>
      </c>
      <c r="E32" s="36">
        <f t="shared" si="3"/>
        <v>279533.29</v>
      </c>
      <c r="F32" s="68">
        <f t="shared" si="3"/>
        <v>52598</v>
      </c>
      <c r="G32" s="67">
        <f t="shared" si="3"/>
        <v>273458.126</v>
      </c>
      <c r="H32" s="68">
        <f t="shared" si="3"/>
        <v>368271.0335</v>
      </c>
      <c r="I32" s="67">
        <f t="shared" si="3"/>
        <v>25649.472</v>
      </c>
      <c r="J32" s="36">
        <f t="shared" si="3"/>
        <v>42313.40893446199</v>
      </c>
      <c r="K32" s="36">
        <f t="shared" si="3"/>
        <v>158541.93814095962</v>
      </c>
      <c r="L32" s="36">
        <f>SUM(L20:L31)</f>
        <v>69344.26759999999</v>
      </c>
      <c r="M32" s="36">
        <f t="shared" si="3"/>
        <v>19349.5456</v>
      </c>
      <c r="N32" s="68">
        <f t="shared" si="3"/>
        <v>315198.63227542164</v>
      </c>
      <c r="O32" s="68">
        <f t="shared" si="3"/>
        <v>1299.0635322512003</v>
      </c>
      <c r="P32" s="75">
        <f t="shared" si="3"/>
        <v>54620.97705232722</v>
      </c>
      <c r="Q32" s="75">
        <f t="shared" si="3"/>
        <v>-6075.164000000004</v>
      </c>
      <c r="R32" s="71"/>
      <c r="S32" s="71"/>
    </row>
    <row r="33" spans="1:19" ht="13.5" thickBot="1">
      <c r="A33" s="385" t="s">
        <v>94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79"/>
      <c r="R33" s="1"/>
      <c r="S33" s="1"/>
    </row>
    <row r="34" spans="1:19" s="20" customFormat="1" ht="13.5" thickBot="1">
      <c r="A34" s="80" t="s">
        <v>54</v>
      </c>
      <c r="B34" s="38"/>
      <c r="C34" s="39">
        <f>C18+C32</f>
        <v>478149.51</v>
      </c>
      <c r="D34" s="37">
        <f aca="true" t="shared" si="4" ref="D34:Q34">D18+D32</f>
        <v>65231.09502720001</v>
      </c>
      <c r="E34" s="38">
        <f t="shared" si="4"/>
        <v>344898.61</v>
      </c>
      <c r="F34" s="39">
        <f t="shared" si="4"/>
        <v>64216.75</v>
      </c>
      <c r="G34" s="37">
        <f t="shared" si="4"/>
        <v>315176.506</v>
      </c>
      <c r="H34" s="39">
        <f t="shared" si="4"/>
        <v>444624.3510272</v>
      </c>
      <c r="I34" s="37">
        <f t="shared" si="4"/>
        <v>32282.112</v>
      </c>
      <c r="J34" s="38">
        <f t="shared" si="4"/>
        <v>53413.64488134199</v>
      </c>
      <c r="K34" s="38">
        <f t="shared" si="4"/>
        <v>203145.79331182363</v>
      </c>
      <c r="L34" s="38">
        <f t="shared" si="4"/>
        <v>80485.82759999999</v>
      </c>
      <c r="M34" s="38">
        <f t="shared" si="4"/>
        <v>19349.5456</v>
      </c>
      <c r="N34" s="78">
        <f t="shared" si="4"/>
        <v>388676.92339316563</v>
      </c>
      <c r="O34" s="78">
        <f>O18+O32</f>
        <v>1299.0635322512003</v>
      </c>
      <c r="P34" s="77">
        <f>P18+P32</f>
        <v>57496.00346178323</v>
      </c>
      <c r="Q34" s="77">
        <f t="shared" si="4"/>
        <v>-29722.104000000007</v>
      </c>
      <c r="R34" s="72"/>
      <c r="S34" s="71"/>
    </row>
    <row r="35" spans="1:19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86"/>
      <c r="P35" s="74"/>
      <c r="Q35" s="74"/>
      <c r="R35" s="1"/>
      <c r="S35" s="1"/>
    </row>
    <row r="36" spans="1:19" ht="12.75">
      <c r="A36" s="11" t="s">
        <v>45</v>
      </c>
      <c r="B36" s="83">
        <f>Лист1!B30</f>
        <v>3685</v>
      </c>
      <c r="C36" s="27">
        <f aca="true" t="shared" si="5" ref="C36:C47">B36*8.65</f>
        <v>31875.25</v>
      </c>
      <c r="D36" s="28">
        <f>Лист1!D30</f>
        <v>3159.7599999999948</v>
      </c>
      <c r="E36" s="14">
        <f>Лист1!S30</f>
        <v>24221.62</v>
      </c>
      <c r="F36" s="30">
        <f>Лист1!T30</f>
        <v>4493.87</v>
      </c>
      <c r="G36" s="29">
        <f>Лист1!AB30</f>
        <v>17124.730000000003</v>
      </c>
      <c r="H36" s="30">
        <f>Лист1!AC30</f>
        <v>24778.359999999997</v>
      </c>
      <c r="I36" s="29">
        <f>Лист1!AG30</f>
        <v>2211</v>
      </c>
      <c r="J36" s="14">
        <f>Лист1!AI30+Лист1!AJ30</f>
        <v>3685</v>
      </c>
      <c r="K36" s="14">
        <f>Лист1!AH30+Лист1!AK30+Лист1!AL30+Лист1!AM30+Лист1!AN30+Лист1!AO30+Лист1!AP30+Лист1!AQ30+Лист1!AR30</f>
        <v>17459.59</v>
      </c>
      <c r="L36" s="31">
        <f>Лист1!AS30+Лист1!AT30+Лист1!AU30+Лист1!AZ30+Лист1!BA30</f>
        <v>5304</v>
      </c>
      <c r="M36" s="31">
        <f>Лист1!AX30</f>
        <v>1625.3999999999999</v>
      </c>
      <c r="N36" s="30">
        <f>Лист1!BB30</f>
        <v>30284.99</v>
      </c>
      <c r="O36" s="86">
        <f>Лист1!BC30</f>
        <v>112.968</v>
      </c>
      <c r="P36" s="74">
        <f>Лист1!BD30</f>
        <v>-5382.294720000004</v>
      </c>
      <c r="Q36" s="74">
        <f>Лист1!BE30</f>
        <v>-7096.889999999996</v>
      </c>
      <c r="R36" s="1"/>
      <c r="S36" s="1"/>
    </row>
    <row r="37" spans="1:19" ht="12.75">
      <c r="A37" s="11" t="s">
        <v>46</v>
      </c>
      <c r="B37" s="83">
        <f>Лист1!B31</f>
        <v>3685</v>
      </c>
      <c r="C37" s="27">
        <f t="shared" si="5"/>
        <v>31875.25</v>
      </c>
      <c r="D37" s="28">
        <f>Лист1!D31</f>
        <v>3159.749999999997</v>
      </c>
      <c r="E37" s="14">
        <f>Лист1!S31</f>
        <v>24015.21</v>
      </c>
      <c r="F37" s="30">
        <f>Лист1!T31</f>
        <v>4700.29</v>
      </c>
      <c r="G37" s="29">
        <f>Лист1!AB31</f>
        <v>23333.500000000004</v>
      </c>
      <c r="H37" s="30">
        <f>Лист1!AC31</f>
        <v>31193.54</v>
      </c>
      <c r="I37" s="29">
        <f>Лист1!AG31</f>
        <v>2211</v>
      </c>
      <c r="J37" s="14">
        <f>Лист1!AI31+Лист1!AJ31</f>
        <v>3685</v>
      </c>
      <c r="K37" s="14">
        <f>Лист1!AH31+Лист1!AK31+Лист1!AL31+Лист1!AM31+Лист1!AN31+Лист1!AO31+Лист1!AP31+Лист1!AQ31+Лист1!AR31</f>
        <v>12639.55</v>
      </c>
      <c r="L37" s="31">
        <f>Лист1!AS31+Лист1!AT31+Лист1!AU31+Лист1!AZ31+Лист1!BA31</f>
        <v>5748</v>
      </c>
      <c r="M37" s="31">
        <f>Лист1!AX31</f>
        <v>1533</v>
      </c>
      <c r="N37" s="30">
        <f>Лист1!BB31</f>
        <v>25816.55</v>
      </c>
      <c r="O37" s="86">
        <f>Лист1!BC31</f>
        <v>112.968</v>
      </c>
      <c r="P37" s="74">
        <f>Лист1!BD31</f>
        <v>5501.325280000002</v>
      </c>
      <c r="Q37" s="74">
        <f>Лист1!BE31</f>
        <v>-681.7099999999955</v>
      </c>
      <c r="R37" s="1"/>
      <c r="S37" s="1"/>
    </row>
    <row r="38" spans="1:19" ht="12.75">
      <c r="A38" s="11" t="s">
        <v>47</v>
      </c>
      <c r="B38" s="83">
        <f>Лист1!B32</f>
        <v>3685</v>
      </c>
      <c r="C38" s="27">
        <f t="shared" si="5"/>
        <v>31875.25</v>
      </c>
      <c r="D38" s="28">
        <f>Лист1!D32</f>
        <v>4159.75</v>
      </c>
      <c r="E38" s="14">
        <f>Лист1!S32</f>
        <v>22999.32</v>
      </c>
      <c r="F38" s="30">
        <f>Лист1!T32</f>
        <v>4716.18</v>
      </c>
      <c r="G38" s="29">
        <f>Лист1!AB32</f>
        <v>23525.95</v>
      </c>
      <c r="H38" s="30">
        <f>Лист1!AC32</f>
        <v>32401.88</v>
      </c>
      <c r="I38" s="29">
        <f>Лист1!AG32</f>
        <v>2211</v>
      </c>
      <c r="J38" s="14">
        <f>Лист1!AI32+Лист1!AJ32</f>
        <v>3685</v>
      </c>
      <c r="K38" s="14">
        <f>Лист1!AH32+Лист1!AK32+Лист1!AL32+Лист1!AM32+Лист1!AN32+Лист1!AO32+Лист1!AP32+Лист1!AQ32+Лист1!AR32</f>
        <v>19494.55</v>
      </c>
      <c r="L38" s="31">
        <f>Лист1!AS32+Лист1!AT32+Лист1!AU32+Лист1!AZ32+Лист1!BA32</f>
        <v>1884</v>
      </c>
      <c r="M38" s="31">
        <f>Лист1!AX32</f>
        <v>1262.8</v>
      </c>
      <c r="N38" s="30">
        <f>Лист1!BB32</f>
        <v>28537.35</v>
      </c>
      <c r="O38" s="86">
        <f>Лист1!BC32</f>
        <v>112.968</v>
      </c>
      <c r="P38" s="74">
        <f>Лист1!BD32</f>
        <v>3988.8652800000027</v>
      </c>
      <c r="Q38" s="74">
        <f>Лист1!BE32</f>
        <v>526.630000000001</v>
      </c>
      <c r="R38" s="1"/>
      <c r="S38" s="1"/>
    </row>
    <row r="39" spans="1:19" ht="12.75">
      <c r="A39" s="11" t="s">
        <v>48</v>
      </c>
      <c r="B39" s="83">
        <f>Лист1!B33</f>
        <v>3685</v>
      </c>
      <c r="C39" s="27">
        <f t="shared" si="5"/>
        <v>31875.25</v>
      </c>
      <c r="D39" s="28">
        <f>Лист1!D33</f>
        <v>4159.75</v>
      </c>
      <c r="E39" s="14">
        <f>Лист1!S33</f>
        <v>22999.32</v>
      </c>
      <c r="F39" s="30">
        <f>Лист1!T33</f>
        <v>4716.18</v>
      </c>
      <c r="G39" s="29">
        <f>Лист1!AB33</f>
        <v>22495.47</v>
      </c>
      <c r="H39" s="30">
        <f>Лист1!AC33</f>
        <v>31371.4</v>
      </c>
      <c r="I39" s="29">
        <f>Лист1!AG33</f>
        <v>2211</v>
      </c>
      <c r="J39" s="14">
        <f>Лист1!AI33+Лист1!AJ33</f>
        <v>3685</v>
      </c>
      <c r="K39" s="14">
        <f>Лист1!AH33+Лист1!AK33+Лист1!AL33+Лист1!AM33+Лист1!AN33+Лист1!AO33+Лист1!AP33+Лист1!AQ33+Лист1!AR33</f>
        <v>12639.55</v>
      </c>
      <c r="L39" s="31">
        <f>Лист1!AS33+Лист1!AT33+Лист1!AU33+Лист1!AZ33+Лист1!BA33</f>
        <v>5945</v>
      </c>
      <c r="M39" s="31">
        <f>Лист1!AX33</f>
        <v>1229.1999999999998</v>
      </c>
      <c r="N39" s="30">
        <f>Лист1!BB33</f>
        <v>25709.75</v>
      </c>
      <c r="O39" s="86">
        <f>Лист1!BC33</f>
        <v>112.968</v>
      </c>
      <c r="P39" s="74">
        <f>Лист1!BD33</f>
        <v>5785.985280000002</v>
      </c>
      <c r="Q39" s="74">
        <f>Лист1!BE33</f>
        <v>-503.84999999999854</v>
      </c>
      <c r="R39" s="1"/>
      <c r="S39" s="1"/>
    </row>
    <row r="40" spans="1:19" ht="12.75">
      <c r="A40" s="11" t="s">
        <v>49</v>
      </c>
      <c r="B40" s="83">
        <f>Лист1!B34</f>
        <v>3688.4</v>
      </c>
      <c r="C40" s="27">
        <f t="shared" si="5"/>
        <v>31904.660000000003</v>
      </c>
      <c r="D40" s="28">
        <f>Лист1!D34</f>
        <v>3178.1</v>
      </c>
      <c r="E40" s="14">
        <f>Лист1!S34</f>
        <v>24010.38</v>
      </c>
      <c r="F40" s="30">
        <f>Лист1!T34</f>
        <v>4716.18</v>
      </c>
      <c r="G40" s="29">
        <f>Лист1!AB34</f>
        <v>28403.77</v>
      </c>
      <c r="H40" s="30">
        <f>Лист1!AC34</f>
        <v>36298.05</v>
      </c>
      <c r="I40" s="29">
        <f>Лист1!AG34</f>
        <v>2213.04</v>
      </c>
      <c r="J40" s="14">
        <f>Лист1!AI34+Лист1!AJ34</f>
        <v>3688.4</v>
      </c>
      <c r="K40" s="14">
        <f>Лист1!AH34+Лист1!AK34+Лист1!AL34+Лист1!AM34+Лист1!AN34+Лист1!AO34+Лист1!AP34+Лист1!AQ34+Лист1!AR34</f>
        <v>12651.212</v>
      </c>
      <c r="L40" s="31">
        <f>Лист1!AS34+Лист1!AT34+Лист1!AU34+Лист1!AZ34+Лист1!BA34</f>
        <v>5353</v>
      </c>
      <c r="M40" s="31">
        <f>Лист1!AX34</f>
        <v>995.4</v>
      </c>
      <c r="N40" s="30">
        <f>Лист1!BB34</f>
        <v>24901.052000000003</v>
      </c>
      <c r="O40" s="86">
        <f>Лист1!BC34</f>
        <v>112.968</v>
      </c>
      <c r="P40" s="74">
        <f>Лист1!BD34</f>
        <v>11521.333279999999</v>
      </c>
      <c r="Q40" s="74">
        <f>Лист1!BE34</f>
        <v>4393.389999999999</v>
      </c>
      <c r="R40" s="1"/>
      <c r="S40" s="1"/>
    </row>
    <row r="41" spans="1:19" ht="12.75">
      <c r="A41" s="11" t="s">
        <v>50</v>
      </c>
      <c r="B41" s="83">
        <f>Лист1!B35</f>
        <v>3688.4</v>
      </c>
      <c r="C41" s="27">
        <f t="shared" si="5"/>
        <v>31904.660000000003</v>
      </c>
      <c r="D41" s="28">
        <f>Лист1!D35</f>
        <v>3188.0900000000047</v>
      </c>
      <c r="E41" s="14">
        <f>Лист1!S35</f>
        <v>24000.37</v>
      </c>
      <c r="F41" s="30">
        <f>Лист1!T35</f>
        <v>4716.200000000001</v>
      </c>
      <c r="G41" s="29">
        <f>Лист1!AB35</f>
        <v>19124.089999999997</v>
      </c>
      <c r="H41" s="30">
        <f>Лист1!AC35</f>
        <v>27028.38</v>
      </c>
      <c r="I41" s="29">
        <f>Лист1!AG35</f>
        <v>2213.04</v>
      </c>
      <c r="J41" s="14">
        <f>Лист1!AI35+Лист1!AJ35</f>
        <v>3688.4</v>
      </c>
      <c r="K41" s="14">
        <f>Лист1!AH35+Лист1!AK35+Лист1!AL35+Лист1!AM35+Лист1!AN35+Лист1!AO35+Лист1!AP35+Лист1!AQ35+Лист1!AR35</f>
        <v>13251.212</v>
      </c>
      <c r="L41" s="31">
        <f>Лист1!AS35+Лист1!AT35+Лист1!AU35+Лист1!AZ35+Лист1!BA35</f>
        <v>569</v>
      </c>
      <c r="M41" s="31">
        <f>Лист1!AX35</f>
        <v>665</v>
      </c>
      <c r="N41" s="30">
        <f>Лист1!BB35</f>
        <v>20386.652000000002</v>
      </c>
      <c r="O41" s="86">
        <f>Лист1!BC35</f>
        <v>112.968</v>
      </c>
      <c r="P41" s="74">
        <f>Лист1!BD35</f>
        <v>6766.063279999999</v>
      </c>
      <c r="Q41" s="74">
        <f>Лист1!BE35</f>
        <v>-4876.2800000000025</v>
      </c>
      <c r="R41" s="1"/>
      <c r="S41" s="1"/>
    </row>
    <row r="42" spans="1:19" ht="12.75">
      <c r="A42" s="11" t="s">
        <v>51</v>
      </c>
      <c r="B42" s="83">
        <f>Лист1!B36</f>
        <v>3688.4</v>
      </c>
      <c r="C42" s="27">
        <f t="shared" si="5"/>
        <v>31904.660000000003</v>
      </c>
      <c r="D42" s="28">
        <f>Лист1!D36</f>
        <v>3145.420000000004</v>
      </c>
      <c r="E42" s="14">
        <f>Лист1!S36</f>
        <v>28759.24</v>
      </c>
      <c r="F42" s="30">
        <f>Лист1!T36</f>
        <v>0</v>
      </c>
      <c r="G42" s="29">
        <f>Лист1!AB36</f>
        <v>27193.489999999998</v>
      </c>
      <c r="H42" s="30">
        <f>Лист1!AC36</f>
        <v>30338.910000000003</v>
      </c>
      <c r="I42" s="29">
        <f>Лист1!AG36</f>
        <v>2213.04</v>
      </c>
      <c r="J42" s="14">
        <f>Лист1!AI36+Лист1!AJ36</f>
        <v>3688.4</v>
      </c>
      <c r="K42" s="14">
        <f>Лист1!AH36+Лист1!AK36+Лист1!AL36+Лист1!AM36+Лист1!AN36+Лист1!AO36+Лист1!AP36+Лист1!AQ36+Лист1!AR36</f>
        <v>12651.212</v>
      </c>
      <c r="L42" s="31">
        <f>Лист1!AS36+Лист1!AT36+Лист1!AU36+Лист1!AZ36+Лист1!BA36</f>
        <v>0</v>
      </c>
      <c r="M42" s="31">
        <f>Лист1!AX36</f>
        <v>763</v>
      </c>
      <c r="N42" s="30">
        <f>Лист1!BB36</f>
        <v>19315.652000000002</v>
      </c>
      <c r="O42" s="86">
        <f>Лист1!BC36</f>
        <v>0</v>
      </c>
      <c r="P42" s="74">
        <f>Лист1!BD36</f>
        <v>11023.258000000002</v>
      </c>
      <c r="Q42" s="74">
        <f>Лист1!BE36</f>
        <v>-1565.7500000000036</v>
      </c>
      <c r="R42" s="1"/>
      <c r="S42" s="1"/>
    </row>
    <row r="43" spans="1:19" ht="12.75">
      <c r="A43" s="11" t="s">
        <v>52</v>
      </c>
      <c r="B43" s="83">
        <f>Лист1!B37</f>
        <v>3688.4</v>
      </c>
      <c r="C43" s="27">
        <f t="shared" si="5"/>
        <v>31904.660000000003</v>
      </c>
      <c r="D43" s="28">
        <f>Лист1!D37</f>
        <v>3140.920000000004</v>
      </c>
      <c r="E43" s="14">
        <f>Лист1!S37</f>
        <v>28763.739999999998</v>
      </c>
      <c r="F43" s="30">
        <f>Лист1!T37</f>
        <v>0</v>
      </c>
      <c r="G43" s="29">
        <f>Лист1!AB37</f>
        <v>22860.74</v>
      </c>
      <c r="H43" s="30">
        <f>Лист1!AC37</f>
        <v>26001.660000000007</v>
      </c>
      <c r="I43" s="29">
        <f>Лист1!AG37</f>
        <v>2213.04</v>
      </c>
      <c r="J43" s="14">
        <f>Лист1!AI37+Лист1!AJ37</f>
        <v>3688.4</v>
      </c>
      <c r="K43" s="14">
        <f>Лист1!AH37+Лист1!AK37+Лист1!AL37+Лист1!AM37+Лист1!AN37+Лист1!AO37+Лист1!AP37+Лист1!AQ37+Лист1!AR37</f>
        <v>12651.212</v>
      </c>
      <c r="L43" s="31">
        <f>Лист1!AS37+Лист1!AT37+Лист1!AU37+Лист1!AZ37+Лист1!BA37</f>
        <v>101.8</v>
      </c>
      <c r="M43" s="31">
        <f>Лист1!AX37</f>
        <v>716.8</v>
      </c>
      <c r="N43" s="30">
        <f>Лист1!BB37</f>
        <v>19371.252</v>
      </c>
      <c r="O43" s="86">
        <f>Лист1!BC37</f>
        <v>0</v>
      </c>
      <c r="P43" s="74">
        <f>Лист1!BD37</f>
        <v>6630.408000000007</v>
      </c>
      <c r="Q43" s="74">
        <f>Лист1!BE37</f>
        <v>-5902.999999999996</v>
      </c>
      <c r="R43" s="1"/>
      <c r="S43" s="1"/>
    </row>
    <row r="44" spans="1:19" ht="12.75">
      <c r="A44" s="11" t="s">
        <v>53</v>
      </c>
      <c r="B44" s="83">
        <f>Лист1!B38</f>
        <v>3688.4</v>
      </c>
      <c r="C44" s="27">
        <f t="shared" si="5"/>
        <v>31904.660000000003</v>
      </c>
      <c r="D44" s="28">
        <f>Лист1!D38</f>
        <v>3134.8000000000034</v>
      </c>
      <c r="E44" s="14">
        <f>Лист1!S38</f>
        <v>28769.86</v>
      </c>
      <c r="F44" s="30">
        <f>Лист1!T38</f>
        <v>0</v>
      </c>
      <c r="G44" s="29">
        <f>Лист1!AB38</f>
        <v>27278.92</v>
      </c>
      <c r="H44" s="30">
        <f>Лист1!AC38</f>
        <v>30413.72</v>
      </c>
      <c r="I44" s="29">
        <f>Лист1!AG38</f>
        <v>2213.04</v>
      </c>
      <c r="J44" s="14">
        <f>Лист1!AI38+Лист1!AJ38</f>
        <v>3688.4</v>
      </c>
      <c r="K44" s="14">
        <f>Лист1!AH38+Лист1!AK38+Лист1!AL38+Лист1!AM38+Лист1!AN38+Лист1!AO38+Лист1!AP38+Лист1!AQ38+Лист1!AR38</f>
        <v>12651.212</v>
      </c>
      <c r="L44" s="31">
        <f>Лист1!AS38+Лист1!AT38+Лист1!AU38+Лист1!AZ38+Лист1!BA38</f>
        <v>2214</v>
      </c>
      <c r="M44" s="31">
        <f>Лист1!AX38</f>
        <v>1370.6</v>
      </c>
      <c r="N44" s="30">
        <f>Лист1!BB38</f>
        <v>22137.252</v>
      </c>
      <c r="O44" s="86">
        <f>Лист1!BC38</f>
        <v>0</v>
      </c>
      <c r="P44" s="74">
        <f>Лист1!BD38</f>
        <v>8276.468</v>
      </c>
      <c r="Q44" s="74">
        <f>Лист1!BE38</f>
        <v>-1490.9400000000023</v>
      </c>
      <c r="R44" s="1"/>
      <c r="S44" s="1"/>
    </row>
    <row r="45" spans="1:19" ht="12.75">
      <c r="A45" s="11" t="s">
        <v>41</v>
      </c>
      <c r="B45" s="83">
        <f>Лист1!B39</f>
        <v>3688.4</v>
      </c>
      <c r="C45" s="27">
        <f>B45*8.65</f>
        <v>31904.660000000003</v>
      </c>
      <c r="D45" s="28">
        <f>Лист1!D39</f>
        <v>3579.360000000001</v>
      </c>
      <c r="E45" s="14">
        <f>Лист1!S39</f>
        <v>28325.300000000003</v>
      </c>
      <c r="F45" s="30">
        <f>Лист1!T39</f>
        <v>0</v>
      </c>
      <c r="G45" s="29">
        <f>Лист1!AB39</f>
        <v>29766.78</v>
      </c>
      <c r="H45" s="30">
        <f>Лист1!AC39</f>
        <v>33346.14</v>
      </c>
      <c r="I45" s="29">
        <f>Лист1!AG39</f>
        <v>2213.04</v>
      </c>
      <c r="J45" s="14">
        <f>Лист1!AI39+Лист1!AJ39</f>
        <v>3688.4</v>
      </c>
      <c r="K45" s="14">
        <f>Лист1!AH39+Лист1!AK39+Лист1!AL39+Лист1!AM39+Лист1!AN39+Лист1!AO39+Лист1!AP39+Лист1!AQ39+Лист1!AR39</f>
        <v>16092.632</v>
      </c>
      <c r="L45" s="31">
        <f>Лист1!AS39+Лист1!AT39+Лист1!AU39+Лист1!AZ39+Лист1!BA39</f>
        <v>1886</v>
      </c>
      <c r="M45" s="31">
        <f>Лист1!AX39</f>
        <v>1061.2</v>
      </c>
      <c r="N45" s="30">
        <f>Лист1!BB39</f>
        <v>24941.272</v>
      </c>
      <c r="O45" s="86">
        <f>Лист1!BC39</f>
        <v>37.5</v>
      </c>
      <c r="P45" s="74">
        <f>Лист1!BD39</f>
        <v>8517.367999999999</v>
      </c>
      <c r="Q45" s="74">
        <f>Лист1!BE39</f>
        <v>1441.479999999996</v>
      </c>
      <c r="R45" s="1"/>
      <c r="S45" s="1"/>
    </row>
    <row r="46" spans="1:19" ht="12.75">
      <c r="A46" s="11" t="s">
        <v>42</v>
      </c>
      <c r="B46" s="83">
        <f>Лист1!B40</f>
        <v>3688.4</v>
      </c>
      <c r="C46" s="27">
        <f t="shared" si="5"/>
        <v>31904.660000000003</v>
      </c>
      <c r="D46" s="28">
        <f>Лист1!D40</f>
        <v>3279.550000000004</v>
      </c>
      <c r="E46" s="14">
        <f>Лист1!S40</f>
        <v>28625.11</v>
      </c>
      <c r="F46" s="30">
        <f>Лист1!T40</f>
        <v>0</v>
      </c>
      <c r="G46" s="29">
        <f>Лист1!AB40</f>
        <v>26362.82</v>
      </c>
      <c r="H46" s="30">
        <f>Лист1!AC40</f>
        <v>29642.370000000003</v>
      </c>
      <c r="I46" s="29">
        <f>Лист1!AG40</f>
        <v>2213.04</v>
      </c>
      <c r="J46" s="14">
        <f>Лист1!AI40+Лист1!AJ40</f>
        <v>3688.4</v>
      </c>
      <c r="K46" s="14">
        <f>Лист1!AH40+Лист1!AK40+Лист1!AL40+Лист1!AM40+Лист1!AN40+Лист1!AO40+Лист1!AP40+Лист1!AQ40+Лист1!AR40</f>
        <v>12651.212</v>
      </c>
      <c r="L46" s="31">
        <f>Лист1!AS40+Лист1!AT40+Лист1!AU40+Лист1!AZ40+Лист1!BA40</f>
        <v>5678</v>
      </c>
      <c r="M46" s="31">
        <f>Лист1!AX40</f>
        <v>1076.6</v>
      </c>
      <c r="N46" s="30">
        <f>Лист1!BB40</f>
        <v>25307.252</v>
      </c>
      <c r="O46" s="86">
        <f>Лист1!BC40</f>
        <v>37.5</v>
      </c>
      <c r="P46" s="74">
        <f>Лист1!BD40</f>
        <v>4447.618000000002</v>
      </c>
      <c r="Q46" s="74">
        <f>Лист1!BE40</f>
        <v>-2262.290000000001</v>
      </c>
      <c r="R46" s="1"/>
      <c r="S46" s="1"/>
    </row>
    <row r="47" spans="1:19" ht="13.5" thickBot="1">
      <c r="A47" s="32" t="s">
        <v>43</v>
      </c>
      <c r="B47" s="83">
        <f>Лист1!B41</f>
        <v>3688.4</v>
      </c>
      <c r="C47" s="33">
        <f t="shared" si="5"/>
        <v>31904.660000000003</v>
      </c>
      <c r="D47" s="28">
        <f>Лист1!D41</f>
        <v>3278.540000000005</v>
      </c>
      <c r="E47" s="14">
        <f>Лист1!S41</f>
        <v>28626.12</v>
      </c>
      <c r="F47" s="30">
        <f>Лист1!T41</f>
        <v>0</v>
      </c>
      <c r="G47" s="29">
        <f>Лист1!AB41</f>
        <v>34389.46</v>
      </c>
      <c r="H47" s="30">
        <f>Лист1!AC41</f>
        <v>37668.00000000001</v>
      </c>
      <c r="I47" s="29">
        <f>Лист1!AG41</f>
        <v>2213.04</v>
      </c>
      <c r="J47" s="14">
        <f>Лист1!AI41+Лист1!AJ41</f>
        <v>3688.4</v>
      </c>
      <c r="K47" s="14">
        <f>Лист1!AH41+Лист1!AK41+Лист1!AL41+Лист1!AM41+Лист1!AN41+Лист1!AO41+Лист1!AP41+Лист1!AQ41+Лист1!AR41</f>
        <v>12651.212</v>
      </c>
      <c r="L47" s="31">
        <f>Лист1!AS41+Лист1!AT41+Лист1!AU41+Лист1!AZ41+Лист1!BA41</f>
        <v>134934.1224</v>
      </c>
      <c r="M47" s="31">
        <f>Лист1!AX41</f>
        <v>1782.1999999999998</v>
      </c>
      <c r="N47" s="30">
        <f>Лист1!BB41</f>
        <v>155268.9744</v>
      </c>
      <c r="O47" s="86">
        <f>Лист1!BC41</f>
        <v>37.5</v>
      </c>
      <c r="P47" s="74">
        <f>Лист1!BD41</f>
        <v>-117488.4744</v>
      </c>
      <c r="Q47" s="74">
        <f>Лист1!BE41</f>
        <v>5763.34</v>
      </c>
      <c r="R47" s="1"/>
      <c r="S47" s="1"/>
    </row>
    <row r="48" spans="1:19" s="20" customFormat="1" ht="13.5" thickBot="1">
      <c r="A48" s="34" t="s">
        <v>5</v>
      </c>
      <c r="B48" s="35"/>
      <c r="C48" s="36">
        <f aca="true" t="shared" si="6" ref="C48:Q48">SUM(C36:C47)</f>
        <v>382738.28000000014</v>
      </c>
      <c r="D48" s="67">
        <f t="shared" si="6"/>
        <v>40563.79000000002</v>
      </c>
      <c r="E48" s="36">
        <f t="shared" si="6"/>
        <v>314115.58999999997</v>
      </c>
      <c r="F48" s="68">
        <f t="shared" si="6"/>
        <v>28058.9</v>
      </c>
      <c r="G48" s="67">
        <f t="shared" si="6"/>
        <v>301859.72</v>
      </c>
      <c r="H48" s="68">
        <f t="shared" si="6"/>
        <v>370482.41000000003</v>
      </c>
      <c r="I48" s="67">
        <f t="shared" si="6"/>
        <v>26548.320000000007</v>
      </c>
      <c r="J48" s="36">
        <f t="shared" si="6"/>
        <v>44247.20000000001</v>
      </c>
      <c r="K48" s="36">
        <f t="shared" si="6"/>
        <v>167484.356</v>
      </c>
      <c r="L48" s="36">
        <f t="shared" si="6"/>
        <v>169616.92239999998</v>
      </c>
      <c r="M48" s="36">
        <f t="shared" si="6"/>
        <v>14081.2</v>
      </c>
      <c r="N48" s="68">
        <f t="shared" si="6"/>
        <v>421977.99840000004</v>
      </c>
      <c r="O48" s="68">
        <f t="shared" si="6"/>
        <v>790.308</v>
      </c>
      <c r="P48" s="75">
        <f t="shared" si="6"/>
        <v>-50412.07672</v>
      </c>
      <c r="Q48" s="75">
        <f t="shared" si="6"/>
        <v>-12255.869999999999</v>
      </c>
      <c r="R48" s="71"/>
      <c r="S48" s="71"/>
    </row>
    <row r="49" spans="1:19" ht="13.5" thickBot="1">
      <c r="A49" s="385" t="s">
        <v>70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79"/>
      <c r="R49" s="1"/>
      <c r="S49" s="1"/>
    </row>
    <row r="50" spans="1:19" s="20" customFormat="1" ht="13.5" thickBot="1">
      <c r="A50" s="80" t="s">
        <v>54</v>
      </c>
      <c r="B50" s="38"/>
      <c r="C50" s="39">
        <f>C34+C48</f>
        <v>860887.7900000002</v>
      </c>
      <c r="D50" s="37">
        <f aca="true" t="shared" si="7" ref="D50:N50">D34+D48</f>
        <v>105794.88502720004</v>
      </c>
      <c r="E50" s="38">
        <f t="shared" si="7"/>
        <v>659014.2</v>
      </c>
      <c r="F50" s="39">
        <f t="shared" si="7"/>
        <v>92275.65</v>
      </c>
      <c r="G50" s="37">
        <f t="shared" si="7"/>
        <v>617036.226</v>
      </c>
      <c r="H50" s="39">
        <f t="shared" si="7"/>
        <v>815106.7610272</v>
      </c>
      <c r="I50" s="37">
        <f t="shared" si="7"/>
        <v>58830.43200000001</v>
      </c>
      <c r="J50" s="38">
        <f t="shared" si="7"/>
        <v>97660.844881342</v>
      </c>
      <c r="K50" s="38">
        <f t="shared" si="7"/>
        <v>370630.14931182365</v>
      </c>
      <c r="L50" s="38">
        <f t="shared" si="7"/>
        <v>250102.74999999997</v>
      </c>
      <c r="M50" s="38">
        <f t="shared" si="7"/>
        <v>33430.7456</v>
      </c>
      <c r="N50" s="78">
        <f t="shared" si="7"/>
        <v>810654.9217931656</v>
      </c>
      <c r="O50" s="78">
        <f>O34+O48</f>
        <v>2089.3715322512003</v>
      </c>
      <c r="P50" s="77">
        <f>P34+P48</f>
        <v>7083.926741783231</v>
      </c>
      <c r="Q50" s="77">
        <f>Q34+Q48</f>
        <v>-41977.974</v>
      </c>
      <c r="R50" s="72"/>
      <c r="S50" s="71"/>
    </row>
    <row r="53" spans="1:19" ht="12.75">
      <c r="A53" s="20" t="s">
        <v>71</v>
      </c>
      <c r="D53" s="84" t="s">
        <v>92</v>
      </c>
      <c r="R53" s="1"/>
      <c r="S53" s="1"/>
    </row>
    <row r="54" spans="1:19" ht="12.75">
      <c r="A54" s="21" t="s">
        <v>72</v>
      </c>
      <c r="B54" s="21" t="s">
        <v>73</v>
      </c>
      <c r="C54" s="387" t="s">
        <v>74</v>
      </c>
      <c r="D54" s="387"/>
      <c r="R54" s="1"/>
      <c r="S54" s="1"/>
    </row>
    <row r="55" spans="1:19" ht="12.75">
      <c r="A55" s="130">
        <v>233369.17</v>
      </c>
      <c r="B55" s="130">
        <v>159721.86</v>
      </c>
      <c r="C55" s="383">
        <f>A55-B55</f>
        <v>73647.31000000003</v>
      </c>
      <c r="D55" s="384"/>
      <c r="R55" s="1"/>
      <c r="S55" s="1"/>
    </row>
    <row r="56" spans="1:19" ht="12.75">
      <c r="A56" s="46"/>
      <c r="R56" s="1"/>
      <c r="S56" s="1"/>
    </row>
    <row r="57" spans="1:19" ht="12.75">
      <c r="A57" s="2" t="s">
        <v>77</v>
      </c>
      <c r="G57" s="2" t="s">
        <v>78</v>
      </c>
      <c r="R57" s="1"/>
      <c r="S57" s="1"/>
    </row>
    <row r="58" ht="12.75">
      <c r="A58" s="1"/>
    </row>
    <row r="59" ht="12.75">
      <c r="A59" s="1"/>
    </row>
    <row r="60" ht="12.75">
      <c r="A60" s="2" t="s">
        <v>88</v>
      </c>
    </row>
    <row r="61" ht="12.75">
      <c r="A61" s="2" t="s">
        <v>79</v>
      </c>
    </row>
  </sheetData>
  <sheetProtection/>
  <mergeCells count="28">
    <mergeCell ref="C55:D55"/>
    <mergeCell ref="N11:N12"/>
    <mergeCell ref="A33:P33"/>
    <mergeCell ref="C54:D54"/>
    <mergeCell ref="O9:O12"/>
    <mergeCell ref="I9:N10"/>
    <mergeCell ref="P9:P12"/>
    <mergeCell ref="A9:A12"/>
    <mergeCell ref="B9:B12"/>
    <mergeCell ref="A49:P49"/>
    <mergeCell ref="Q9:Q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9:C12"/>
    <mergeCell ref="D9:D12"/>
    <mergeCell ref="B1:H1"/>
    <mergeCell ref="B2:H2"/>
    <mergeCell ref="A8:D8"/>
    <mergeCell ref="E8:F8"/>
    <mergeCell ref="A5:P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0"/>
  <sheetViews>
    <sheetView zoomScalePageLayoutView="0" workbookViewId="0" topLeftCell="A1">
      <pane xSplit="2" ySplit="7" topLeftCell="R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C33" sqref="BC33"/>
    </sheetView>
  </sheetViews>
  <sheetFormatPr defaultColWidth="9.00390625" defaultRowHeight="12.75"/>
  <cols>
    <col min="1" max="1" width="8.75390625" style="159" bestFit="1" customWidth="1"/>
    <col min="2" max="2" width="9.125" style="159" customWidth="1"/>
    <col min="3" max="3" width="11.375" style="159" customWidth="1"/>
    <col min="4" max="4" width="10.375" style="159" customWidth="1"/>
    <col min="5" max="6" width="9.125" style="159" customWidth="1"/>
    <col min="7" max="7" width="10.25390625" style="159" customWidth="1"/>
    <col min="8" max="8" width="9.125" style="159" customWidth="1"/>
    <col min="9" max="9" width="9.875" style="159" customWidth="1"/>
    <col min="10" max="10" width="9.125" style="159" customWidth="1"/>
    <col min="11" max="11" width="10.375" style="159" customWidth="1"/>
    <col min="12" max="12" width="9.125" style="159" customWidth="1"/>
    <col min="13" max="13" width="10.125" style="159" bestFit="1" customWidth="1"/>
    <col min="14" max="14" width="9.125" style="159" customWidth="1"/>
    <col min="15" max="15" width="10.125" style="159" bestFit="1" customWidth="1"/>
    <col min="16" max="18" width="9.125" style="159" customWidth="1"/>
    <col min="19" max="19" width="10.125" style="159" bestFit="1" customWidth="1"/>
    <col min="20" max="20" width="10.125" style="159" customWidth="1"/>
    <col min="21" max="21" width="10.125" style="159" bestFit="1" customWidth="1"/>
    <col min="22" max="22" width="10.25390625" style="159" customWidth="1"/>
    <col min="23" max="23" width="10.625" style="159" customWidth="1"/>
    <col min="24" max="24" width="10.125" style="159" customWidth="1"/>
    <col min="25" max="28" width="10.125" style="159" bestFit="1" customWidth="1"/>
    <col min="29" max="30" width="11.375" style="159" customWidth="1"/>
    <col min="31" max="31" width="9.25390625" style="159" bestFit="1" customWidth="1"/>
    <col min="32" max="32" width="10.125" style="159" bestFit="1" customWidth="1"/>
    <col min="33" max="33" width="11.00390625" style="159" customWidth="1"/>
    <col min="34" max="35" width="9.25390625" style="159" bestFit="1" customWidth="1"/>
    <col min="36" max="36" width="12.625" style="159" customWidth="1"/>
    <col min="37" max="38" width="9.25390625" style="159" bestFit="1" customWidth="1"/>
    <col min="39" max="39" width="10.125" style="159" bestFit="1" customWidth="1"/>
    <col min="40" max="40" width="9.25390625" style="159" bestFit="1" customWidth="1"/>
    <col min="41" max="42" width="10.125" style="159" bestFit="1" customWidth="1"/>
    <col min="43" max="44" width="9.25390625" style="159" customWidth="1"/>
    <col min="45" max="45" width="10.125" style="159" bestFit="1" customWidth="1"/>
    <col min="46" max="46" width="11.625" style="159" customWidth="1"/>
    <col min="47" max="47" width="10.875" style="159" customWidth="1"/>
    <col min="48" max="48" width="10.625" style="159" customWidth="1"/>
    <col min="49" max="49" width="10.25390625" style="159" customWidth="1"/>
    <col min="50" max="50" width="10.625" style="159" customWidth="1"/>
    <col min="51" max="51" width="9.25390625" style="255" bestFit="1" customWidth="1"/>
    <col min="52" max="53" width="10.125" style="159" bestFit="1" customWidth="1"/>
    <col min="54" max="54" width="11.625" style="159" customWidth="1"/>
    <col min="55" max="55" width="11.75390625" style="159" customWidth="1"/>
    <col min="56" max="56" width="12.125" style="159" customWidth="1"/>
    <col min="57" max="57" width="13.625" style="159" customWidth="1"/>
    <col min="58" max="58" width="11.00390625" style="159" customWidth="1"/>
    <col min="59" max="59" width="10.625" style="159" customWidth="1"/>
    <col min="60" max="16384" width="9.125" style="159" customWidth="1"/>
  </cols>
  <sheetData>
    <row r="1" spans="1:18" ht="21" customHeight="1">
      <c r="A1" s="306" t="s">
        <v>89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158"/>
      <c r="P1" s="158"/>
      <c r="Q1" s="158"/>
      <c r="R1" s="158"/>
    </row>
    <row r="2" spans="1:18" ht="13.5" thickBot="1">
      <c r="A2" s="158"/>
      <c r="B2" s="160"/>
      <c r="C2" s="161"/>
      <c r="D2" s="161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59" ht="29.25" customHeight="1" thickBot="1">
      <c r="A3" s="396" t="s">
        <v>0</v>
      </c>
      <c r="B3" s="398" t="s">
        <v>1</v>
      </c>
      <c r="C3" s="400" t="s">
        <v>2</v>
      </c>
      <c r="D3" s="402" t="s">
        <v>3</v>
      </c>
      <c r="E3" s="396" t="s">
        <v>95</v>
      </c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376"/>
      <c r="S3" s="396"/>
      <c r="T3" s="404"/>
      <c r="U3" s="396" t="s">
        <v>5</v>
      </c>
      <c r="V3" s="404"/>
      <c r="W3" s="408" t="s">
        <v>6</v>
      </c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10"/>
      <c r="AJ3" s="414" t="s">
        <v>75</v>
      </c>
      <c r="AK3" s="417" t="s">
        <v>10</v>
      </c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419"/>
      <c r="BF3" s="423" t="s">
        <v>11</v>
      </c>
      <c r="BG3" s="430" t="s">
        <v>12</v>
      </c>
    </row>
    <row r="4" spans="1:59" ht="51.75" customHeight="1" hidden="1" thickBot="1">
      <c r="A4" s="397"/>
      <c r="B4" s="399"/>
      <c r="C4" s="401"/>
      <c r="D4" s="403"/>
      <c r="E4" s="397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368"/>
      <c r="S4" s="406"/>
      <c r="T4" s="407"/>
      <c r="U4" s="406"/>
      <c r="V4" s="407"/>
      <c r="W4" s="411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3"/>
      <c r="AJ4" s="415"/>
      <c r="AK4" s="420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2"/>
      <c r="BF4" s="424"/>
      <c r="BG4" s="431"/>
    </row>
    <row r="5" spans="1:59" ht="19.5" customHeight="1">
      <c r="A5" s="397"/>
      <c r="B5" s="399"/>
      <c r="C5" s="401"/>
      <c r="D5" s="403"/>
      <c r="E5" s="433" t="s">
        <v>13</v>
      </c>
      <c r="F5" s="434"/>
      <c r="G5" s="433" t="s">
        <v>96</v>
      </c>
      <c r="H5" s="434"/>
      <c r="I5" s="433" t="s">
        <v>14</v>
      </c>
      <c r="J5" s="434"/>
      <c r="K5" s="433" t="s">
        <v>16</v>
      </c>
      <c r="L5" s="434"/>
      <c r="M5" s="433" t="s">
        <v>15</v>
      </c>
      <c r="N5" s="434"/>
      <c r="O5" s="437" t="s">
        <v>17</v>
      </c>
      <c r="P5" s="437"/>
      <c r="Q5" s="433" t="s">
        <v>97</v>
      </c>
      <c r="R5" s="434"/>
      <c r="S5" s="437" t="s">
        <v>98</v>
      </c>
      <c r="T5" s="434"/>
      <c r="U5" s="440" t="s">
        <v>20</v>
      </c>
      <c r="V5" s="426" t="s">
        <v>21</v>
      </c>
      <c r="W5" s="428" t="s">
        <v>22</v>
      </c>
      <c r="X5" s="428" t="s">
        <v>99</v>
      </c>
      <c r="Y5" s="428" t="s">
        <v>23</v>
      </c>
      <c r="Z5" s="428" t="s">
        <v>25</v>
      </c>
      <c r="AA5" s="428" t="s">
        <v>24</v>
      </c>
      <c r="AB5" s="428" t="s">
        <v>26</v>
      </c>
      <c r="AC5" s="428" t="s">
        <v>27</v>
      </c>
      <c r="AD5" s="442" t="s">
        <v>28</v>
      </c>
      <c r="AE5" s="442" t="s">
        <v>100</v>
      </c>
      <c r="AF5" s="444" t="s">
        <v>29</v>
      </c>
      <c r="AG5" s="446" t="s">
        <v>87</v>
      </c>
      <c r="AH5" s="448" t="s">
        <v>8</v>
      </c>
      <c r="AI5" s="450" t="s">
        <v>9</v>
      </c>
      <c r="AJ5" s="415"/>
      <c r="AK5" s="452" t="s">
        <v>101</v>
      </c>
      <c r="AL5" s="454" t="s">
        <v>102</v>
      </c>
      <c r="AM5" s="454" t="s">
        <v>103</v>
      </c>
      <c r="AN5" s="456" t="s">
        <v>104</v>
      </c>
      <c r="AO5" s="454" t="s">
        <v>105</v>
      </c>
      <c r="AP5" s="456" t="s">
        <v>106</v>
      </c>
      <c r="AQ5" s="456" t="s">
        <v>107</v>
      </c>
      <c r="AR5" s="456" t="s">
        <v>108</v>
      </c>
      <c r="AS5" s="456" t="s">
        <v>109</v>
      </c>
      <c r="AT5" s="456" t="s">
        <v>36</v>
      </c>
      <c r="AU5" s="320" t="s">
        <v>110</v>
      </c>
      <c r="AV5" s="352" t="s">
        <v>111</v>
      </c>
      <c r="AW5" s="320" t="s">
        <v>112</v>
      </c>
      <c r="AX5" s="341" t="s">
        <v>113</v>
      </c>
      <c r="AY5" s="256"/>
      <c r="AZ5" s="458" t="s">
        <v>19</v>
      </c>
      <c r="BA5" s="456" t="s">
        <v>38</v>
      </c>
      <c r="BB5" s="456" t="s">
        <v>33</v>
      </c>
      <c r="BC5" s="460" t="s">
        <v>39</v>
      </c>
      <c r="BD5" s="462" t="s">
        <v>76</v>
      </c>
      <c r="BE5" s="456" t="s">
        <v>114</v>
      </c>
      <c r="BF5" s="424"/>
      <c r="BG5" s="431"/>
    </row>
    <row r="6" spans="1:59" ht="56.25" customHeight="1" thickBot="1">
      <c r="A6" s="397"/>
      <c r="B6" s="399"/>
      <c r="C6" s="401"/>
      <c r="D6" s="403"/>
      <c r="E6" s="435"/>
      <c r="F6" s="436"/>
      <c r="G6" s="435"/>
      <c r="H6" s="436"/>
      <c r="I6" s="435"/>
      <c r="J6" s="436"/>
      <c r="K6" s="435"/>
      <c r="L6" s="436"/>
      <c r="M6" s="435"/>
      <c r="N6" s="436"/>
      <c r="O6" s="438"/>
      <c r="P6" s="438"/>
      <c r="Q6" s="435"/>
      <c r="R6" s="436"/>
      <c r="S6" s="439"/>
      <c r="T6" s="436"/>
      <c r="U6" s="441"/>
      <c r="V6" s="427"/>
      <c r="W6" s="429"/>
      <c r="X6" s="429"/>
      <c r="Y6" s="429"/>
      <c r="Z6" s="429"/>
      <c r="AA6" s="429"/>
      <c r="AB6" s="429"/>
      <c r="AC6" s="429"/>
      <c r="AD6" s="443"/>
      <c r="AE6" s="443"/>
      <c r="AF6" s="445"/>
      <c r="AG6" s="447"/>
      <c r="AH6" s="449"/>
      <c r="AI6" s="451"/>
      <c r="AJ6" s="416"/>
      <c r="AK6" s="453"/>
      <c r="AL6" s="455"/>
      <c r="AM6" s="455"/>
      <c r="AN6" s="457"/>
      <c r="AO6" s="455"/>
      <c r="AP6" s="457"/>
      <c r="AQ6" s="457"/>
      <c r="AR6" s="457"/>
      <c r="AS6" s="457"/>
      <c r="AT6" s="457"/>
      <c r="AU6" s="321"/>
      <c r="AV6" s="353"/>
      <c r="AW6" s="321"/>
      <c r="AX6" s="342"/>
      <c r="AY6" s="257" t="s">
        <v>115</v>
      </c>
      <c r="AZ6" s="459"/>
      <c r="BA6" s="457"/>
      <c r="BB6" s="457"/>
      <c r="BC6" s="461"/>
      <c r="BD6" s="463"/>
      <c r="BE6" s="457"/>
      <c r="BF6" s="425"/>
      <c r="BG6" s="432"/>
    </row>
    <row r="7" spans="1:59" ht="19.5" customHeight="1" thickBot="1">
      <c r="A7" s="162">
        <v>1</v>
      </c>
      <c r="B7" s="163">
        <v>2</v>
      </c>
      <c r="C7" s="163">
        <v>3</v>
      </c>
      <c r="D7" s="162">
        <v>4</v>
      </c>
      <c r="E7" s="163">
        <v>5</v>
      </c>
      <c r="F7" s="163">
        <v>6</v>
      </c>
      <c r="G7" s="162">
        <v>7</v>
      </c>
      <c r="H7" s="163">
        <v>8</v>
      </c>
      <c r="I7" s="163">
        <v>9</v>
      </c>
      <c r="J7" s="162">
        <v>10</v>
      </c>
      <c r="K7" s="163">
        <v>11</v>
      </c>
      <c r="L7" s="163">
        <v>12</v>
      </c>
      <c r="M7" s="162">
        <v>13</v>
      </c>
      <c r="N7" s="163">
        <v>14</v>
      </c>
      <c r="O7" s="163">
        <v>15</v>
      </c>
      <c r="P7" s="162">
        <v>16</v>
      </c>
      <c r="Q7" s="163">
        <v>17</v>
      </c>
      <c r="R7" s="163">
        <v>18</v>
      </c>
      <c r="S7" s="162">
        <v>19</v>
      </c>
      <c r="T7" s="163">
        <v>20</v>
      </c>
      <c r="U7" s="163">
        <v>21</v>
      </c>
      <c r="V7" s="162">
        <v>22</v>
      </c>
      <c r="W7" s="163">
        <v>23</v>
      </c>
      <c r="X7" s="162">
        <v>24</v>
      </c>
      <c r="Y7" s="163">
        <v>25</v>
      </c>
      <c r="Z7" s="162">
        <v>26</v>
      </c>
      <c r="AA7" s="163">
        <v>27</v>
      </c>
      <c r="AB7" s="162">
        <v>28</v>
      </c>
      <c r="AC7" s="163">
        <v>29</v>
      </c>
      <c r="AD7" s="162">
        <v>30</v>
      </c>
      <c r="AE7" s="162">
        <v>31</v>
      </c>
      <c r="AF7" s="163">
        <v>32</v>
      </c>
      <c r="AG7" s="162">
        <v>33</v>
      </c>
      <c r="AH7" s="163">
        <v>34</v>
      </c>
      <c r="AI7" s="162">
        <v>35</v>
      </c>
      <c r="AJ7" s="163">
        <v>36</v>
      </c>
      <c r="AK7" s="162">
        <v>37</v>
      </c>
      <c r="AL7" s="163">
        <v>38</v>
      </c>
      <c r="AM7" s="162">
        <v>39</v>
      </c>
      <c r="AN7" s="162">
        <v>40</v>
      </c>
      <c r="AO7" s="163">
        <v>41</v>
      </c>
      <c r="AP7" s="162">
        <v>42</v>
      </c>
      <c r="AQ7" s="163">
        <v>43</v>
      </c>
      <c r="AR7" s="162"/>
      <c r="AS7" s="162">
        <v>44</v>
      </c>
      <c r="AT7" s="163">
        <v>45</v>
      </c>
      <c r="AU7" s="162">
        <v>46</v>
      </c>
      <c r="AV7" s="163">
        <v>47</v>
      </c>
      <c r="AW7" s="162">
        <v>48</v>
      </c>
      <c r="AX7" s="162">
        <v>49</v>
      </c>
      <c r="AY7" s="258"/>
      <c r="AZ7" s="163">
        <v>50</v>
      </c>
      <c r="BA7" s="163">
        <v>51</v>
      </c>
      <c r="BB7" s="163">
        <v>52</v>
      </c>
      <c r="BC7" s="163">
        <v>53</v>
      </c>
      <c r="BD7" s="163">
        <v>54</v>
      </c>
      <c r="BE7" s="163"/>
      <c r="BF7" s="163">
        <v>55</v>
      </c>
      <c r="BG7" s="163">
        <v>56</v>
      </c>
    </row>
    <row r="8" spans="1:59" s="20" customFormat="1" ht="13.5" thickBot="1">
      <c r="A8" s="22" t="s">
        <v>54</v>
      </c>
      <c r="B8" s="164"/>
      <c r="C8" s="164">
        <f>Лист1!C44</f>
        <v>860887.7900000002</v>
      </c>
      <c r="D8" s="164">
        <f>Лист1!D44</f>
        <v>105794.88502720004</v>
      </c>
      <c r="E8" s="164">
        <f>Лист1!E44</f>
        <v>76326.72999999998</v>
      </c>
      <c r="F8" s="164">
        <f>Лист1!F44</f>
        <v>10653.999999999998</v>
      </c>
      <c r="G8" s="164">
        <f>0</f>
        <v>0</v>
      </c>
      <c r="H8" s="164">
        <f>0</f>
        <v>0</v>
      </c>
      <c r="I8" s="164">
        <f>Лист1!G44</f>
        <v>101303.07</v>
      </c>
      <c r="J8" s="164">
        <f>Лист1!H44</f>
        <v>14423.18</v>
      </c>
      <c r="K8" s="164">
        <f>Лист1!K44</f>
        <v>171997.09</v>
      </c>
      <c r="L8" s="164">
        <f>Лист1!L44</f>
        <v>24011.21</v>
      </c>
      <c r="M8" s="164">
        <f>Лист1!I44</f>
        <v>248324.16999999998</v>
      </c>
      <c r="N8" s="164">
        <f>Лист1!J44</f>
        <v>34664.60999999999</v>
      </c>
      <c r="O8" s="164">
        <f>Лист1!M44</f>
        <v>61063.14000000001</v>
      </c>
      <c r="P8" s="164">
        <f>Лист1!N44</f>
        <v>8522.650000000001</v>
      </c>
      <c r="Q8" s="164">
        <f>'[7]Лист1'!O44</f>
        <v>0</v>
      </c>
      <c r="R8" s="164">
        <f>'[7]Лист1'!P44</f>
        <v>0</v>
      </c>
      <c r="S8" s="164">
        <f>'[7]Лист1'!Q44</f>
        <v>0</v>
      </c>
      <c r="T8" s="164">
        <f>'[7]Лист1'!R44</f>
        <v>0</v>
      </c>
      <c r="U8" s="164">
        <f>Лист1!S44</f>
        <v>659014.2</v>
      </c>
      <c r="V8" s="164">
        <f>Лист1!T44</f>
        <v>92275.65</v>
      </c>
      <c r="W8" s="164">
        <f>Лист1!U44</f>
        <v>71253.766</v>
      </c>
      <c r="X8" s="164">
        <v>0</v>
      </c>
      <c r="Y8" s="164">
        <f>Лист1!V44</f>
        <v>96422.54</v>
      </c>
      <c r="Z8" s="164">
        <f>Лист1!X44</f>
        <v>160550.34</v>
      </c>
      <c r="AA8" s="164">
        <f>Лист1!W44</f>
        <v>231804.81000000003</v>
      </c>
      <c r="AB8" s="164">
        <f>Лист1!Y44</f>
        <v>57004.77</v>
      </c>
      <c r="AC8" s="164">
        <f>'[8]Лист1'!Z42</f>
        <v>0</v>
      </c>
      <c r="AD8" s="164">
        <f>'[8]Лист1'!AA42</f>
        <v>0</v>
      </c>
      <c r="AE8" s="164">
        <f>'[9]Лист1'!AA44</f>
        <v>0</v>
      </c>
      <c r="AF8" s="164">
        <f>Лист1!AB44</f>
        <v>617036.226</v>
      </c>
      <c r="AG8" s="164">
        <f>Лист1!AC44</f>
        <v>815106.7610272</v>
      </c>
      <c r="AH8" s="164">
        <f>'[10]Лист1 (2)'!AD44</f>
        <v>0</v>
      </c>
      <c r="AI8" s="164">
        <f>'[8]Лист1'!AE42</f>
        <v>0</v>
      </c>
      <c r="AJ8" s="164">
        <f>Лист1!AF44</f>
        <v>4721.459040000001</v>
      </c>
      <c r="AK8" s="164">
        <f>Лист1!AG44</f>
        <v>58830.43200000001</v>
      </c>
      <c r="AL8" s="164">
        <f>Лист1!AH44</f>
        <v>19712.965621000003</v>
      </c>
      <c r="AM8" s="164">
        <f>Лист1!AI44+Лист1!AJ44</f>
        <v>97660.844881342</v>
      </c>
      <c r="AN8" s="164">
        <v>0</v>
      </c>
      <c r="AO8" s="164">
        <f>Лист1!AK44+Лист1!AL44</f>
        <v>97408.14651410801</v>
      </c>
      <c r="AP8" s="164">
        <f>Лист1!AM44+Лист1!AN44</f>
        <v>217911.50057671557</v>
      </c>
      <c r="AQ8" s="164">
        <v>0</v>
      </c>
      <c r="AR8" s="164">
        <v>0</v>
      </c>
      <c r="AS8" s="164">
        <v>0</v>
      </c>
      <c r="AT8" s="164">
        <f>Лист1!AO44+Лист1!AP44</f>
        <v>18888.9294</v>
      </c>
      <c r="AU8" s="164">
        <f>Лист1!AS44+Лист1!AU44</f>
        <v>130093.27</v>
      </c>
      <c r="AV8" s="164">
        <f>0</f>
        <v>0</v>
      </c>
      <c r="AW8" s="164">
        <f>Лист1!AT44</f>
        <v>120009.48</v>
      </c>
      <c r="AX8" s="164">
        <f>Лист1!AQ44+Лист1!AR44</f>
        <v>16708.607200000002</v>
      </c>
      <c r="AY8" s="259">
        <f>Лист1!AX44</f>
        <v>33430.7456</v>
      </c>
      <c r="AZ8" s="165">
        <f>'[7]Лист1'!AY44</f>
        <v>0</v>
      </c>
      <c r="BA8" s="165">
        <f>Лист1!AZ44</f>
        <v>0</v>
      </c>
      <c r="BB8" s="165">
        <v>0</v>
      </c>
      <c r="BC8" s="164">
        <f>Лист1!BB44</f>
        <v>810654.9217931656</v>
      </c>
      <c r="BD8" s="164">
        <f>Лист1!BC44</f>
        <v>2089.3715322512003</v>
      </c>
      <c r="BE8" s="166">
        <f>BC8+BD8</f>
        <v>812744.2933254169</v>
      </c>
      <c r="BF8" s="166">
        <f>Лист1!BD44</f>
        <v>7083.926741783231</v>
      </c>
      <c r="BG8" s="166">
        <f>Лист1!BE44</f>
        <v>-41977.974</v>
      </c>
    </row>
    <row r="9" spans="1:59" ht="12.75">
      <c r="A9" s="5" t="s">
        <v>116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260"/>
      <c r="AZ9" s="167"/>
      <c r="BA9" s="167"/>
      <c r="BB9" s="167"/>
      <c r="BC9" s="167"/>
      <c r="BD9" s="167"/>
      <c r="BE9" s="168"/>
      <c r="BF9" s="169"/>
      <c r="BG9" s="170"/>
    </row>
    <row r="10" spans="1:60" ht="12.75">
      <c r="A10" s="171" t="s">
        <v>45</v>
      </c>
      <c r="B10" s="142">
        <v>3688.4</v>
      </c>
      <c r="C10" s="128">
        <f>B10*8.55</f>
        <v>31535.820000000003</v>
      </c>
      <c r="D10" s="102">
        <v>384.846</v>
      </c>
      <c r="E10" s="143">
        <v>0.26</v>
      </c>
      <c r="F10" s="144">
        <v>0</v>
      </c>
      <c r="G10" s="143">
        <v>19457.23</v>
      </c>
      <c r="H10" s="143">
        <v>0</v>
      </c>
      <c r="I10" s="143">
        <v>0.34</v>
      </c>
      <c r="J10" s="143">
        <v>0</v>
      </c>
      <c r="K10" s="143">
        <v>0.57</v>
      </c>
      <c r="L10" s="143">
        <v>0</v>
      </c>
      <c r="M10" s="143">
        <v>9223.77</v>
      </c>
      <c r="N10" s="143">
        <v>0</v>
      </c>
      <c r="O10" s="143">
        <v>3198.97</v>
      </c>
      <c r="P10" s="144">
        <v>0</v>
      </c>
      <c r="Q10" s="253">
        <v>0</v>
      </c>
      <c r="R10" s="173">
        <v>0</v>
      </c>
      <c r="S10" s="172">
        <v>0</v>
      </c>
      <c r="T10" s="173">
        <v>0</v>
      </c>
      <c r="U10" s="174">
        <f>E10+G10+I10+K10+M10+O10+Q10+S10</f>
        <v>31881.14</v>
      </c>
      <c r="V10" s="175">
        <f>F10+H10+J10+L10+N10+P10+R10+T10</f>
        <v>0</v>
      </c>
      <c r="W10" s="145">
        <v>2589.58</v>
      </c>
      <c r="X10" s="145"/>
      <c r="Y10" s="145">
        <v>3507.79</v>
      </c>
      <c r="Z10" s="145">
        <v>5838.5</v>
      </c>
      <c r="AA10" s="145">
        <v>8427.87</v>
      </c>
      <c r="AB10" s="145">
        <v>2071.63</v>
      </c>
      <c r="AC10" s="147">
        <v>0</v>
      </c>
      <c r="AD10" s="147">
        <v>0</v>
      </c>
      <c r="AE10" s="176">
        <v>0</v>
      </c>
      <c r="AF10" s="176">
        <f>SUM(W10:AE10)</f>
        <v>22435.37</v>
      </c>
      <c r="AG10" s="177">
        <f>AF10+V10+D10</f>
        <v>22820.216</v>
      </c>
      <c r="AH10" s="178">
        <f>AC10</f>
        <v>0</v>
      </c>
      <c r="AI10" s="178">
        <f>AD10</f>
        <v>0</v>
      </c>
      <c r="AJ10" s="149">
        <f>'[11]Т01'!$I$132+'[11]Т01'!$I$175</f>
        <v>432.42</v>
      </c>
      <c r="AK10" s="150">
        <f>0.67*B10</f>
        <v>2471.228</v>
      </c>
      <c r="AL10" s="150">
        <f>B10*0.2</f>
        <v>737.6800000000001</v>
      </c>
      <c r="AM10" s="150">
        <f>B10*1</f>
        <v>3688.4</v>
      </c>
      <c r="AN10" s="150">
        <f>B10*0.21</f>
        <v>774.564</v>
      </c>
      <c r="AO10" s="150">
        <f>2.02*B10</f>
        <v>7450.568</v>
      </c>
      <c r="AP10" s="150">
        <f>B10*1.03</f>
        <v>3799.052</v>
      </c>
      <c r="AQ10" s="150">
        <f>B10*0.75</f>
        <v>2766.3</v>
      </c>
      <c r="AR10" s="150">
        <f>B10*0.75</f>
        <v>2766.3</v>
      </c>
      <c r="AS10" s="150">
        <f>B10*1.15</f>
        <v>4241.66</v>
      </c>
      <c r="AT10" s="150">
        <f>892.6*0.45</f>
        <v>401.67</v>
      </c>
      <c r="AU10" s="152">
        <v>17123</v>
      </c>
      <c r="AV10" s="151">
        <v>1868</v>
      </c>
      <c r="AW10" s="152"/>
      <c r="AX10" s="152">
        <f>116.4</f>
        <v>116.4</v>
      </c>
      <c r="AY10" s="261"/>
      <c r="AZ10" s="117"/>
      <c r="BA10" s="155"/>
      <c r="BB10" s="155">
        <f>BA10*0.18</f>
        <v>0</v>
      </c>
      <c r="BC10" s="155">
        <f aca="true" t="shared" si="0" ref="BC10:BC21">SUM(AK10:BB10)</f>
        <v>48204.822</v>
      </c>
      <c r="BD10" s="156">
        <f>'[11]Т01'!$R$132+'[11]Т01'!$R$175</f>
        <v>257.89</v>
      </c>
      <c r="BE10" s="179">
        <f>BC10+BD10</f>
        <v>48462.712</v>
      </c>
      <c r="BF10" s="179">
        <f>AG10+AJ10-BE10</f>
        <v>-25210.076</v>
      </c>
      <c r="BG10" s="179">
        <f>AF10-U10</f>
        <v>-9445.77</v>
      </c>
      <c r="BH10" s="180"/>
    </row>
    <row r="11" spans="1:59" ht="12.75">
      <c r="A11" s="171" t="s">
        <v>46</v>
      </c>
      <c r="B11" s="142">
        <v>3688.4</v>
      </c>
      <c r="C11" s="128">
        <f aca="true" t="shared" si="1" ref="C11:C21">B11*8.55</f>
        <v>31535.820000000003</v>
      </c>
      <c r="D11" s="102">
        <v>384.846</v>
      </c>
      <c r="E11" s="143">
        <v>0</v>
      </c>
      <c r="F11" s="144">
        <v>0</v>
      </c>
      <c r="G11" s="143">
        <v>18554.6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9236</v>
      </c>
      <c r="N11" s="143">
        <v>0</v>
      </c>
      <c r="O11" s="143">
        <v>3203.45</v>
      </c>
      <c r="P11" s="143">
        <v>0</v>
      </c>
      <c r="Q11" s="143">
        <v>0</v>
      </c>
      <c r="R11" s="144">
        <v>0</v>
      </c>
      <c r="S11" s="147">
        <v>0</v>
      </c>
      <c r="T11" s="145">
        <v>0</v>
      </c>
      <c r="U11" s="181">
        <f aca="true" t="shared" si="2" ref="U11:V21">E11+G11+I11+K11+M11+O11+Q11+S11</f>
        <v>30994.05</v>
      </c>
      <c r="V11" s="175">
        <f t="shared" si="2"/>
        <v>0</v>
      </c>
      <c r="W11" s="145">
        <v>267.69</v>
      </c>
      <c r="X11" s="147">
        <v>15093.89</v>
      </c>
      <c r="Y11" s="145">
        <v>362.3</v>
      </c>
      <c r="Z11" s="145">
        <v>603.32</v>
      </c>
      <c r="AA11" s="145">
        <v>8126.32</v>
      </c>
      <c r="AB11" s="145">
        <v>2748.35</v>
      </c>
      <c r="AC11" s="147">
        <v>0</v>
      </c>
      <c r="AD11" s="147">
        <v>0</v>
      </c>
      <c r="AE11" s="147">
        <v>0</v>
      </c>
      <c r="AF11" s="176">
        <f>SUM(W11:AE11)</f>
        <v>27201.869999999995</v>
      </c>
      <c r="AG11" s="177">
        <f>AF11+V11+D11</f>
        <v>27586.715999999997</v>
      </c>
      <c r="AH11" s="178">
        <f aca="true" t="shared" si="3" ref="AH11:AI21">AC11</f>
        <v>0</v>
      </c>
      <c r="AI11" s="178">
        <f t="shared" si="3"/>
        <v>0</v>
      </c>
      <c r="AJ11" s="149">
        <f>'[11]Т02'!$J$132+'[11]Т02'!$J$175</f>
        <v>432.42</v>
      </c>
      <c r="AK11" s="150">
        <f aca="true" t="shared" si="4" ref="AK11:AK21">0.67*B11</f>
        <v>2471.228</v>
      </c>
      <c r="AL11" s="150">
        <f aca="true" t="shared" si="5" ref="AL11:AL21">B11*0.2</f>
        <v>737.6800000000001</v>
      </c>
      <c r="AM11" s="150">
        <f aca="true" t="shared" si="6" ref="AM11:AM21">B11*1</f>
        <v>3688.4</v>
      </c>
      <c r="AN11" s="150">
        <f aca="true" t="shared" si="7" ref="AN11:AN21">B11*0.21</f>
        <v>774.564</v>
      </c>
      <c r="AO11" s="150">
        <f aca="true" t="shared" si="8" ref="AO11:AO21">2.02*B11</f>
        <v>7450.568</v>
      </c>
      <c r="AP11" s="150">
        <f aca="true" t="shared" si="9" ref="AP11:AP21">B11*1.03</f>
        <v>3799.052</v>
      </c>
      <c r="AQ11" s="150">
        <f aca="true" t="shared" si="10" ref="AQ11:AQ21">B11*0.75</f>
        <v>2766.3</v>
      </c>
      <c r="AR11" s="150">
        <f aca="true" t="shared" si="11" ref="AR11:AR21">B11*0.75</f>
        <v>2766.3</v>
      </c>
      <c r="AS11" s="150">
        <f>B11*1.15</f>
        <v>4241.66</v>
      </c>
      <c r="AT11" s="150"/>
      <c r="AU11" s="152">
        <v>8079</v>
      </c>
      <c r="AV11" s="151"/>
      <c r="AW11" s="152"/>
      <c r="AX11" s="152">
        <f>33.84+130+65+180+75+25+95+440+20</f>
        <v>1063.8400000000001</v>
      </c>
      <c r="AY11" s="261"/>
      <c r="AZ11" s="117"/>
      <c r="BA11" s="155"/>
      <c r="BB11" s="155">
        <f>BA11*0.18</f>
        <v>0</v>
      </c>
      <c r="BC11" s="155">
        <f t="shared" si="0"/>
        <v>37838.592000000004</v>
      </c>
      <c r="BD11" s="156">
        <f>'[11]Т02'!$S$132+'[11]Т02'!$S$175</f>
        <v>257.89</v>
      </c>
      <c r="BE11" s="179">
        <f aca="true" t="shared" si="12" ref="BE11:BE21">BC11+BD11</f>
        <v>38096.482</v>
      </c>
      <c r="BF11" s="179">
        <f aca="true" t="shared" si="13" ref="BF11:BF21">AG11+AJ11-BE11</f>
        <v>-10077.346000000009</v>
      </c>
      <c r="BG11" s="179">
        <f aca="true" t="shared" si="14" ref="BG11:BG21">AF11-U11</f>
        <v>-3792.180000000004</v>
      </c>
    </row>
    <row r="12" spans="1:59" ht="12.75">
      <c r="A12" s="171" t="s">
        <v>47</v>
      </c>
      <c r="B12" s="142">
        <v>3688.4</v>
      </c>
      <c r="C12" s="128">
        <f t="shared" si="1"/>
        <v>31535.820000000003</v>
      </c>
      <c r="D12" s="102">
        <v>333.438</v>
      </c>
      <c r="E12" s="143">
        <v>0</v>
      </c>
      <c r="F12" s="144">
        <v>0</v>
      </c>
      <c r="G12" s="143">
        <v>19009.59</v>
      </c>
      <c r="H12" s="143">
        <v>108.57</v>
      </c>
      <c r="I12" s="143">
        <v>0</v>
      </c>
      <c r="J12" s="143">
        <v>0</v>
      </c>
      <c r="K12" s="143">
        <v>0</v>
      </c>
      <c r="L12" s="143">
        <v>0</v>
      </c>
      <c r="M12" s="143">
        <v>9231.27</v>
      </c>
      <c r="N12" s="143">
        <v>52.71</v>
      </c>
      <c r="O12" s="143">
        <v>3501.75</v>
      </c>
      <c r="P12" s="143">
        <v>18.27</v>
      </c>
      <c r="Q12" s="143">
        <v>0</v>
      </c>
      <c r="R12" s="143">
        <v>0</v>
      </c>
      <c r="S12" s="143">
        <v>300</v>
      </c>
      <c r="T12" s="145">
        <v>0</v>
      </c>
      <c r="U12" s="145">
        <f t="shared" si="2"/>
        <v>32042.61</v>
      </c>
      <c r="V12" s="146">
        <f t="shared" si="2"/>
        <v>179.55</v>
      </c>
      <c r="W12" s="182">
        <v>207.41</v>
      </c>
      <c r="X12" s="147">
        <v>17588.5</v>
      </c>
      <c r="Y12" s="145">
        <v>281.04</v>
      </c>
      <c r="Z12" s="145">
        <v>467.76</v>
      </c>
      <c r="AA12" s="145">
        <v>8832.31</v>
      </c>
      <c r="AB12" s="145">
        <v>3012.47</v>
      </c>
      <c r="AC12" s="147">
        <v>0</v>
      </c>
      <c r="AD12" s="147">
        <v>0</v>
      </c>
      <c r="AE12" s="145">
        <v>200</v>
      </c>
      <c r="AF12" s="183">
        <f>SUM(W12:AE12)</f>
        <v>30589.489999999998</v>
      </c>
      <c r="AG12" s="177">
        <f>AF12+V12+D12</f>
        <v>31102.477999999996</v>
      </c>
      <c r="AH12" s="178">
        <f t="shared" si="3"/>
        <v>0</v>
      </c>
      <c r="AI12" s="178">
        <f t="shared" si="3"/>
        <v>0</v>
      </c>
      <c r="AJ12" s="149">
        <f>'[11]Т03'!$J$132+'[11]Т03'!$J$177</f>
        <v>432.42</v>
      </c>
      <c r="AK12" s="150">
        <f t="shared" si="4"/>
        <v>2471.228</v>
      </c>
      <c r="AL12" s="150">
        <f t="shared" si="5"/>
        <v>737.6800000000001</v>
      </c>
      <c r="AM12" s="150">
        <f t="shared" si="6"/>
        <v>3688.4</v>
      </c>
      <c r="AN12" s="150">
        <f t="shared" si="7"/>
        <v>774.564</v>
      </c>
      <c r="AO12" s="150">
        <f t="shared" si="8"/>
        <v>7450.568</v>
      </c>
      <c r="AP12" s="150">
        <f t="shared" si="9"/>
        <v>3799.052</v>
      </c>
      <c r="AQ12" s="150">
        <f t="shared" si="10"/>
        <v>2766.3</v>
      </c>
      <c r="AR12" s="150">
        <f t="shared" si="11"/>
        <v>2766.3</v>
      </c>
      <c r="AS12" s="150">
        <f>B12*1.15</f>
        <v>4241.66</v>
      </c>
      <c r="AT12" s="150"/>
      <c r="AU12" s="152"/>
      <c r="AV12" s="151">
        <v>2506</v>
      </c>
      <c r="AW12" s="152"/>
      <c r="AX12" s="152">
        <f>'[15]март 2011'!$F$180</f>
        <v>800</v>
      </c>
      <c r="AY12" s="261"/>
      <c r="AZ12" s="117"/>
      <c r="BA12" s="155"/>
      <c r="BB12" s="155">
        <f>BA12*0.18</f>
        <v>0</v>
      </c>
      <c r="BC12" s="155">
        <f t="shared" si="0"/>
        <v>32001.752</v>
      </c>
      <c r="BD12" s="156">
        <f>'[11]Т03'!$S$132+'[11]Т03'!$S$177</f>
        <v>257.89</v>
      </c>
      <c r="BE12" s="179">
        <f>BC12+BD12</f>
        <v>32259.642</v>
      </c>
      <c r="BF12" s="179">
        <f t="shared" si="13"/>
        <v>-724.744000000006</v>
      </c>
      <c r="BG12" s="179">
        <f t="shared" si="14"/>
        <v>-1453.1200000000026</v>
      </c>
    </row>
    <row r="13" spans="1:59" ht="12.75">
      <c r="A13" s="171" t="s">
        <v>48</v>
      </c>
      <c r="B13" s="142">
        <v>3688.4</v>
      </c>
      <c r="C13" s="128">
        <f t="shared" si="1"/>
        <v>31535.820000000003</v>
      </c>
      <c r="D13" s="102">
        <v>333.438</v>
      </c>
      <c r="E13" s="172">
        <v>-114.18</v>
      </c>
      <c r="F13" s="144">
        <v>112.79</v>
      </c>
      <c r="G13" s="185">
        <v>18574.43</v>
      </c>
      <c r="H13" s="143">
        <v>542.85</v>
      </c>
      <c r="I13" s="143">
        <v>-154.78</v>
      </c>
      <c r="J13" s="143">
        <v>152.89</v>
      </c>
      <c r="K13" s="143">
        <v>-257.54</v>
      </c>
      <c r="L13" s="143">
        <v>254.4</v>
      </c>
      <c r="M13" s="143">
        <v>8648.26</v>
      </c>
      <c r="N13" s="143">
        <v>630.75</v>
      </c>
      <c r="O13" s="143">
        <v>3137.16</v>
      </c>
      <c r="P13" s="143">
        <v>181.58</v>
      </c>
      <c r="Q13" s="144">
        <v>0</v>
      </c>
      <c r="R13" s="186">
        <v>0</v>
      </c>
      <c r="S13" s="253">
        <v>100</v>
      </c>
      <c r="T13" s="188">
        <v>0</v>
      </c>
      <c r="U13" s="181">
        <f t="shared" si="2"/>
        <v>29933.350000000002</v>
      </c>
      <c r="V13" s="146">
        <f t="shared" si="2"/>
        <v>1875.26</v>
      </c>
      <c r="W13" s="145">
        <v>83.37</v>
      </c>
      <c r="X13" s="147">
        <v>14687.48</v>
      </c>
      <c r="Y13" s="145">
        <v>112.82</v>
      </c>
      <c r="Z13" s="145">
        <v>187.91</v>
      </c>
      <c r="AA13" s="145">
        <v>9819.25</v>
      </c>
      <c r="AB13" s="147">
        <v>2589.84</v>
      </c>
      <c r="AC13" s="145">
        <v>0</v>
      </c>
      <c r="AD13" s="147">
        <v>0</v>
      </c>
      <c r="AE13" s="147">
        <v>99.97</v>
      </c>
      <c r="AF13" s="176">
        <f>SUM(W13:AE13)</f>
        <v>27580.640000000003</v>
      </c>
      <c r="AG13" s="189">
        <f>AF13+V13+D13</f>
        <v>29789.338</v>
      </c>
      <c r="AH13" s="190">
        <f t="shared" si="3"/>
        <v>0</v>
      </c>
      <c r="AI13" s="190">
        <f t="shared" si="3"/>
        <v>0</v>
      </c>
      <c r="AJ13" s="191">
        <f>'[12]Т04'!$J$133+'[12]Т04'!$J$178</f>
        <v>432.42</v>
      </c>
      <c r="AK13" s="150">
        <f t="shared" si="4"/>
        <v>2471.228</v>
      </c>
      <c r="AL13" s="150">
        <f t="shared" si="5"/>
        <v>737.6800000000001</v>
      </c>
      <c r="AM13" s="150">
        <f t="shared" si="6"/>
        <v>3688.4</v>
      </c>
      <c r="AN13" s="150">
        <f t="shared" si="7"/>
        <v>774.564</v>
      </c>
      <c r="AO13" s="150">
        <f t="shared" si="8"/>
        <v>7450.568</v>
      </c>
      <c r="AP13" s="150">
        <f t="shared" si="9"/>
        <v>3799.052</v>
      </c>
      <c r="AQ13" s="150">
        <f t="shared" si="10"/>
        <v>2766.3</v>
      </c>
      <c r="AR13" s="150">
        <f t="shared" si="11"/>
        <v>2766.3</v>
      </c>
      <c r="AS13" s="150"/>
      <c r="AT13" s="192">
        <f aca="true" t="shared" si="15" ref="AT13:AT21">0.45*892.6</f>
        <v>401.67</v>
      </c>
      <c r="AU13" s="193">
        <v>5330</v>
      </c>
      <c r="AV13" s="193">
        <v>1000</v>
      </c>
      <c r="AW13" s="193"/>
      <c r="AX13" s="193">
        <f>730.8+20</f>
        <v>750.8</v>
      </c>
      <c r="AY13" s="262"/>
      <c r="AZ13" s="117"/>
      <c r="BA13" s="192"/>
      <c r="BB13" s="192"/>
      <c r="BC13" s="143">
        <f t="shared" si="0"/>
        <v>31936.561999999998</v>
      </c>
      <c r="BD13" s="194">
        <f>'[11]Т04'!$S$133+'[11]Т04'!$S$178</f>
        <v>257.89</v>
      </c>
      <c r="BE13" s="179">
        <f t="shared" si="12"/>
        <v>32194.451999999997</v>
      </c>
      <c r="BF13" s="179">
        <f t="shared" si="13"/>
        <v>-1972.6939999999995</v>
      </c>
      <c r="BG13" s="179">
        <f t="shared" si="14"/>
        <v>-2352.709999999999</v>
      </c>
    </row>
    <row r="14" spans="1:59" ht="12.75">
      <c r="A14" s="171" t="s">
        <v>49</v>
      </c>
      <c r="B14" s="195">
        <v>3688.4</v>
      </c>
      <c r="C14" s="128">
        <f t="shared" si="1"/>
        <v>31535.820000000003</v>
      </c>
      <c r="D14" s="102">
        <v>333.438</v>
      </c>
      <c r="E14" s="185">
        <v>0</v>
      </c>
      <c r="F14" s="144">
        <v>0</v>
      </c>
      <c r="G14" s="143">
        <v>18891.79</v>
      </c>
      <c r="H14" s="143">
        <v>217.14</v>
      </c>
      <c r="I14" s="143">
        <v>0</v>
      </c>
      <c r="J14" s="143">
        <v>0</v>
      </c>
      <c r="K14" s="143">
        <v>0</v>
      </c>
      <c r="L14" s="143">
        <v>0</v>
      </c>
      <c r="M14" s="143">
        <v>9174.04</v>
      </c>
      <c r="N14" s="143">
        <v>105.42</v>
      </c>
      <c r="O14" s="143">
        <v>3281.85</v>
      </c>
      <c r="P14" s="143">
        <v>36.54</v>
      </c>
      <c r="Q14" s="144">
        <v>0</v>
      </c>
      <c r="R14" s="144">
        <v>0</v>
      </c>
      <c r="S14" s="143">
        <v>100</v>
      </c>
      <c r="T14" s="147">
        <v>0</v>
      </c>
      <c r="U14" s="187">
        <f t="shared" si="2"/>
        <v>31447.68</v>
      </c>
      <c r="V14" s="196">
        <f>F14+H14+J14+L14+N14++R14+T14</f>
        <v>322.56</v>
      </c>
      <c r="W14" s="145">
        <v>16.42</v>
      </c>
      <c r="X14" s="147">
        <v>16613.3</v>
      </c>
      <c r="Y14" s="145">
        <v>22.25</v>
      </c>
      <c r="Z14" s="145">
        <v>37.03</v>
      </c>
      <c r="AA14" s="145">
        <v>7943.43</v>
      </c>
      <c r="AB14" s="145">
        <v>2795.29</v>
      </c>
      <c r="AC14" s="147">
        <v>0</v>
      </c>
      <c r="AD14" s="147">
        <v>0</v>
      </c>
      <c r="AE14" s="176">
        <v>100.01</v>
      </c>
      <c r="AF14" s="197">
        <f>SUM(W14:AE14)</f>
        <v>27527.729999999996</v>
      </c>
      <c r="AG14" s="189">
        <f aca="true" t="shared" si="16" ref="AG14:AG21">D14+V14+AF14</f>
        <v>28183.727999999996</v>
      </c>
      <c r="AH14" s="190">
        <f t="shared" si="3"/>
        <v>0</v>
      </c>
      <c r="AI14" s="190">
        <f t="shared" si="3"/>
        <v>0</v>
      </c>
      <c r="AJ14" s="191">
        <f>'[11]Т05'!$J$131+'[11]Т05'!$J$176</f>
        <v>432.42</v>
      </c>
      <c r="AK14" s="150">
        <f t="shared" si="4"/>
        <v>2471.228</v>
      </c>
      <c r="AL14" s="150">
        <f t="shared" si="5"/>
        <v>737.6800000000001</v>
      </c>
      <c r="AM14" s="150">
        <f t="shared" si="6"/>
        <v>3688.4</v>
      </c>
      <c r="AN14" s="150">
        <f t="shared" si="7"/>
        <v>774.564</v>
      </c>
      <c r="AO14" s="150">
        <f t="shared" si="8"/>
        <v>7450.568</v>
      </c>
      <c r="AP14" s="150">
        <f t="shared" si="9"/>
        <v>3799.052</v>
      </c>
      <c r="AQ14" s="150">
        <f t="shared" si="10"/>
        <v>2766.3</v>
      </c>
      <c r="AR14" s="150">
        <f t="shared" si="11"/>
        <v>2766.3</v>
      </c>
      <c r="AS14" s="150"/>
      <c r="AT14" s="192">
        <f t="shared" si="15"/>
        <v>401.67</v>
      </c>
      <c r="AU14" s="193">
        <v>7604</v>
      </c>
      <c r="AV14" s="193">
        <v>343</v>
      </c>
      <c r="AW14" s="193">
        <v>3148</v>
      </c>
      <c r="AX14" s="193">
        <f>271.065</f>
        <v>271.065</v>
      </c>
      <c r="AY14" s="262"/>
      <c r="AZ14" s="117"/>
      <c r="BA14" s="192"/>
      <c r="BB14" s="192"/>
      <c r="BC14" s="143">
        <f t="shared" si="0"/>
        <v>36221.827000000005</v>
      </c>
      <c r="BD14" s="194">
        <f>'[11]Т05'!$S$131+'[11]Т05'!$S$176</f>
        <v>257.89</v>
      </c>
      <c r="BE14" s="179">
        <f>BC14+BD14</f>
        <v>36479.717000000004</v>
      </c>
      <c r="BF14" s="179">
        <f t="shared" si="13"/>
        <v>-7863.56900000001</v>
      </c>
      <c r="BG14" s="179">
        <f t="shared" si="14"/>
        <v>-3919.9500000000044</v>
      </c>
    </row>
    <row r="15" spans="1:59" ht="12.75">
      <c r="A15" s="171" t="s">
        <v>50</v>
      </c>
      <c r="B15" s="142">
        <v>3688.4</v>
      </c>
      <c r="C15" s="128">
        <f t="shared" si="1"/>
        <v>31535.820000000003</v>
      </c>
      <c r="D15" s="184">
        <v>274.176</v>
      </c>
      <c r="E15" s="198">
        <v>0</v>
      </c>
      <c r="F15" s="198"/>
      <c r="G15" s="198">
        <v>18891.8</v>
      </c>
      <c r="H15" s="198">
        <v>217.14</v>
      </c>
      <c r="I15" s="199">
        <v>0</v>
      </c>
      <c r="J15" s="199"/>
      <c r="K15" s="199">
        <v>0</v>
      </c>
      <c r="L15" s="199"/>
      <c r="M15" s="199">
        <v>9174.04</v>
      </c>
      <c r="N15" s="199">
        <v>105.42</v>
      </c>
      <c r="O15" s="199">
        <v>3181.85</v>
      </c>
      <c r="P15" s="199">
        <v>36.54</v>
      </c>
      <c r="Q15" s="199">
        <v>0</v>
      </c>
      <c r="R15" s="200"/>
      <c r="S15" s="200">
        <v>100</v>
      </c>
      <c r="T15" s="199"/>
      <c r="U15" s="201">
        <f t="shared" si="2"/>
        <v>31347.69</v>
      </c>
      <c r="V15" s="202">
        <f t="shared" si="2"/>
        <v>359.1</v>
      </c>
      <c r="W15" s="203">
        <v>465.26</v>
      </c>
      <c r="X15" s="198">
        <v>18047.43</v>
      </c>
      <c r="Y15" s="198">
        <v>630.08</v>
      </c>
      <c r="Z15" s="198">
        <v>1048.85</v>
      </c>
      <c r="AA15" s="198">
        <v>10276.97</v>
      </c>
      <c r="AB15" s="198">
        <v>3410.96</v>
      </c>
      <c r="AC15" s="198">
        <v>0</v>
      </c>
      <c r="AD15" s="198">
        <v>0</v>
      </c>
      <c r="AE15" s="204">
        <v>99.98</v>
      </c>
      <c r="AF15" s="205">
        <f aca="true" t="shared" si="17" ref="AF15:AF21">SUM(W15:AE15)</f>
        <v>33979.53</v>
      </c>
      <c r="AG15" s="189">
        <f t="shared" si="16"/>
        <v>34612.806</v>
      </c>
      <c r="AH15" s="190">
        <f t="shared" si="3"/>
        <v>0</v>
      </c>
      <c r="AI15" s="190">
        <f t="shared" si="3"/>
        <v>0</v>
      </c>
      <c r="AJ15" s="191">
        <f>'[11]Т06'!$J$176+'[11]Т06'!$J$131</f>
        <v>432.42</v>
      </c>
      <c r="AK15" s="150">
        <f t="shared" si="4"/>
        <v>2471.228</v>
      </c>
      <c r="AL15" s="150">
        <f t="shared" si="5"/>
        <v>737.6800000000001</v>
      </c>
      <c r="AM15" s="150">
        <f t="shared" si="6"/>
        <v>3688.4</v>
      </c>
      <c r="AN15" s="150">
        <f t="shared" si="7"/>
        <v>774.564</v>
      </c>
      <c r="AO15" s="150">
        <f t="shared" si="8"/>
        <v>7450.568</v>
      </c>
      <c r="AP15" s="150">
        <f t="shared" si="9"/>
        <v>3799.052</v>
      </c>
      <c r="AQ15" s="150">
        <f t="shared" si="10"/>
        <v>2766.3</v>
      </c>
      <c r="AR15" s="150">
        <f t="shared" si="11"/>
        <v>2766.3</v>
      </c>
      <c r="AS15" s="150"/>
      <c r="AT15" s="192">
        <f t="shared" si="15"/>
        <v>401.67</v>
      </c>
      <c r="AU15" s="193">
        <v>8784</v>
      </c>
      <c r="AV15" s="193"/>
      <c r="AW15" s="193"/>
      <c r="AX15" s="193">
        <f>767+94</f>
        <v>861</v>
      </c>
      <c r="AY15" s="262"/>
      <c r="AZ15" s="150"/>
      <c r="BA15" s="192"/>
      <c r="BB15" s="192"/>
      <c r="BC15" s="206">
        <f t="shared" si="0"/>
        <v>34500.762</v>
      </c>
      <c r="BD15" s="194">
        <f>'[11]Т06'!$S$131+'[11]Т06'!$S$176</f>
        <v>257.89</v>
      </c>
      <c r="BE15" s="179">
        <f t="shared" si="12"/>
        <v>34758.652</v>
      </c>
      <c r="BF15" s="179">
        <f t="shared" si="13"/>
        <v>286.57399999999325</v>
      </c>
      <c r="BG15" s="179">
        <f t="shared" si="14"/>
        <v>2631.84</v>
      </c>
    </row>
    <row r="16" spans="1:59" ht="12.75">
      <c r="A16" s="171" t="s">
        <v>51</v>
      </c>
      <c r="B16" s="142">
        <v>3688.4</v>
      </c>
      <c r="C16" s="128">
        <f t="shared" si="1"/>
        <v>31535.820000000003</v>
      </c>
      <c r="D16" s="184">
        <v>274.176</v>
      </c>
      <c r="E16" s="207"/>
      <c r="F16" s="207"/>
      <c r="G16" s="207">
        <v>18895.3</v>
      </c>
      <c r="H16" s="207">
        <v>217.14</v>
      </c>
      <c r="I16" s="207"/>
      <c r="J16" s="207"/>
      <c r="K16" s="207"/>
      <c r="L16" s="207"/>
      <c r="M16" s="207">
        <v>9175.74</v>
      </c>
      <c r="N16" s="207">
        <v>105.42</v>
      </c>
      <c r="O16" s="207">
        <v>3182.46</v>
      </c>
      <c r="P16" s="207">
        <v>36.54</v>
      </c>
      <c r="Q16" s="207"/>
      <c r="R16" s="207"/>
      <c r="S16" s="208">
        <v>100</v>
      </c>
      <c r="T16" s="203"/>
      <c r="U16" s="209">
        <f t="shared" si="2"/>
        <v>31353.5</v>
      </c>
      <c r="V16" s="210">
        <f t="shared" si="2"/>
        <v>359.1</v>
      </c>
      <c r="W16" s="211">
        <v>120.03</v>
      </c>
      <c r="X16" s="207">
        <v>17172.01</v>
      </c>
      <c r="Y16" s="207">
        <v>162.56</v>
      </c>
      <c r="Z16" s="207">
        <v>270.59</v>
      </c>
      <c r="AA16" s="207">
        <v>8569.91</v>
      </c>
      <c r="AB16" s="207">
        <v>2988.04</v>
      </c>
      <c r="AC16" s="198"/>
      <c r="AD16" s="207"/>
      <c r="AE16" s="208">
        <v>100.01</v>
      </c>
      <c r="AF16" s="205">
        <f t="shared" si="17"/>
        <v>29383.149999999998</v>
      </c>
      <c r="AG16" s="212">
        <f t="shared" si="16"/>
        <v>30016.426</v>
      </c>
      <c r="AH16" s="190">
        <f t="shared" si="3"/>
        <v>0</v>
      </c>
      <c r="AI16" s="190">
        <f t="shared" si="3"/>
        <v>0</v>
      </c>
      <c r="AJ16" s="191">
        <f>'[11]Т07'!$J$131+'[11]Т07'!$J$180</f>
        <v>432.42</v>
      </c>
      <c r="AK16" s="150">
        <f t="shared" si="4"/>
        <v>2471.228</v>
      </c>
      <c r="AL16" s="150">
        <f t="shared" si="5"/>
        <v>737.6800000000001</v>
      </c>
      <c r="AM16" s="150">
        <f t="shared" si="6"/>
        <v>3688.4</v>
      </c>
      <c r="AN16" s="150">
        <f t="shared" si="7"/>
        <v>774.564</v>
      </c>
      <c r="AO16" s="150">
        <f t="shared" si="8"/>
        <v>7450.568</v>
      </c>
      <c r="AP16" s="150">
        <f t="shared" si="9"/>
        <v>3799.052</v>
      </c>
      <c r="AQ16" s="150">
        <f t="shared" si="10"/>
        <v>2766.3</v>
      </c>
      <c r="AR16" s="150">
        <f t="shared" si="11"/>
        <v>2766.3</v>
      </c>
      <c r="AS16" s="150"/>
      <c r="AT16" s="192">
        <f t="shared" si="15"/>
        <v>401.67</v>
      </c>
      <c r="AU16" s="193">
        <v>1937</v>
      </c>
      <c r="AV16" s="193"/>
      <c r="AW16" s="193"/>
      <c r="AX16" s="193">
        <f>53.3+96.43+18.86+24+1100</f>
        <v>1292.5900000000001</v>
      </c>
      <c r="AY16" s="262"/>
      <c r="AZ16" s="117"/>
      <c r="BA16" s="192">
        <v>-497</v>
      </c>
      <c r="BB16" s="192"/>
      <c r="BC16" s="143">
        <f t="shared" si="0"/>
        <v>27588.352</v>
      </c>
      <c r="BD16" s="194">
        <f>'[11]Т07'!$S$131+'[11]Т07'!$S$180</f>
        <v>257.89</v>
      </c>
      <c r="BE16" s="179">
        <f>BC16+BD16</f>
        <v>27846.242</v>
      </c>
      <c r="BF16" s="179">
        <f t="shared" si="13"/>
        <v>2602.6039999999994</v>
      </c>
      <c r="BG16" s="179">
        <f t="shared" si="14"/>
        <v>-1970.3500000000022</v>
      </c>
    </row>
    <row r="17" spans="1:59" ht="12.75">
      <c r="A17" s="171" t="s">
        <v>52</v>
      </c>
      <c r="B17" s="254">
        <v>3686.5</v>
      </c>
      <c r="C17" s="128">
        <f t="shared" si="1"/>
        <v>31519.575000000004</v>
      </c>
      <c r="D17" s="184">
        <v>274.176</v>
      </c>
      <c r="E17" s="207"/>
      <c r="F17" s="207"/>
      <c r="G17" s="207">
        <v>18866.26</v>
      </c>
      <c r="H17" s="207">
        <v>217.14</v>
      </c>
      <c r="I17" s="207"/>
      <c r="J17" s="207"/>
      <c r="K17" s="207"/>
      <c r="L17" s="207"/>
      <c r="M17" s="207">
        <v>9161.53</v>
      </c>
      <c r="N17" s="207">
        <v>105.42</v>
      </c>
      <c r="O17" s="207">
        <v>3177.43</v>
      </c>
      <c r="P17" s="207">
        <v>36.54</v>
      </c>
      <c r="Q17" s="207"/>
      <c r="R17" s="207"/>
      <c r="S17" s="208">
        <v>100</v>
      </c>
      <c r="T17" s="204"/>
      <c r="U17" s="213">
        <f t="shared" si="2"/>
        <v>31305.22</v>
      </c>
      <c r="V17" s="214">
        <f t="shared" si="2"/>
        <v>359.1</v>
      </c>
      <c r="W17" s="207">
        <v>97.81</v>
      </c>
      <c r="X17" s="207">
        <v>17976.78</v>
      </c>
      <c r="Y17" s="207">
        <v>132.47</v>
      </c>
      <c r="Z17" s="207">
        <v>220.5</v>
      </c>
      <c r="AA17" s="207">
        <v>9048.09</v>
      </c>
      <c r="AB17" s="207">
        <v>3106.14</v>
      </c>
      <c r="AC17" s="207"/>
      <c r="AD17" s="207"/>
      <c r="AE17" s="208">
        <v>99.97</v>
      </c>
      <c r="AF17" s="205">
        <f t="shared" si="17"/>
        <v>30681.760000000002</v>
      </c>
      <c r="AG17" s="212">
        <f t="shared" si="16"/>
        <v>31315.036000000004</v>
      </c>
      <c r="AH17" s="190">
        <f t="shared" si="3"/>
        <v>0</v>
      </c>
      <c r="AI17" s="190">
        <f t="shared" si="3"/>
        <v>0</v>
      </c>
      <c r="AJ17" s="191">
        <f>'[11]Т08'!$J$131+'[11]Т08'!$J$184</f>
        <v>432.42</v>
      </c>
      <c r="AK17" s="150">
        <f t="shared" si="4"/>
        <v>2469.955</v>
      </c>
      <c r="AL17" s="150">
        <f t="shared" si="5"/>
        <v>737.3000000000001</v>
      </c>
      <c r="AM17" s="150">
        <f t="shared" si="6"/>
        <v>3686.5</v>
      </c>
      <c r="AN17" s="150">
        <f t="shared" si="7"/>
        <v>774.165</v>
      </c>
      <c r="AO17" s="150">
        <f t="shared" si="8"/>
        <v>7446.7300000000005</v>
      </c>
      <c r="AP17" s="150">
        <f t="shared" si="9"/>
        <v>3797.0950000000003</v>
      </c>
      <c r="AQ17" s="150">
        <f t="shared" si="10"/>
        <v>2764.875</v>
      </c>
      <c r="AR17" s="150">
        <f t="shared" si="11"/>
        <v>2764.875</v>
      </c>
      <c r="AS17" s="150"/>
      <c r="AT17" s="192">
        <f t="shared" si="15"/>
        <v>401.67</v>
      </c>
      <c r="AU17" s="193">
        <v>1735</v>
      </c>
      <c r="AV17" s="193"/>
      <c r="AW17" s="193"/>
      <c r="AX17" s="193">
        <f>160+36+927.12+22+159.75+24</f>
        <v>1328.87</v>
      </c>
      <c r="AY17" s="262"/>
      <c r="AZ17" s="117"/>
      <c r="BA17" s="192"/>
      <c r="BB17" s="192"/>
      <c r="BC17" s="143">
        <f t="shared" si="0"/>
        <v>27907.035</v>
      </c>
      <c r="BD17" s="194">
        <f>'[11]Т08'!$S$131+'[11]Т08'!$S$184</f>
        <v>257.89</v>
      </c>
      <c r="BE17" s="179">
        <f t="shared" si="12"/>
        <v>28164.925</v>
      </c>
      <c r="BF17" s="179">
        <f t="shared" si="13"/>
        <v>3582.5310000000027</v>
      </c>
      <c r="BG17" s="179">
        <f t="shared" si="14"/>
        <v>-623.4599999999991</v>
      </c>
    </row>
    <row r="18" spans="1:59" ht="12.75">
      <c r="A18" s="171" t="s">
        <v>53</v>
      </c>
      <c r="B18" s="142">
        <v>3686.5</v>
      </c>
      <c r="C18" s="128">
        <f t="shared" si="1"/>
        <v>31519.575000000004</v>
      </c>
      <c r="D18" s="184">
        <v>274.176</v>
      </c>
      <c r="E18" s="207"/>
      <c r="F18" s="207"/>
      <c r="G18" s="207">
        <v>19412.9</v>
      </c>
      <c r="H18" s="207"/>
      <c r="I18" s="207"/>
      <c r="J18" s="207"/>
      <c r="K18" s="207"/>
      <c r="L18" s="207"/>
      <c r="M18" s="207">
        <v>9426.88</v>
      </c>
      <c r="N18" s="207">
        <v>0</v>
      </c>
      <c r="O18" s="207">
        <v>3269.34</v>
      </c>
      <c r="P18" s="207">
        <v>0</v>
      </c>
      <c r="Q18" s="207"/>
      <c r="R18" s="207"/>
      <c r="S18" s="208">
        <v>100</v>
      </c>
      <c r="T18" s="215"/>
      <c r="U18" s="215">
        <f t="shared" si="2"/>
        <v>32209.12</v>
      </c>
      <c r="V18" s="216">
        <f t="shared" si="2"/>
        <v>0</v>
      </c>
      <c r="W18" s="207">
        <v>217.1</v>
      </c>
      <c r="X18" s="207">
        <v>19838.61</v>
      </c>
      <c r="Y18" s="207">
        <v>294.1</v>
      </c>
      <c r="Z18" s="207">
        <v>489.5</v>
      </c>
      <c r="AA18" s="207">
        <v>10350.19</v>
      </c>
      <c r="AB18" s="207">
        <v>3498.9</v>
      </c>
      <c r="AC18" s="207"/>
      <c r="AD18" s="207"/>
      <c r="AE18" s="208">
        <v>0</v>
      </c>
      <c r="AF18" s="205">
        <f t="shared" si="17"/>
        <v>34688.4</v>
      </c>
      <c r="AG18" s="212">
        <f t="shared" si="16"/>
        <v>34962.576</v>
      </c>
      <c r="AH18" s="190">
        <f t="shared" si="3"/>
        <v>0</v>
      </c>
      <c r="AI18" s="190">
        <f t="shared" si="3"/>
        <v>0</v>
      </c>
      <c r="AJ18" s="191">
        <f>'[11]Т09'!$J$131+'[11]Т09'!$J$184</f>
        <v>432.42</v>
      </c>
      <c r="AK18" s="150">
        <f t="shared" si="4"/>
        <v>2469.955</v>
      </c>
      <c r="AL18" s="150">
        <f t="shared" si="5"/>
        <v>737.3000000000001</v>
      </c>
      <c r="AM18" s="150">
        <f t="shared" si="6"/>
        <v>3686.5</v>
      </c>
      <c r="AN18" s="150">
        <f t="shared" si="7"/>
        <v>774.165</v>
      </c>
      <c r="AO18" s="150">
        <f t="shared" si="8"/>
        <v>7446.7300000000005</v>
      </c>
      <c r="AP18" s="150">
        <f t="shared" si="9"/>
        <v>3797.0950000000003</v>
      </c>
      <c r="AQ18" s="150">
        <f t="shared" si="10"/>
        <v>2764.875</v>
      </c>
      <c r="AR18" s="150">
        <f t="shared" si="11"/>
        <v>2764.875</v>
      </c>
      <c r="AS18" s="150"/>
      <c r="AT18" s="192">
        <f t="shared" si="15"/>
        <v>401.67</v>
      </c>
      <c r="AU18" s="193"/>
      <c r="AV18" s="193"/>
      <c r="AW18" s="193">
        <v>179</v>
      </c>
      <c r="AX18" s="193">
        <f>346.99+209</f>
        <v>555.99</v>
      </c>
      <c r="AY18" s="262"/>
      <c r="AZ18" s="117"/>
      <c r="BA18" s="192"/>
      <c r="BB18" s="192"/>
      <c r="BC18" s="143">
        <f t="shared" si="0"/>
        <v>25578.155000000002</v>
      </c>
      <c r="BD18" s="194">
        <f>'[11]Т08'!$S$131+'[11]Т08'!$S$184</f>
        <v>257.89</v>
      </c>
      <c r="BE18" s="179">
        <f>BC18+BD18</f>
        <v>25836.045000000002</v>
      </c>
      <c r="BF18" s="179">
        <f t="shared" si="13"/>
        <v>9558.950999999997</v>
      </c>
      <c r="BG18" s="179">
        <f t="shared" si="14"/>
        <v>2479.2800000000025</v>
      </c>
    </row>
    <row r="19" spans="1:59" ht="12.75">
      <c r="A19" s="171" t="s">
        <v>41</v>
      </c>
      <c r="B19" s="142">
        <v>3686.5</v>
      </c>
      <c r="C19" s="128">
        <f t="shared" si="1"/>
        <v>31519.575000000004</v>
      </c>
      <c r="D19" s="184">
        <v>274.176</v>
      </c>
      <c r="E19" s="198"/>
      <c r="F19" s="198"/>
      <c r="G19" s="198">
        <v>18988.12</v>
      </c>
      <c r="H19" s="198">
        <v>434.28</v>
      </c>
      <c r="I19" s="198"/>
      <c r="J19" s="198"/>
      <c r="K19" s="198"/>
      <c r="L19" s="198"/>
      <c r="M19" s="198">
        <v>9220.71</v>
      </c>
      <c r="N19" s="198">
        <v>210.84</v>
      </c>
      <c r="O19" s="198">
        <v>3197.92</v>
      </c>
      <c r="P19" s="198">
        <v>0</v>
      </c>
      <c r="Q19" s="198"/>
      <c r="R19" s="198"/>
      <c r="S19" s="204">
        <v>100</v>
      </c>
      <c r="T19" s="217"/>
      <c r="U19" s="218">
        <f t="shared" si="2"/>
        <v>31506.75</v>
      </c>
      <c r="V19" s="219">
        <f t="shared" si="2"/>
        <v>645.12</v>
      </c>
      <c r="W19" s="198">
        <v>0</v>
      </c>
      <c r="X19" s="198">
        <v>17160.64</v>
      </c>
      <c r="Y19" s="198">
        <v>0</v>
      </c>
      <c r="Z19" s="198">
        <v>0</v>
      </c>
      <c r="AA19" s="198">
        <v>8332.65</v>
      </c>
      <c r="AB19" s="198">
        <v>2889.63</v>
      </c>
      <c r="AC19" s="198"/>
      <c r="AD19" s="198"/>
      <c r="AE19" s="204">
        <v>199.5</v>
      </c>
      <c r="AF19" s="205">
        <f t="shared" si="17"/>
        <v>28582.420000000002</v>
      </c>
      <c r="AG19" s="212">
        <f t="shared" si="16"/>
        <v>29501.716</v>
      </c>
      <c r="AH19" s="190">
        <f t="shared" si="3"/>
        <v>0</v>
      </c>
      <c r="AI19" s="190">
        <f t="shared" si="3"/>
        <v>0</v>
      </c>
      <c r="AJ19" s="191">
        <f>'[13]Т10'!$J$131+'[13]Т10'!$J$184</f>
        <v>432.42</v>
      </c>
      <c r="AK19" s="150">
        <f t="shared" si="4"/>
        <v>2469.955</v>
      </c>
      <c r="AL19" s="150">
        <f t="shared" si="5"/>
        <v>737.3000000000001</v>
      </c>
      <c r="AM19" s="150">
        <f t="shared" si="6"/>
        <v>3686.5</v>
      </c>
      <c r="AN19" s="150">
        <f t="shared" si="7"/>
        <v>774.165</v>
      </c>
      <c r="AO19" s="150">
        <f t="shared" si="8"/>
        <v>7446.7300000000005</v>
      </c>
      <c r="AP19" s="150">
        <f t="shared" si="9"/>
        <v>3797.0950000000003</v>
      </c>
      <c r="AQ19" s="150">
        <f t="shared" si="10"/>
        <v>2764.875</v>
      </c>
      <c r="AR19" s="150">
        <f t="shared" si="11"/>
        <v>2764.875</v>
      </c>
      <c r="AS19" s="220">
        <f>B19*1.15</f>
        <v>4239.474999999999</v>
      </c>
      <c r="AT19" s="192">
        <f t="shared" si="15"/>
        <v>401.67</v>
      </c>
      <c r="AU19" s="193"/>
      <c r="AV19" s="193"/>
      <c r="AW19" s="193"/>
      <c r="AX19" s="193">
        <f>348.06</f>
        <v>348.06</v>
      </c>
      <c r="AY19" s="263"/>
      <c r="AZ19" s="192"/>
      <c r="BA19" s="192"/>
      <c r="BB19" s="192"/>
      <c r="BC19" s="143">
        <f t="shared" si="0"/>
        <v>29430.7</v>
      </c>
      <c r="BD19" s="194">
        <f>'[14]Т10'!$S$131+'[14]Т10'!$S$184</f>
        <v>257.89</v>
      </c>
      <c r="BE19" s="179">
        <f t="shared" si="12"/>
        <v>29688.59</v>
      </c>
      <c r="BF19" s="179">
        <f t="shared" si="13"/>
        <v>245.54599999999846</v>
      </c>
      <c r="BG19" s="179">
        <f t="shared" si="14"/>
        <v>-2924.329999999998</v>
      </c>
    </row>
    <row r="20" spans="1:59" ht="12.75">
      <c r="A20" s="171" t="s">
        <v>42</v>
      </c>
      <c r="B20" s="142">
        <v>3686.5</v>
      </c>
      <c r="C20" s="128">
        <f t="shared" si="1"/>
        <v>31519.575000000004</v>
      </c>
      <c r="D20" s="184">
        <v>274.176</v>
      </c>
      <c r="E20" s="198"/>
      <c r="F20" s="198"/>
      <c r="G20" s="198">
        <v>19231.43</v>
      </c>
      <c r="H20" s="198">
        <v>217.14</v>
      </c>
      <c r="I20" s="198"/>
      <c r="J20" s="198"/>
      <c r="K20" s="198"/>
      <c r="L20" s="198"/>
      <c r="M20" s="198">
        <v>9338.95</v>
      </c>
      <c r="N20" s="198">
        <v>105.42</v>
      </c>
      <c r="O20" s="198">
        <v>3239.04</v>
      </c>
      <c r="P20" s="198">
        <v>0</v>
      </c>
      <c r="Q20" s="198"/>
      <c r="R20" s="198"/>
      <c r="S20" s="204">
        <v>100</v>
      </c>
      <c r="T20" s="217"/>
      <c r="U20" s="218">
        <f t="shared" si="2"/>
        <v>31909.420000000002</v>
      </c>
      <c r="V20" s="219">
        <f t="shared" si="2"/>
        <v>322.56</v>
      </c>
      <c r="W20" s="198">
        <v>0</v>
      </c>
      <c r="X20" s="198">
        <v>18834.3</v>
      </c>
      <c r="Y20" s="198">
        <v>0</v>
      </c>
      <c r="Z20" s="198">
        <v>0</v>
      </c>
      <c r="AA20" s="198">
        <v>9146.27</v>
      </c>
      <c r="AB20" s="198">
        <v>3172.35</v>
      </c>
      <c r="AC20" s="198"/>
      <c r="AD20" s="198"/>
      <c r="AE20" s="204">
        <v>99.55</v>
      </c>
      <c r="AF20" s="205">
        <f t="shared" si="17"/>
        <v>31252.469999999998</v>
      </c>
      <c r="AG20" s="212">
        <f t="shared" si="16"/>
        <v>31849.206</v>
      </c>
      <c r="AH20" s="190">
        <f t="shared" si="3"/>
        <v>0</v>
      </c>
      <c r="AI20" s="190">
        <f t="shared" si="3"/>
        <v>0</v>
      </c>
      <c r="AJ20" s="191">
        <f>'[14]Т11'!$J$131+'[14]Т11'!$J$184</f>
        <v>432.42</v>
      </c>
      <c r="AK20" s="150">
        <f t="shared" si="4"/>
        <v>2469.955</v>
      </c>
      <c r="AL20" s="150">
        <f t="shared" si="5"/>
        <v>737.3000000000001</v>
      </c>
      <c r="AM20" s="150">
        <f t="shared" si="6"/>
        <v>3686.5</v>
      </c>
      <c r="AN20" s="150">
        <f t="shared" si="7"/>
        <v>774.165</v>
      </c>
      <c r="AO20" s="150">
        <f t="shared" si="8"/>
        <v>7446.7300000000005</v>
      </c>
      <c r="AP20" s="150">
        <f t="shared" si="9"/>
        <v>3797.0950000000003</v>
      </c>
      <c r="AQ20" s="150">
        <f t="shared" si="10"/>
        <v>2764.875</v>
      </c>
      <c r="AR20" s="150">
        <f t="shared" si="11"/>
        <v>2764.875</v>
      </c>
      <c r="AS20" s="220">
        <f>B20*1.15</f>
        <v>4239.474999999999</v>
      </c>
      <c r="AT20" s="192">
        <f t="shared" si="15"/>
        <v>401.67</v>
      </c>
      <c r="AU20" s="193">
        <v>1792</v>
      </c>
      <c r="AV20" s="193"/>
      <c r="AW20" s="193"/>
      <c r="AX20" s="193">
        <f>61.46+220</f>
        <v>281.46</v>
      </c>
      <c r="AY20" s="262"/>
      <c r="AZ20" s="117"/>
      <c r="BA20" s="192"/>
      <c r="BB20" s="192"/>
      <c r="BC20" s="143">
        <f t="shared" si="0"/>
        <v>31156.1</v>
      </c>
      <c r="BD20" s="194">
        <f>'[14]Т11'!$S$131+'[14]Т11'!$S$184</f>
        <v>257.89</v>
      </c>
      <c r="BE20" s="179">
        <f>BC20+BD20</f>
        <v>31413.989999999998</v>
      </c>
      <c r="BF20" s="179">
        <f t="shared" si="13"/>
        <v>867.6359999999986</v>
      </c>
      <c r="BG20" s="179">
        <f t="shared" si="14"/>
        <v>-656.9500000000044</v>
      </c>
    </row>
    <row r="21" spans="1:59" ht="13.5" thickBot="1">
      <c r="A21" s="171" t="s">
        <v>43</v>
      </c>
      <c r="B21" s="142">
        <v>3686.5</v>
      </c>
      <c r="C21" s="128">
        <f t="shared" si="1"/>
        <v>31519.575000000004</v>
      </c>
      <c r="D21" s="184">
        <v>274.176</v>
      </c>
      <c r="E21" s="222"/>
      <c r="F21" s="222"/>
      <c r="G21" s="222">
        <v>19213.15</v>
      </c>
      <c r="H21" s="222">
        <v>217.14</v>
      </c>
      <c r="I21" s="222"/>
      <c r="J21" s="222"/>
      <c r="K21" s="222"/>
      <c r="L21" s="222"/>
      <c r="M21" s="222">
        <v>9329.98</v>
      </c>
      <c r="N21" s="222">
        <v>105.42</v>
      </c>
      <c r="O21" s="222">
        <v>3235.85</v>
      </c>
      <c r="P21" s="222">
        <v>0</v>
      </c>
      <c r="Q21" s="222"/>
      <c r="R21" s="222"/>
      <c r="S21" s="223">
        <v>100</v>
      </c>
      <c r="T21" s="224"/>
      <c r="U21" s="218">
        <f t="shared" si="2"/>
        <v>31878.98</v>
      </c>
      <c r="V21" s="219">
        <f t="shared" si="2"/>
        <v>322.56</v>
      </c>
      <c r="W21" s="198">
        <v>0</v>
      </c>
      <c r="X21" s="198">
        <v>25658.17</v>
      </c>
      <c r="Y21" s="198">
        <v>0</v>
      </c>
      <c r="Z21" s="198">
        <v>0</v>
      </c>
      <c r="AA21" s="198">
        <v>11246.25</v>
      </c>
      <c r="AB21" s="198">
        <v>3900.91</v>
      </c>
      <c r="AC21" s="198"/>
      <c r="AD21" s="198"/>
      <c r="AE21" s="204">
        <v>100.97</v>
      </c>
      <c r="AF21" s="205">
        <f t="shared" si="17"/>
        <v>40906.3</v>
      </c>
      <c r="AG21" s="212">
        <f t="shared" si="16"/>
        <v>41503.036</v>
      </c>
      <c r="AH21" s="190">
        <f t="shared" si="3"/>
        <v>0</v>
      </c>
      <c r="AI21" s="190">
        <f t="shared" si="3"/>
        <v>0</v>
      </c>
      <c r="AJ21" s="191">
        <f>'[14]Т12'!$J$131+'[14]Т12'!$J$208</f>
        <v>432.42</v>
      </c>
      <c r="AK21" s="150">
        <f t="shared" si="4"/>
        <v>2469.955</v>
      </c>
      <c r="AL21" s="150">
        <f t="shared" si="5"/>
        <v>737.3000000000001</v>
      </c>
      <c r="AM21" s="150">
        <f t="shared" si="6"/>
        <v>3686.5</v>
      </c>
      <c r="AN21" s="150">
        <f t="shared" si="7"/>
        <v>774.165</v>
      </c>
      <c r="AO21" s="150">
        <f t="shared" si="8"/>
        <v>7446.7300000000005</v>
      </c>
      <c r="AP21" s="150">
        <f t="shared" si="9"/>
        <v>3797.0950000000003</v>
      </c>
      <c r="AQ21" s="150">
        <f t="shared" si="10"/>
        <v>2764.875</v>
      </c>
      <c r="AR21" s="150">
        <f t="shared" si="11"/>
        <v>2764.875</v>
      </c>
      <c r="AS21" s="220">
        <f>B21*1.15</f>
        <v>4239.474999999999</v>
      </c>
      <c r="AT21" s="192">
        <f t="shared" si="15"/>
        <v>401.67</v>
      </c>
      <c r="AU21" s="193">
        <v>2003</v>
      </c>
      <c r="AV21" s="193">
        <v>415</v>
      </c>
      <c r="AW21" s="193"/>
      <c r="AX21" s="193">
        <f>255+214</f>
        <v>469</v>
      </c>
      <c r="AY21" s="262"/>
      <c r="AZ21" s="117"/>
      <c r="BA21" s="192"/>
      <c r="BB21" s="192"/>
      <c r="BC21" s="143">
        <f t="shared" si="0"/>
        <v>31969.64</v>
      </c>
      <c r="BD21" s="194">
        <f>'[14]Т12'!$S$131+'[14]Т12'!$S$208</f>
        <v>257.89</v>
      </c>
      <c r="BE21" s="179">
        <f t="shared" si="12"/>
        <v>32227.53</v>
      </c>
      <c r="BF21" s="179">
        <f t="shared" si="13"/>
        <v>9707.926</v>
      </c>
      <c r="BG21" s="179">
        <f t="shared" si="14"/>
        <v>9027.320000000003</v>
      </c>
    </row>
    <row r="22" spans="1:59" s="20" customFormat="1" ht="13.5" thickBot="1">
      <c r="A22" s="225" t="s">
        <v>5</v>
      </c>
      <c r="B22" s="226"/>
      <c r="C22" s="227">
        <f aca="true" t="shared" si="18" ref="C22:BE22">SUM(C10:C21)</f>
        <v>378348.61500000005</v>
      </c>
      <c r="D22" s="227">
        <f t="shared" si="18"/>
        <v>3689.238</v>
      </c>
      <c r="E22" s="227">
        <f t="shared" si="18"/>
        <v>-113.92</v>
      </c>
      <c r="F22" s="227">
        <f t="shared" si="18"/>
        <v>112.79</v>
      </c>
      <c r="G22" s="227">
        <f t="shared" si="18"/>
        <v>227986.6</v>
      </c>
      <c r="H22" s="227">
        <f t="shared" si="18"/>
        <v>2388.54</v>
      </c>
      <c r="I22" s="227">
        <f t="shared" si="18"/>
        <v>-154.44</v>
      </c>
      <c r="J22" s="227">
        <f t="shared" si="18"/>
        <v>152.89</v>
      </c>
      <c r="K22" s="227">
        <f t="shared" si="18"/>
        <v>-256.97</v>
      </c>
      <c r="L22" s="227">
        <f t="shared" si="18"/>
        <v>254.4</v>
      </c>
      <c r="M22" s="227">
        <f t="shared" si="18"/>
        <v>110341.17000000001</v>
      </c>
      <c r="N22" s="227">
        <f t="shared" si="18"/>
        <v>1526.82</v>
      </c>
      <c r="O22" s="227">
        <f t="shared" si="18"/>
        <v>38807.07</v>
      </c>
      <c r="P22" s="227">
        <f t="shared" si="18"/>
        <v>346.01000000000005</v>
      </c>
      <c r="Q22" s="227">
        <f t="shared" si="18"/>
        <v>0</v>
      </c>
      <c r="R22" s="227">
        <f t="shared" si="18"/>
        <v>0</v>
      </c>
      <c r="S22" s="227">
        <f t="shared" si="18"/>
        <v>1200</v>
      </c>
      <c r="T22" s="227">
        <f t="shared" si="18"/>
        <v>0</v>
      </c>
      <c r="U22" s="227">
        <f t="shared" si="18"/>
        <v>377809.51</v>
      </c>
      <c r="V22" s="227">
        <f t="shared" si="18"/>
        <v>4744.910000000001</v>
      </c>
      <c r="W22" s="227">
        <f t="shared" si="18"/>
        <v>4064.6699999999996</v>
      </c>
      <c r="X22" s="227">
        <f t="shared" si="18"/>
        <v>198671.11</v>
      </c>
      <c r="Y22" s="227">
        <f t="shared" si="18"/>
        <v>5505.410000000001</v>
      </c>
      <c r="Z22" s="227">
        <f t="shared" si="18"/>
        <v>9163.96</v>
      </c>
      <c r="AA22" s="227">
        <f t="shared" si="18"/>
        <v>110119.51</v>
      </c>
      <c r="AB22" s="227">
        <f t="shared" si="18"/>
        <v>36184.509999999995</v>
      </c>
      <c r="AC22" s="227">
        <f t="shared" si="18"/>
        <v>0</v>
      </c>
      <c r="AD22" s="227">
        <f t="shared" si="18"/>
        <v>0</v>
      </c>
      <c r="AE22" s="227">
        <f t="shared" si="18"/>
        <v>1099.96</v>
      </c>
      <c r="AF22" s="227">
        <f t="shared" si="18"/>
        <v>364809.12999999995</v>
      </c>
      <c r="AG22" s="227">
        <f t="shared" si="18"/>
        <v>373243.27800000005</v>
      </c>
      <c r="AH22" s="227">
        <f t="shared" si="18"/>
        <v>0</v>
      </c>
      <c r="AI22" s="227">
        <f t="shared" si="18"/>
        <v>0</v>
      </c>
      <c r="AJ22" s="227">
        <f t="shared" si="18"/>
        <v>5189.04</v>
      </c>
      <c r="AK22" s="227">
        <f t="shared" si="18"/>
        <v>29648.371000000006</v>
      </c>
      <c r="AL22" s="227">
        <f t="shared" si="18"/>
        <v>8850.260000000002</v>
      </c>
      <c r="AM22" s="227">
        <f t="shared" si="18"/>
        <v>44251.3</v>
      </c>
      <c r="AN22" s="227">
        <f t="shared" si="18"/>
        <v>9292.773000000001</v>
      </c>
      <c r="AO22" s="227">
        <f t="shared" si="18"/>
        <v>89387.62599999999</v>
      </c>
      <c r="AP22" s="227">
        <f t="shared" si="18"/>
        <v>45578.83900000001</v>
      </c>
      <c r="AQ22" s="227">
        <f t="shared" si="18"/>
        <v>33188.475</v>
      </c>
      <c r="AR22" s="227">
        <f t="shared" si="18"/>
        <v>33188.475</v>
      </c>
      <c r="AS22" s="227">
        <f t="shared" si="18"/>
        <v>25443.404999999995</v>
      </c>
      <c r="AT22" s="227">
        <f t="shared" si="18"/>
        <v>4016.7000000000003</v>
      </c>
      <c r="AU22" s="227">
        <f t="shared" si="18"/>
        <v>54387</v>
      </c>
      <c r="AV22" s="227">
        <f t="shared" si="18"/>
        <v>6132</v>
      </c>
      <c r="AW22" s="227">
        <f t="shared" si="18"/>
        <v>3327</v>
      </c>
      <c r="AX22" s="227">
        <f t="shared" si="18"/>
        <v>8139.075</v>
      </c>
      <c r="AY22" s="264">
        <f t="shared" si="18"/>
        <v>0</v>
      </c>
      <c r="AZ22" s="227">
        <f t="shared" si="18"/>
        <v>0</v>
      </c>
      <c r="BA22" s="227">
        <f t="shared" si="18"/>
        <v>-497</v>
      </c>
      <c r="BB22" s="227">
        <f t="shared" si="18"/>
        <v>0</v>
      </c>
      <c r="BC22" s="227">
        <f t="shared" si="18"/>
        <v>394334.299</v>
      </c>
      <c r="BD22" s="227">
        <f t="shared" si="18"/>
        <v>3094.679999999999</v>
      </c>
      <c r="BE22" s="227">
        <f t="shared" si="18"/>
        <v>397428.97900000005</v>
      </c>
      <c r="BF22" s="227">
        <f>SUM(BF10:BF21)</f>
        <v>-18996.661000000036</v>
      </c>
      <c r="BG22" s="227">
        <f>SUM(BG10:BG21)</f>
        <v>-13000.380000000008</v>
      </c>
    </row>
    <row r="23" spans="1:59" s="20" customFormat="1" ht="13.5" thickBot="1">
      <c r="A23" s="228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65"/>
      <c r="AZ23" s="229"/>
      <c r="BA23" s="229"/>
      <c r="BB23" s="229"/>
      <c r="BC23" s="229"/>
      <c r="BD23" s="229"/>
      <c r="BE23" s="230"/>
      <c r="BF23" s="229"/>
      <c r="BG23" s="231"/>
    </row>
    <row r="24" spans="1:59" s="20" customFormat="1" ht="13.5" thickBot="1">
      <c r="A24" s="22" t="s">
        <v>54</v>
      </c>
      <c r="B24" s="229"/>
      <c r="C24" s="232">
        <f aca="true" t="shared" si="19" ref="C24:L24">C22+C8</f>
        <v>1239236.4050000003</v>
      </c>
      <c r="D24" s="232">
        <f t="shared" si="19"/>
        <v>109484.12302720004</v>
      </c>
      <c r="E24" s="232">
        <f t="shared" si="19"/>
        <v>76212.80999999998</v>
      </c>
      <c r="F24" s="232">
        <f t="shared" si="19"/>
        <v>10766.789999999999</v>
      </c>
      <c r="G24" s="232">
        <f t="shared" si="19"/>
        <v>227986.6</v>
      </c>
      <c r="H24" s="232">
        <f t="shared" si="19"/>
        <v>2388.54</v>
      </c>
      <c r="I24" s="232">
        <f t="shared" si="19"/>
        <v>101148.63</v>
      </c>
      <c r="J24" s="232">
        <f t="shared" si="19"/>
        <v>14576.07</v>
      </c>
      <c r="K24" s="232">
        <f t="shared" si="19"/>
        <v>171740.12</v>
      </c>
      <c r="L24" s="232">
        <f t="shared" si="19"/>
        <v>24265.61</v>
      </c>
      <c r="M24" s="232" t="e">
        <f>#REF!</f>
        <v>#REF!</v>
      </c>
      <c r="N24" s="232">
        <f aca="true" t="shared" si="20" ref="N24:BG24">N22+N8</f>
        <v>36191.42999999999</v>
      </c>
      <c r="O24" s="232">
        <f t="shared" si="20"/>
        <v>99870.21</v>
      </c>
      <c r="P24" s="232">
        <f t="shared" si="20"/>
        <v>8868.660000000002</v>
      </c>
      <c r="Q24" s="232">
        <f t="shared" si="20"/>
        <v>0</v>
      </c>
      <c r="R24" s="232">
        <f t="shared" si="20"/>
        <v>0</v>
      </c>
      <c r="S24" s="232">
        <f t="shared" si="20"/>
        <v>1200</v>
      </c>
      <c r="T24" s="232">
        <f t="shared" si="20"/>
        <v>0</v>
      </c>
      <c r="U24" s="232">
        <f t="shared" si="20"/>
        <v>1036823.71</v>
      </c>
      <c r="V24" s="232">
        <f t="shared" si="20"/>
        <v>97020.56</v>
      </c>
      <c r="W24" s="232">
        <f t="shared" si="20"/>
        <v>75318.436</v>
      </c>
      <c r="X24" s="232">
        <f t="shared" si="20"/>
        <v>198671.11</v>
      </c>
      <c r="Y24" s="232">
        <f t="shared" si="20"/>
        <v>101927.95</v>
      </c>
      <c r="Z24" s="232">
        <f t="shared" si="20"/>
        <v>169714.3</v>
      </c>
      <c r="AA24" s="232">
        <f t="shared" si="20"/>
        <v>341924.32</v>
      </c>
      <c r="AB24" s="232">
        <f t="shared" si="20"/>
        <v>93189.28</v>
      </c>
      <c r="AC24" s="232">
        <f t="shared" si="20"/>
        <v>0</v>
      </c>
      <c r="AD24" s="232">
        <f t="shared" si="20"/>
        <v>0</v>
      </c>
      <c r="AE24" s="232">
        <f t="shared" si="20"/>
        <v>1099.96</v>
      </c>
      <c r="AF24" s="232">
        <f t="shared" si="20"/>
        <v>981845.3559999999</v>
      </c>
      <c r="AG24" s="232">
        <f t="shared" si="20"/>
        <v>1188350.0390272</v>
      </c>
      <c r="AH24" s="232">
        <f t="shared" si="20"/>
        <v>0</v>
      </c>
      <c r="AI24" s="232">
        <f t="shared" si="20"/>
        <v>0</v>
      </c>
      <c r="AJ24" s="232">
        <f t="shared" si="20"/>
        <v>9910.49904</v>
      </c>
      <c r="AK24" s="232">
        <f t="shared" si="20"/>
        <v>88478.80300000001</v>
      </c>
      <c r="AL24" s="232">
        <f t="shared" si="20"/>
        <v>28563.225621000005</v>
      </c>
      <c r="AM24" s="232">
        <f t="shared" si="20"/>
        <v>141912.144881342</v>
      </c>
      <c r="AN24" s="232">
        <f t="shared" si="20"/>
        <v>9292.773000000001</v>
      </c>
      <c r="AO24" s="232">
        <f t="shared" si="20"/>
        <v>186795.772514108</v>
      </c>
      <c r="AP24" s="232">
        <f t="shared" si="20"/>
        <v>263490.3395767156</v>
      </c>
      <c r="AQ24" s="232">
        <f t="shared" si="20"/>
        <v>33188.475</v>
      </c>
      <c r="AR24" s="232">
        <f t="shared" si="20"/>
        <v>33188.475</v>
      </c>
      <c r="AS24" s="232">
        <f t="shared" si="20"/>
        <v>25443.404999999995</v>
      </c>
      <c r="AT24" s="232">
        <f t="shared" si="20"/>
        <v>22905.6294</v>
      </c>
      <c r="AU24" s="232">
        <f t="shared" si="20"/>
        <v>184480.27000000002</v>
      </c>
      <c r="AV24" s="232">
        <f t="shared" si="20"/>
        <v>6132</v>
      </c>
      <c r="AW24" s="233">
        <f t="shared" si="20"/>
        <v>123336.48</v>
      </c>
      <c r="AX24" s="233">
        <f t="shared" si="20"/>
        <v>24847.682200000003</v>
      </c>
      <c r="AY24" s="266">
        <f t="shared" si="20"/>
        <v>33430.7456</v>
      </c>
      <c r="AZ24" s="233">
        <f t="shared" si="20"/>
        <v>0</v>
      </c>
      <c r="BA24" s="233">
        <f t="shared" si="20"/>
        <v>-497</v>
      </c>
      <c r="BB24" s="233">
        <f t="shared" si="20"/>
        <v>0</v>
      </c>
      <c r="BC24" s="233">
        <f t="shared" si="20"/>
        <v>1204989.2207931657</v>
      </c>
      <c r="BD24" s="233">
        <f t="shared" si="20"/>
        <v>5184.051532251199</v>
      </c>
      <c r="BE24" s="233">
        <f t="shared" si="20"/>
        <v>1210173.272325417</v>
      </c>
      <c r="BF24" s="233">
        <f t="shared" si="20"/>
        <v>-11912.734258216806</v>
      </c>
      <c r="BG24" s="233">
        <f t="shared" si="20"/>
        <v>-54978.35400000001</v>
      </c>
    </row>
    <row r="25" spans="1:59" ht="12.75">
      <c r="A25" s="157" t="s">
        <v>121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5"/>
      <c r="AZ25" s="275"/>
      <c r="BA25" s="275"/>
      <c r="BB25" s="274"/>
      <c r="BC25" s="274"/>
      <c r="BD25" s="274"/>
      <c r="BE25" s="276"/>
      <c r="BF25" s="277"/>
      <c r="BG25" s="278"/>
    </row>
    <row r="26" spans="1:60" ht="12.75">
      <c r="A26" s="171" t="s">
        <v>45</v>
      </c>
      <c r="B26" s="142">
        <v>3686.5</v>
      </c>
      <c r="C26" s="128">
        <f aca="true" t="shared" si="21" ref="C26:C31">B26*8.55</f>
        <v>31519.575000000004</v>
      </c>
      <c r="D26" s="221">
        <v>274.176</v>
      </c>
      <c r="E26" s="198"/>
      <c r="F26" s="198"/>
      <c r="G26" s="198">
        <v>19210.72</v>
      </c>
      <c r="H26" s="198">
        <v>217.14</v>
      </c>
      <c r="I26" s="198"/>
      <c r="J26" s="198"/>
      <c r="K26" s="198"/>
      <c r="L26" s="198"/>
      <c r="M26" s="198">
        <v>9328.8</v>
      </c>
      <c r="N26" s="198">
        <v>105.42</v>
      </c>
      <c r="O26" s="198">
        <v>3235.41</v>
      </c>
      <c r="P26" s="198">
        <v>0</v>
      </c>
      <c r="Q26" s="198"/>
      <c r="R26" s="198"/>
      <c r="S26" s="204">
        <v>100</v>
      </c>
      <c r="T26" s="224"/>
      <c r="U26" s="218">
        <f aca="true" t="shared" si="22" ref="U26:V31">E26+G26+I26+K26+M26+O26+Q26+S26</f>
        <v>31874.93</v>
      </c>
      <c r="V26" s="219">
        <f t="shared" si="22"/>
        <v>322.56</v>
      </c>
      <c r="W26" s="198">
        <v>0</v>
      </c>
      <c r="X26" s="198">
        <v>16031.73</v>
      </c>
      <c r="Y26" s="198">
        <v>0</v>
      </c>
      <c r="Z26" s="198">
        <v>0</v>
      </c>
      <c r="AA26" s="198">
        <v>7785.09</v>
      </c>
      <c r="AB26" s="198">
        <v>2700.17</v>
      </c>
      <c r="AC26" s="198"/>
      <c r="AD26" s="198"/>
      <c r="AE26" s="204">
        <v>100.01</v>
      </c>
      <c r="AF26" s="205">
        <f aca="true" t="shared" si="23" ref="AF26:AF31">SUM(W26:AE26)</f>
        <v>26616.999999999996</v>
      </c>
      <c r="AG26" s="212">
        <f aca="true" t="shared" si="24" ref="AG26:AG37">D26+V26+AF26</f>
        <v>27213.735999999997</v>
      </c>
      <c r="AH26" s="190">
        <f aca="true" t="shared" si="25" ref="AH26:AI37">AC26</f>
        <v>0</v>
      </c>
      <c r="AI26" s="190">
        <f t="shared" si="25"/>
        <v>0</v>
      </c>
      <c r="AJ26" s="191">
        <f>'[16]Т01'!$J$103+'[16]Т01'!$J$206</f>
        <v>521.45</v>
      </c>
      <c r="AK26" s="150">
        <f aca="true" t="shared" si="26" ref="AK26:AK31">0.67*B26</f>
        <v>2469.955</v>
      </c>
      <c r="AL26" s="150">
        <f aca="true" t="shared" si="27" ref="AL26:AL37">B26*0.2</f>
        <v>737.3000000000001</v>
      </c>
      <c r="AM26" s="150">
        <f aca="true" t="shared" si="28" ref="AM26:AM37">B26*1</f>
        <v>3686.5</v>
      </c>
      <c r="AN26" s="150">
        <f aca="true" t="shared" si="29" ref="AN26:AN37">B26*0.21</f>
        <v>774.165</v>
      </c>
      <c r="AO26" s="150">
        <f aca="true" t="shared" si="30" ref="AO26:AO37">2.02*B26</f>
        <v>7446.7300000000005</v>
      </c>
      <c r="AP26" s="150">
        <f aca="true" t="shared" si="31" ref="AP26:AP37">B26*1.03</f>
        <v>3797.0950000000003</v>
      </c>
      <c r="AQ26" s="150">
        <f aca="true" t="shared" si="32" ref="AQ26:AQ37">B26*0.75</f>
        <v>2764.875</v>
      </c>
      <c r="AR26" s="150">
        <f aca="true" t="shared" si="33" ref="AR26:AR37">B26*0.75</f>
        <v>2764.875</v>
      </c>
      <c r="AS26" s="220">
        <f>B26*1.15</f>
        <v>4239.474999999999</v>
      </c>
      <c r="AT26" s="192">
        <f aca="true" t="shared" si="34" ref="AT26:AT37">0.45*892.6</f>
        <v>401.67</v>
      </c>
      <c r="AU26" s="267">
        <v>839</v>
      </c>
      <c r="AV26" s="193"/>
      <c r="AW26" s="193"/>
      <c r="AX26" s="193">
        <f>154</f>
        <v>154</v>
      </c>
      <c r="AY26" s="262"/>
      <c r="AZ26" s="262"/>
      <c r="BA26" s="117"/>
      <c r="BB26" s="192"/>
      <c r="BC26" s="206">
        <f aca="true" t="shared" si="35" ref="BC26:BC37">SUM(AK26:BB26)</f>
        <v>30075.64</v>
      </c>
      <c r="BD26" s="194">
        <f>'[16]Т01'!$S$103+'[16]Т01'!$S$206</f>
        <v>257.89</v>
      </c>
      <c r="BE26" s="179">
        <f>BC26+BD26</f>
        <v>30333.53</v>
      </c>
      <c r="BF26" s="179">
        <f>AG26+AJ26-BE26</f>
        <v>-2598.344000000001</v>
      </c>
      <c r="BG26" s="279">
        <f>AF26-U26</f>
        <v>-5257.930000000004</v>
      </c>
      <c r="BH26" s="180"/>
    </row>
    <row r="27" spans="1:59" ht="12.75">
      <c r="A27" s="171" t="s">
        <v>46</v>
      </c>
      <c r="B27" s="142">
        <v>3686.5</v>
      </c>
      <c r="C27" s="128">
        <f t="shared" si="21"/>
        <v>31519.575000000004</v>
      </c>
      <c r="D27" s="221">
        <v>274.176</v>
      </c>
      <c r="E27" s="207"/>
      <c r="F27" s="207"/>
      <c r="G27" s="207">
        <v>19219.21</v>
      </c>
      <c r="H27" s="207">
        <v>217.14</v>
      </c>
      <c r="I27" s="207"/>
      <c r="J27" s="207"/>
      <c r="K27" s="207"/>
      <c r="L27" s="207"/>
      <c r="M27" s="207">
        <v>9332.97</v>
      </c>
      <c r="N27" s="207">
        <v>105.42</v>
      </c>
      <c r="O27" s="207">
        <v>3236.91</v>
      </c>
      <c r="P27" s="207">
        <v>0</v>
      </c>
      <c r="Q27" s="207"/>
      <c r="R27" s="207"/>
      <c r="S27" s="208">
        <v>100</v>
      </c>
      <c r="T27" s="224"/>
      <c r="U27" s="218">
        <f t="shared" si="22"/>
        <v>31889.09</v>
      </c>
      <c r="V27" s="219">
        <f t="shared" si="22"/>
        <v>322.56</v>
      </c>
      <c r="W27" s="207">
        <v>0</v>
      </c>
      <c r="X27" s="207">
        <v>16283.4</v>
      </c>
      <c r="Y27" s="207">
        <v>0</v>
      </c>
      <c r="Z27" s="207">
        <v>0</v>
      </c>
      <c r="AA27" s="207">
        <v>8092.44</v>
      </c>
      <c r="AB27" s="207">
        <v>2806.2</v>
      </c>
      <c r="AC27" s="207"/>
      <c r="AD27" s="207"/>
      <c r="AE27" s="208">
        <v>99.99</v>
      </c>
      <c r="AF27" s="205">
        <f t="shared" si="23"/>
        <v>27282.030000000002</v>
      </c>
      <c r="AG27" s="212">
        <f t="shared" si="24"/>
        <v>27878.766000000003</v>
      </c>
      <c r="AH27" s="190">
        <f t="shared" si="25"/>
        <v>0</v>
      </c>
      <c r="AI27" s="190">
        <f t="shared" si="25"/>
        <v>0</v>
      </c>
      <c r="AJ27" s="191">
        <f>'[16]Т01'!$J$103+'[16]Т01'!$J$206</f>
        <v>521.45</v>
      </c>
      <c r="AK27" s="145">
        <f t="shared" si="26"/>
        <v>2469.955</v>
      </c>
      <c r="AL27" s="150">
        <f t="shared" si="27"/>
        <v>737.3000000000001</v>
      </c>
      <c r="AM27" s="150">
        <f t="shared" si="28"/>
        <v>3686.5</v>
      </c>
      <c r="AN27" s="150">
        <f t="shared" si="29"/>
        <v>774.165</v>
      </c>
      <c r="AO27" s="150">
        <f t="shared" si="30"/>
        <v>7446.7300000000005</v>
      </c>
      <c r="AP27" s="150">
        <f t="shared" si="31"/>
        <v>3797.0950000000003</v>
      </c>
      <c r="AQ27" s="150">
        <f t="shared" si="32"/>
        <v>2764.875</v>
      </c>
      <c r="AR27" s="150">
        <f t="shared" si="33"/>
        <v>2764.875</v>
      </c>
      <c r="AS27" s="220">
        <f>B27*1.15</f>
        <v>4239.474999999999</v>
      </c>
      <c r="AT27" s="192">
        <f t="shared" si="34"/>
        <v>401.67</v>
      </c>
      <c r="AU27" s="267">
        <v>18182</v>
      </c>
      <c r="AV27" s="193"/>
      <c r="AW27" s="193"/>
      <c r="AX27" s="193">
        <v>3383</v>
      </c>
      <c r="AY27" s="262"/>
      <c r="AZ27" s="262"/>
      <c r="BA27" s="117"/>
      <c r="BB27" s="192"/>
      <c r="BC27" s="143">
        <f t="shared" si="35"/>
        <v>50647.64</v>
      </c>
      <c r="BD27" s="194">
        <f>'[16]Т01'!$S$103+'[16]Т01'!$S$206</f>
        <v>257.89</v>
      </c>
      <c r="BE27" s="179">
        <f aca="true" t="shared" si="36" ref="BE27:BE37">BC27+BD27</f>
        <v>50905.53</v>
      </c>
      <c r="BF27" s="179">
        <f aca="true" t="shared" si="37" ref="BF27:BF37">AG27+AJ27-BE27</f>
        <v>-22505.313999999995</v>
      </c>
      <c r="BG27" s="279">
        <f aca="true" t="shared" si="38" ref="BG27:BG37">AF27-U27</f>
        <v>-4607.059999999998</v>
      </c>
    </row>
    <row r="28" spans="1:59" ht="12.75">
      <c r="A28" s="171" t="s">
        <v>47</v>
      </c>
      <c r="B28" s="142">
        <v>3686.5</v>
      </c>
      <c r="C28" s="128">
        <f t="shared" si="21"/>
        <v>31519.575000000004</v>
      </c>
      <c r="D28" s="221">
        <v>274.176</v>
      </c>
      <c r="E28" s="207"/>
      <c r="F28" s="207"/>
      <c r="G28" s="207">
        <v>19218.6</v>
      </c>
      <c r="H28" s="207">
        <v>217.14</v>
      </c>
      <c r="I28" s="207"/>
      <c r="J28" s="207"/>
      <c r="K28" s="207"/>
      <c r="L28" s="207"/>
      <c r="M28" s="207">
        <v>9332.68</v>
      </c>
      <c r="N28" s="207">
        <v>105.42</v>
      </c>
      <c r="O28" s="207">
        <v>3236.8</v>
      </c>
      <c r="P28" s="207">
        <v>0</v>
      </c>
      <c r="Q28" s="207"/>
      <c r="R28" s="207"/>
      <c r="S28" s="208">
        <v>100</v>
      </c>
      <c r="T28" s="224"/>
      <c r="U28" s="218">
        <f t="shared" si="22"/>
        <v>31888.079999999998</v>
      </c>
      <c r="V28" s="219">
        <f t="shared" si="22"/>
        <v>322.56</v>
      </c>
      <c r="W28" s="198">
        <v>0</v>
      </c>
      <c r="X28" s="198">
        <v>17846.32</v>
      </c>
      <c r="Y28" s="198">
        <v>0</v>
      </c>
      <c r="Z28" s="198">
        <v>0</v>
      </c>
      <c r="AA28" s="198">
        <v>7131.11</v>
      </c>
      <c r="AB28" s="198">
        <v>2473.3</v>
      </c>
      <c r="AC28" s="198"/>
      <c r="AD28" s="198"/>
      <c r="AE28" s="204">
        <v>0</v>
      </c>
      <c r="AF28" s="205">
        <f t="shared" si="23"/>
        <v>27450.73</v>
      </c>
      <c r="AG28" s="212">
        <f t="shared" si="24"/>
        <v>28047.466</v>
      </c>
      <c r="AH28" s="190">
        <f t="shared" si="25"/>
        <v>0</v>
      </c>
      <c r="AI28" s="190">
        <f t="shared" si="25"/>
        <v>0</v>
      </c>
      <c r="AJ28" s="191">
        <f>'[16]Т01'!$J$103+'[16]Т01'!$J$206</f>
        <v>521.45</v>
      </c>
      <c r="AK28" s="145">
        <f t="shared" si="26"/>
        <v>2469.955</v>
      </c>
      <c r="AL28" s="150">
        <f t="shared" si="27"/>
        <v>737.3000000000001</v>
      </c>
      <c r="AM28" s="150">
        <f t="shared" si="28"/>
        <v>3686.5</v>
      </c>
      <c r="AN28" s="150">
        <f t="shared" si="29"/>
        <v>774.165</v>
      </c>
      <c r="AO28" s="150">
        <f t="shared" si="30"/>
        <v>7446.7300000000005</v>
      </c>
      <c r="AP28" s="150">
        <f t="shared" si="31"/>
        <v>3797.0950000000003</v>
      </c>
      <c r="AQ28" s="150">
        <f t="shared" si="32"/>
        <v>2764.875</v>
      </c>
      <c r="AR28" s="150">
        <f t="shared" si="33"/>
        <v>2764.875</v>
      </c>
      <c r="AS28" s="220">
        <f>B28*1.15</f>
        <v>4239.474999999999</v>
      </c>
      <c r="AT28" s="192">
        <f t="shared" si="34"/>
        <v>401.67</v>
      </c>
      <c r="AU28" s="267">
        <v>2751</v>
      </c>
      <c r="AV28" s="193"/>
      <c r="AW28" s="193">
        <v>796</v>
      </c>
      <c r="AX28" s="193">
        <f>1007+91.12</f>
        <v>1098.12</v>
      </c>
      <c r="AY28" s="262"/>
      <c r="AZ28" s="262"/>
      <c r="BA28" s="117"/>
      <c r="BB28" s="192"/>
      <c r="BC28" s="206">
        <f t="shared" si="35"/>
        <v>33727.76</v>
      </c>
      <c r="BD28" s="194">
        <f>'[16]Т01'!$S$103+'[16]Т01'!$S$206</f>
        <v>257.89</v>
      </c>
      <c r="BE28" s="179">
        <f t="shared" si="36"/>
        <v>33985.65</v>
      </c>
      <c r="BF28" s="179">
        <f t="shared" si="37"/>
        <v>-5416.734</v>
      </c>
      <c r="BG28" s="279">
        <f t="shared" si="38"/>
        <v>-4437.3499999999985</v>
      </c>
    </row>
    <row r="29" spans="1:59" ht="12.75">
      <c r="A29" s="171" t="s">
        <v>48</v>
      </c>
      <c r="B29" s="142">
        <v>3686.5</v>
      </c>
      <c r="C29" s="128">
        <f t="shared" si="21"/>
        <v>31519.575000000004</v>
      </c>
      <c r="D29" s="221">
        <v>274.176</v>
      </c>
      <c r="E29" s="207"/>
      <c r="F29" s="207"/>
      <c r="G29" s="207">
        <v>19281.96</v>
      </c>
      <c r="H29" s="207">
        <v>217.14</v>
      </c>
      <c r="I29" s="207"/>
      <c r="J29" s="207"/>
      <c r="K29" s="207"/>
      <c r="L29" s="207"/>
      <c r="M29" s="207">
        <v>9363.81</v>
      </c>
      <c r="N29" s="207">
        <v>105.42</v>
      </c>
      <c r="O29" s="207">
        <v>3247.93</v>
      </c>
      <c r="P29" s="207">
        <v>0</v>
      </c>
      <c r="Q29" s="207"/>
      <c r="R29" s="207"/>
      <c r="S29" s="208">
        <v>100</v>
      </c>
      <c r="T29" s="224"/>
      <c r="U29" s="218">
        <f t="shared" si="22"/>
        <v>31993.699999999997</v>
      </c>
      <c r="V29" s="219">
        <f t="shared" si="22"/>
        <v>322.56</v>
      </c>
      <c r="W29" s="222">
        <v>0</v>
      </c>
      <c r="X29" s="222">
        <v>23238.16</v>
      </c>
      <c r="Y29" s="222">
        <v>0</v>
      </c>
      <c r="Z29" s="222">
        <v>0</v>
      </c>
      <c r="AA29" s="222">
        <v>8648.16</v>
      </c>
      <c r="AB29" s="222">
        <v>2999.95</v>
      </c>
      <c r="AC29" s="222"/>
      <c r="AD29" s="222"/>
      <c r="AE29" s="223">
        <v>99.93</v>
      </c>
      <c r="AF29" s="205">
        <f t="shared" si="23"/>
        <v>34986.2</v>
      </c>
      <c r="AG29" s="212">
        <f t="shared" si="24"/>
        <v>35582.935999999994</v>
      </c>
      <c r="AH29" s="190">
        <f t="shared" si="25"/>
        <v>0</v>
      </c>
      <c r="AI29" s="190">
        <f t="shared" si="25"/>
        <v>0</v>
      </c>
      <c r="AJ29" s="191">
        <f>'[16]Т01'!$J$103+'[16]Т01'!$J$206</f>
        <v>521.45</v>
      </c>
      <c r="AK29" s="145">
        <f t="shared" si="26"/>
        <v>2469.955</v>
      </c>
      <c r="AL29" s="150">
        <f t="shared" si="27"/>
        <v>737.3000000000001</v>
      </c>
      <c r="AM29" s="150">
        <f t="shared" si="28"/>
        <v>3686.5</v>
      </c>
      <c r="AN29" s="150">
        <f t="shared" si="29"/>
        <v>774.165</v>
      </c>
      <c r="AO29" s="150">
        <f t="shared" si="30"/>
        <v>7446.7300000000005</v>
      </c>
      <c r="AP29" s="150">
        <f t="shared" si="31"/>
        <v>3797.0950000000003</v>
      </c>
      <c r="AQ29" s="150">
        <f t="shared" si="32"/>
        <v>2764.875</v>
      </c>
      <c r="AR29" s="150">
        <f t="shared" si="33"/>
        <v>2764.875</v>
      </c>
      <c r="AS29" s="220"/>
      <c r="AT29" s="192">
        <f t="shared" si="34"/>
        <v>401.67</v>
      </c>
      <c r="AU29" s="267"/>
      <c r="AV29" s="193"/>
      <c r="AW29" s="193">
        <v>941</v>
      </c>
      <c r="AX29" s="193">
        <f>68.4+250+457.8</f>
        <v>776.2</v>
      </c>
      <c r="AY29" s="262"/>
      <c r="AZ29" s="262"/>
      <c r="BA29" s="117"/>
      <c r="BB29" s="192"/>
      <c r="BC29" s="206">
        <f t="shared" si="35"/>
        <v>26560.365</v>
      </c>
      <c r="BD29" s="194">
        <f>'[16]Т01'!$S$103+'[16]Т01'!$S$206</f>
        <v>257.89</v>
      </c>
      <c r="BE29" s="179">
        <f t="shared" si="36"/>
        <v>26818.255</v>
      </c>
      <c r="BF29" s="179">
        <f t="shared" si="37"/>
        <v>9286.13099999999</v>
      </c>
      <c r="BG29" s="279">
        <f t="shared" si="38"/>
        <v>2992.5</v>
      </c>
    </row>
    <row r="30" spans="1:59" ht="12.75">
      <c r="A30" s="171" t="s">
        <v>49</v>
      </c>
      <c r="B30" s="142">
        <v>3686.5</v>
      </c>
      <c r="C30" s="128">
        <f t="shared" si="21"/>
        <v>31519.575000000004</v>
      </c>
      <c r="D30" s="221">
        <v>274.176</v>
      </c>
      <c r="E30" s="207"/>
      <c r="F30" s="207"/>
      <c r="G30" s="207">
        <v>19253.3</v>
      </c>
      <c r="H30" s="207">
        <v>217.14</v>
      </c>
      <c r="I30" s="207"/>
      <c r="J30" s="207"/>
      <c r="K30" s="207"/>
      <c r="L30" s="207"/>
      <c r="M30" s="207">
        <v>9349.73</v>
      </c>
      <c r="N30" s="207">
        <v>105.42</v>
      </c>
      <c r="O30" s="207">
        <v>3242.89</v>
      </c>
      <c r="P30" s="207">
        <v>0</v>
      </c>
      <c r="Q30" s="207"/>
      <c r="R30" s="207"/>
      <c r="S30" s="208">
        <v>100</v>
      </c>
      <c r="T30" s="224"/>
      <c r="U30" s="218">
        <f t="shared" si="22"/>
        <v>31945.92</v>
      </c>
      <c r="V30" s="219">
        <f t="shared" si="22"/>
        <v>322.56</v>
      </c>
      <c r="W30" s="222">
        <v>0</v>
      </c>
      <c r="X30" s="222">
        <v>16713.16</v>
      </c>
      <c r="Y30" s="222">
        <v>0</v>
      </c>
      <c r="Z30" s="222">
        <v>0</v>
      </c>
      <c r="AA30" s="222">
        <v>7473.33</v>
      </c>
      <c r="AB30" s="222">
        <v>2592.21</v>
      </c>
      <c r="AC30" s="222"/>
      <c r="AD30" s="222"/>
      <c r="AE30" s="222">
        <v>100.01</v>
      </c>
      <c r="AF30" s="205">
        <f t="shared" si="23"/>
        <v>26878.709999999995</v>
      </c>
      <c r="AG30" s="212">
        <f t="shared" si="24"/>
        <v>27475.445999999996</v>
      </c>
      <c r="AH30" s="190">
        <f t="shared" si="25"/>
        <v>0</v>
      </c>
      <c r="AI30" s="190">
        <f t="shared" si="25"/>
        <v>0</v>
      </c>
      <c r="AJ30" s="191">
        <f>'[16]Т05'!$J$104+'[16]Т05'!$J$213</f>
        <v>521.45</v>
      </c>
      <c r="AK30" s="145">
        <f t="shared" si="26"/>
        <v>2469.955</v>
      </c>
      <c r="AL30" s="150">
        <f t="shared" si="27"/>
        <v>737.3000000000001</v>
      </c>
      <c r="AM30" s="150">
        <f t="shared" si="28"/>
        <v>3686.5</v>
      </c>
      <c r="AN30" s="150">
        <f t="shared" si="29"/>
        <v>774.165</v>
      </c>
      <c r="AO30" s="150">
        <f t="shared" si="30"/>
        <v>7446.7300000000005</v>
      </c>
      <c r="AP30" s="150">
        <f t="shared" si="31"/>
        <v>3797.0950000000003</v>
      </c>
      <c r="AQ30" s="150">
        <f t="shared" si="32"/>
        <v>2764.875</v>
      </c>
      <c r="AR30" s="150">
        <f t="shared" si="33"/>
        <v>2764.875</v>
      </c>
      <c r="AS30" s="220"/>
      <c r="AT30" s="192">
        <f t="shared" si="34"/>
        <v>401.67</v>
      </c>
      <c r="AU30" s="267"/>
      <c r="AV30" s="193"/>
      <c r="AW30" s="193"/>
      <c r="AX30" s="193">
        <f>17.1</f>
        <v>17.1</v>
      </c>
      <c r="AY30" s="262"/>
      <c r="AZ30" s="262"/>
      <c r="BA30" s="117"/>
      <c r="BB30" s="192"/>
      <c r="BC30" s="206">
        <f t="shared" si="35"/>
        <v>24860.265</v>
      </c>
      <c r="BD30" s="194">
        <f>'[16]Т05'!$S$104+'[16]Т05'!$S$213</f>
        <v>257.89</v>
      </c>
      <c r="BE30" s="179">
        <f t="shared" si="36"/>
        <v>25118.155</v>
      </c>
      <c r="BF30" s="179">
        <f t="shared" si="37"/>
        <v>2878.740999999998</v>
      </c>
      <c r="BG30" s="279">
        <f t="shared" si="38"/>
        <v>-5067.210000000003</v>
      </c>
    </row>
    <row r="31" spans="1:59" ht="12.75">
      <c r="A31" s="171" t="s">
        <v>50</v>
      </c>
      <c r="B31" s="142">
        <v>3686.5</v>
      </c>
      <c r="C31" s="128">
        <f t="shared" si="21"/>
        <v>31519.575000000004</v>
      </c>
      <c r="D31" s="221">
        <v>274.176</v>
      </c>
      <c r="E31" s="207"/>
      <c r="F31" s="207"/>
      <c r="G31" s="207">
        <v>19281.68</v>
      </c>
      <c r="H31" s="207">
        <v>217.14</v>
      </c>
      <c r="I31" s="207"/>
      <c r="J31" s="207"/>
      <c r="K31" s="207"/>
      <c r="L31" s="207"/>
      <c r="M31" s="207">
        <v>9363.66</v>
      </c>
      <c r="N31" s="207">
        <v>105.42</v>
      </c>
      <c r="O31" s="207">
        <v>3247.87</v>
      </c>
      <c r="P31" s="207">
        <v>0</v>
      </c>
      <c r="Q31" s="207"/>
      <c r="R31" s="207"/>
      <c r="S31" s="208">
        <v>100</v>
      </c>
      <c r="T31" s="224"/>
      <c r="U31" s="218">
        <f t="shared" si="22"/>
        <v>31993.21</v>
      </c>
      <c r="V31" s="219">
        <f t="shared" si="22"/>
        <v>322.56</v>
      </c>
      <c r="W31" s="222"/>
      <c r="X31" s="268">
        <v>17883.18</v>
      </c>
      <c r="Y31" s="222"/>
      <c r="Z31" s="222"/>
      <c r="AA31" s="268">
        <v>8392.55</v>
      </c>
      <c r="AB31" s="268">
        <v>2911.08</v>
      </c>
      <c r="AC31" s="222"/>
      <c r="AD31" s="268"/>
      <c r="AE31" s="269">
        <v>100.01</v>
      </c>
      <c r="AF31" s="205">
        <f t="shared" si="23"/>
        <v>29286.819999999996</v>
      </c>
      <c r="AG31" s="212">
        <f t="shared" si="24"/>
        <v>29883.555999999997</v>
      </c>
      <c r="AH31" s="190">
        <f t="shared" si="25"/>
        <v>0</v>
      </c>
      <c r="AI31" s="190">
        <f t="shared" si="25"/>
        <v>0</v>
      </c>
      <c r="AJ31" s="191">
        <f>'[16]Т06'!$J$104+'[16]Т06'!$J$244</f>
        <v>521.45</v>
      </c>
      <c r="AK31" s="145">
        <f t="shared" si="26"/>
        <v>2469.955</v>
      </c>
      <c r="AL31" s="150">
        <f t="shared" si="27"/>
        <v>737.3000000000001</v>
      </c>
      <c r="AM31" s="150">
        <f t="shared" si="28"/>
        <v>3686.5</v>
      </c>
      <c r="AN31" s="150">
        <f t="shared" si="29"/>
        <v>774.165</v>
      </c>
      <c r="AO31" s="150">
        <f t="shared" si="30"/>
        <v>7446.7300000000005</v>
      </c>
      <c r="AP31" s="150">
        <f t="shared" si="31"/>
        <v>3797.0950000000003</v>
      </c>
      <c r="AQ31" s="150">
        <f t="shared" si="32"/>
        <v>2764.875</v>
      </c>
      <c r="AR31" s="150">
        <f t="shared" si="33"/>
        <v>2764.875</v>
      </c>
      <c r="AS31" s="220"/>
      <c r="AT31" s="192">
        <f t="shared" si="34"/>
        <v>401.67</v>
      </c>
      <c r="AU31" s="267">
        <v>3309</v>
      </c>
      <c r="AV31" s="193"/>
      <c r="AW31" s="193"/>
      <c r="AX31" s="193">
        <f>28+30711.43+299.35</f>
        <v>31038.78</v>
      </c>
      <c r="AY31" s="262"/>
      <c r="AZ31" s="262"/>
      <c r="BA31" s="117"/>
      <c r="BB31" s="192"/>
      <c r="BC31" s="206">
        <f t="shared" si="35"/>
        <v>59190.945</v>
      </c>
      <c r="BD31" s="194">
        <f>'[16]Т06'!$S$104+'[16]Т06'!$S$244</f>
        <v>257.89</v>
      </c>
      <c r="BE31" s="179">
        <f t="shared" si="36"/>
        <v>59448.835</v>
      </c>
      <c r="BF31" s="179">
        <f t="shared" si="37"/>
        <v>-29043.829</v>
      </c>
      <c r="BG31" s="279">
        <f t="shared" si="38"/>
        <v>-2706.390000000003</v>
      </c>
    </row>
    <row r="32" spans="1:59" ht="12.75">
      <c r="A32" s="171" t="s">
        <v>51</v>
      </c>
      <c r="B32" s="142">
        <v>3686.5</v>
      </c>
      <c r="C32" s="128">
        <f aca="true" t="shared" si="39" ref="C32:C37">B32*9.51</f>
        <v>35058.615</v>
      </c>
      <c r="D32" s="221">
        <v>366.91200000000003</v>
      </c>
      <c r="E32" s="207"/>
      <c r="F32" s="207"/>
      <c r="G32" s="207">
        <v>35484.84</v>
      </c>
      <c r="H32" s="207">
        <v>399.42</v>
      </c>
      <c r="I32" s="207"/>
      <c r="J32" s="207"/>
      <c r="K32" s="207"/>
      <c r="L32" s="207"/>
      <c r="M32" s="207"/>
      <c r="N32" s="207"/>
      <c r="O32" s="207"/>
      <c r="P32" s="207">
        <v>0</v>
      </c>
      <c r="Q32" s="207"/>
      <c r="R32" s="207"/>
      <c r="S32" s="208">
        <v>100</v>
      </c>
      <c r="T32" s="224"/>
      <c r="U32" s="218">
        <f aca="true" t="shared" si="40" ref="U32:V37">G32+M32+O32+Q32+S32</f>
        <v>35584.84</v>
      </c>
      <c r="V32" s="270">
        <f t="shared" si="40"/>
        <v>399.42</v>
      </c>
      <c r="W32" s="222"/>
      <c r="X32" s="198">
        <v>21347.79</v>
      </c>
      <c r="Y32" s="222"/>
      <c r="Z32" s="222"/>
      <c r="AA32" s="198">
        <v>9758.08</v>
      </c>
      <c r="AB32" s="198">
        <v>3384.47</v>
      </c>
      <c r="AC32" s="222"/>
      <c r="AD32" s="198"/>
      <c r="AE32" s="204">
        <v>99.98</v>
      </c>
      <c r="AF32" s="205">
        <f aca="true" t="shared" si="41" ref="AF32:AF37">SUM(X32:AE32)</f>
        <v>34590.32000000001</v>
      </c>
      <c r="AG32" s="212">
        <f t="shared" si="24"/>
        <v>35356.65200000001</v>
      </c>
      <c r="AH32" s="271">
        <v>0</v>
      </c>
      <c r="AI32" s="190">
        <f t="shared" si="25"/>
        <v>0</v>
      </c>
      <c r="AJ32" s="191">
        <f>'[16]Т07'!$J$106+'[16]Т07'!$J$246</f>
        <v>521.45</v>
      </c>
      <c r="AK32" s="150">
        <f aca="true" t="shared" si="42" ref="AK32:AK37">0.75*B32</f>
        <v>2764.875</v>
      </c>
      <c r="AL32" s="150">
        <f t="shared" si="27"/>
        <v>737.3000000000001</v>
      </c>
      <c r="AM32" s="150">
        <f t="shared" si="28"/>
        <v>3686.5</v>
      </c>
      <c r="AN32" s="150">
        <f t="shared" si="29"/>
        <v>774.165</v>
      </c>
      <c r="AO32" s="150">
        <f t="shared" si="30"/>
        <v>7446.7300000000005</v>
      </c>
      <c r="AP32" s="150">
        <f t="shared" si="31"/>
        <v>3797.0950000000003</v>
      </c>
      <c r="AQ32" s="150">
        <f t="shared" si="32"/>
        <v>2764.875</v>
      </c>
      <c r="AR32" s="150">
        <f t="shared" si="33"/>
        <v>2764.875</v>
      </c>
      <c r="AS32" s="220"/>
      <c r="AT32" s="192">
        <f t="shared" si="34"/>
        <v>401.67</v>
      </c>
      <c r="AU32" s="267">
        <v>1997</v>
      </c>
      <c r="AV32" s="193"/>
      <c r="AW32" s="193"/>
      <c r="AX32" s="193">
        <f>100+400+400+450+1500+800+58.31+2798+724</f>
        <v>7230.3099999999995</v>
      </c>
      <c r="AY32" s="262"/>
      <c r="AZ32" s="262"/>
      <c r="BA32" s="117"/>
      <c r="BB32" s="192"/>
      <c r="BC32" s="206">
        <f t="shared" si="35"/>
        <v>34365.395</v>
      </c>
      <c r="BD32" s="194">
        <f>'[16]Т07'!$S$106+'[16]Т07'!$S$246</f>
        <v>257.89</v>
      </c>
      <c r="BE32" s="179">
        <f t="shared" si="36"/>
        <v>34623.284999999996</v>
      </c>
      <c r="BF32" s="179">
        <f t="shared" si="37"/>
        <v>1254.81700000001</v>
      </c>
      <c r="BG32" s="279">
        <f t="shared" si="38"/>
        <v>-994.5199999999895</v>
      </c>
    </row>
    <row r="33" spans="1:59" ht="12.75">
      <c r="A33" s="171" t="s">
        <v>52</v>
      </c>
      <c r="B33" s="142">
        <v>3686.5</v>
      </c>
      <c r="C33" s="128">
        <f t="shared" si="39"/>
        <v>35058.615</v>
      </c>
      <c r="D33" s="221"/>
      <c r="E33" s="207"/>
      <c r="F33" s="207"/>
      <c r="G33" s="207">
        <v>35484.87</v>
      </c>
      <c r="H33" s="207">
        <v>399.42</v>
      </c>
      <c r="I33" s="207"/>
      <c r="J33" s="207"/>
      <c r="K33" s="207"/>
      <c r="L33" s="207"/>
      <c r="M33" s="207"/>
      <c r="N33" s="207"/>
      <c r="O33" s="207"/>
      <c r="P33" s="207">
        <v>0</v>
      </c>
      <c r="Q33" s="207"/>
      <c r="R33" s="207"/>
      <c r="S33" s="208">
        <v>100</v>
      </c>
      <c r="T33" s="224"/>
      <c r="U33" s="218">
        <f t="shared" si="40"/>
        <v>35584.87</v>
      </c>
      <c r="V33" s="270">
        <f t="shared" si="40"/>
        <v>399.42</v>
      </c>
      <c r="W33" s="222"/>
      <c r="X33" s="198">
        <v>29587.91</v>
      </c>
      <c r="Y33" s="222"/>
      <c r="Z33" s="222"/>
      <c r="AA33" s="198">
        <v>2046.54</v>
      </c>
      <c r="AB33" s="198">
        <v>710.02</v>
      </c>
      <c r="AC33" s="222"/>
      <c r="AD33" s="198"/>
      <c r="AE33" s="204"/>
      <c r="AF33" s="205">
        <f t="shared" si="41"/>
        <v>32344.47</v>
      </c>
      <c r="AG33" s="212">
        <f t="shared" si="24"/>
        <v>32743.89</v>
      </c>
      <c r="AH33" s="271">
        <v>0</v>
      </c>
      <c r="AI33" s="190">
        <f t="shared" si="25"/>
        <v>0</v>
      </c>
      <c r="AJ33" s="191">
        <f>'[16]Т08'!$J$106+'[16]Т08'!$J$246+'[16]Т08'!$J$305</f>
        <v>2321.45</v>
      </c>
      <c r="AK33" s="150">
        <f t="shared" si="42"/>
        <v>2764.875</v>
      </c>
      <c r="AL33" s="150">
        <f t="shared" si="27"/>
        <v>737.3000000000001</v>
      </c>
      <c r="AM33" s="150">
        <f t="shared" si="28"/>
        <v>3686.5</v>
      </c>
      <c r="AN33" s="150">
        <f t="shared" si="29"/>
        <v>774.165</v>
      </c>
      <c r="AO33" s="150">
        <f t="shared" si="30"/>
        <v>7446.7300000000005</v>
      </c>
      <c r="AP33" s="150">
        <f t="shared" si="31"/>
        <v>3797.0950000000003</v>
      </c>
      <c r="AQ33" s="150">
        <f t="shared" si="32"/>
        <v>2764.875</v>
      </c>
      <c r="AR33" s="150">
        <f t="shared" si="33"/>
        <v>2764.875</v>
      </c>
      <c r="AS33" s="220"/>
      <c r="AT33" s="192">
        <f t="shared" si="34"/>
        <v>401.67</v>
      </c>
      <c r="AU33" s="267">
        <v>4143</v>
      </c>
      <c r="AV33" s="193"/>
      <c r="AW33" s="193"/>
      <c r="AX33" s="193">
        <f>579+98.12+6500+168</f>
        <v>7345.12</v>
      </c>
      <c r="AY33" s="262"/>
      <c r="AZ33" s="262"/>
      <c r="BA33" s="117"/>
      <c r="BB33" s="192"/>
      <c r="BC33" s="206">
        <f t="shared" si="35"/>
        <v>36626.205</v>
      </c>
      <c r="BD33" s="194">
        <f>'[16]Т08'!$S$106+'[16]Т08'!$S$246+'[16]Т08'!$S$305</f>
        <v>707.89</v>
      </c>
      <c r="BE33" s="179">
        <f t="shared" si="36"/>
        <v>37334.095</v>
      </c>
      <c r="BF33" s="179">
        <f t="shared" si="37"/>
        <v>-2268.7550000000047</v>
      </c>
      <c r="BG33" s="279">
        <f t="shared" si="38"/>
        <v>-3240.4000000000015</v>
      </c>
    </row>
    <row r="34" spans="1:59" ht="12.75">
      <c r="A34" s="171" t="s">
        <v>53</v>
      </c>
      <c r="B34" s="142">
        <v>3686.5</v>
      </c>
      <c r="C34" s="128">
        <f t="shared" si="39"/>
        <v>35058.615</v>
      </c>
      <c r="D34" s="221"/>
      <c r="E34" s="207"/>
      <c r="F34" s="207"/>
      <c r="G34" s="207">
        <v>35474.27</v>
      </c>
      <c r="H34" s="207">
        <v>399.42</v>
      </c>
      <c r="I34" s="207"/>
      <c r="J34" s="207"/>
      <c r="K34" s="207"/>
      <c r="L34" s="207"/>
      <c r="M34" s="207"/>
      <c r="N34" s="207"/>
      <c r="O34" s="207"/>
      <c r="P34" s="207">
        <v>0</v>
      </c>
      <c r="Q34" s="207"/>
      <c r="R34" s="207"/>
      <c r="S34" s="208">
        <v>100</v>
      </c>
      <c r="T34" s="224"/>
      <c r="U34" s="218">
        <f t="shared" si="40"/>
        <v>35574.27</v>
      </c>
      <c r="V34" s="270">
        <f t="shared" si="40"/>
        <v>399.42</v>
      </c>
      <c r="W34" s="222"/>
      <c r="X34" s="198">
        <v>27828.65</v>
      </c>
      <c r="Y34" s="222"/>
      <c r="Z34" s="222"/>
      <c r="AA34" s="198">
        <v>578.49</v>
      </c>
      <c r="AB34" s="198">
        <v>200.49</v>
      </c>
      <c r="AC34" s="222"/>
      <c r="AD34" s="198"/>
      <c r="AE34" s="204">
        <v>200.05</v>
      </c>
      <c r="AF34" s="205">
        <f t="shared" si="41"/>
        <v>28807.680000000004</v>
      </c>
      <c r="AG34" s="212">
        <f t="shared" si="24"/>
        <v>29207.100000000002</v>
      </c>
      <c r="AH34" s="271">
        <v>0</v>
      </c>
      <c r="AI34" s="190">
        <f t="shared" si="25"/>
        <v>0</v>
      </c>
      <c r="AJ34" s="191">
        <f>'[16]Т09'!$J$106+'[16]Т09'!$J$246+'[16]Т09'!$J$305</f>
        <v>1121.45</v>
      </c>
      <c r="AK34" s="150">
        <f t="shared" si="42"/>
        <v>2764.875</v>
      </c>
      <c r="AL34" s="150">
        <f t="shared" si="27"/>
        <v>737.3000000000001</v>
      </c>
      <c r="AM34" s="150">
        <f t="shared" si="28"/>
        <v>3686.5</v>
      </c>
      <c r="AN34" s="150">
        <f t="shared" si="29"/>
        <v>774.165</v>
      </c>
      <c r="AO34" s="150">
        <f t="shared" si="30"/>
        <v>7446.7300000000005</v>
      </c>
      <c r="AP34" s="150">
        <f t="shared" si="31"/>
        <v>3797.0950000000003</v>
      </c>
      <c r="AQ34" s="150">
        <f t="shared" si="32"/>
        <v>2764.875</v>
      </c>
      <c r="AR34" s="150">
        <f t="shared" si="33"/>
        <v>2764.875</v>
      </c>
      <c r="AS34" s="220"/>
      <c r="AT34" s="192">
        <f t="shared" si="34"/>
        <v>401.67</v>
      </c>
      <c r="AU34" s="267">
        <v>3038</v>
      </c>
      <c r="AV34" s="193"/>
      <c r="AW34" s="193"/>
      <c r="AX34" s="193">
        <f>483+6500</f>
        <v>6983</v>
      </c>
      <c r="AY34" s="262"/>
      <c r="AZ34" s="262"/>
      <c r="BA34" s="117"/>
      <c r="BB34" s="192"/>
      <c r="BC34" s="206">
        <f t="shared" si="35"/>
        <v>35159.085</v>
      </c>
      <c r="BD34" s="194">
        <f>'[16]Т09'!$S$106+'[16]Т09'!$S$246+'[16]Т09'!$S$305</f>
        <v>407.89</v>
      </c>
      <c r="BE34" s="179">
        <f t="shared" si="36"/>
        <v>35566.975</v>
      </c>
      <c r="BF34" s="179">
        <f t="shared" si="37"/>
        <v>-5238.424999999996</v>
      </c>
      <c r="BG34" s="279">
        <f t="shared" si="38"/>
        <v>-6766.589999999993</v>
      </c>
    </row>
    <row r="35" spans="1:59" ht="12.75">
      <c r="A35" s="171" t="s">
        <v>41</v>
      </c>
      <c r="B35" s="142">
        <v>3686.5</v>
      </c>
      <c r="C35" s="128">
        <f t="shared" si="39"/>
        <v>35058.615</v>
      </c>
      <c r="D35" s="221"/>
      <c r="E35" s="207"/>
      <c r="F35" s="207"/>
      <c r="G35" s="207">
        <v>35454.51</v>
      </c>
      <c r="H35" s="207">
        <v>399.42</v>
      </c>
      <c r="I35" s="207"/>
      <c r="J35" s="207"/>
      <c r="K35" s="207"/>
      <c r="L35" s="207"/>
      <c r="M35" s="207"/>
      <c r="N35" s="207"/>
      <c r="O35" s="207"/>
      <c r="P35" s="207">
        <v>0</v>
      </c>
      <c r="Q35" s="207"/>
      <c r="R35" s="207"/>
      <c r="S35" s="208">
        <v>100</v>
      </c>
      <c r="T35" s="224"/>
      <c r="U35" s="218">
        <f t="shared" si="40"/>
        <v>35554.51</v>
      </c>
      <c r="V35" s="270">
        <f t="shared" si="40"/>
        <v>399.42</v>
      </c>
      <c r="W35" s="222"/>
      <c r="X35" s="198">
        <v>40198.23</v>
      </c>
      <c r="Y35" s="222"/>
      <c r="Z35" s="222"/>
      <c r="AA35" s="198">
        <v>433.9</v>
      </c>
      <c r="AB35" s="198">
        <v>150.43</v>
      </c>
      <c r="AC35" s="222"/>
      <c r="AD35" s="198"/>
      <c r="AE35" s="204">
        <v>99.98</v>
      </c>
      <c r="AF35" s="205">
        <f t="shared" si="41"/>
        <v>40882.54000000001</v>
      </c>
      <c r="AG35" s="212">
        <f t="shared" si="24"/>
        <v>41281.96000000001</v>
      </c>
      <c r="AH35" s="271">
        <v>0</v>
      </c>
      <c r="AI35" s="190">
        <f t="shared" si="25"/>
        <v>0</v>
      </c>
      <c r="AJ35" s="191">
        <f>'[16]Т10'!$J$105+'[16]Т10'!$J$245+'[16]Т10'!$J$304</f>
        <v>1121.45</v>
      </c>
      <c r="AK35" s="150">
        <f t="shared" si="42"/>
        <v>2764.875</v>
      </c>
      <c r="AL35" s="150">
        <f t="shared" si="27"/>
        <v>737.3000000000001</v>
      </c>
      <c r="AM35" s="150">
        <f t="shared" si="28"/>
        <v>3686.5</v>
      </c>
      <c r="AN35" s="150">
        <f t="shared" si="29"/>
        <v>774.165</v>
      </c>
      <c r="AO35" s="150">
        <f t="shared" si="30"/>
        <v>7446.7300000000005</v>
      </c>
      <c r="AP35" s="150">
        <f t="shared" si="31"/>
        <v>3797.0950000000003</v>
      </c>
      <c r="AQ35" s="150">
        <f t="shared" si="32"/>
        <v>2764.875</v>
      </c>
      <c r="AR35" s="150">
        <f t="shared" si="33"/>
        <v>2764.875</v>
      </c>
      <c r="AS35" s="220">
        <f>B35*1.15</f>
        <v>4239.474999999999</v>
      </c>
      <c r="AT35" s="192">
        <f t="shared" si="34"/>
        <v>401.67</v>
      </c>
      <c r="AU35" s="272">
        <v>4803</v>
      </c>
      <c r="AV35" s="193"/>
      <c r="AW35" s="193">
        <f>359+1032</f>
        <v>1391</v>
      </c>
      <c r="AX35" s="193">
        <f>659+1110.19+135.3+35+51.3+18+265</f>
        <v>2273.79</v>
      </c>
      <c r="AY35" s="262"/>
      <c r="AZ35" s="262"/>
      <c r="BA35" s="117"/>
      <c r="BB35" s="192"/>
      <c r="BC35" s="206">
        <f t="shared" si="35"/>
        <v>37845.35</v>
      </c>
      <c r="BD35" s="194">
        <f>'[16]Т10'!$S$105+'[16]Т10'!$S$245+'[16]Т10'!$S$304</f>
        <v>407.89</v>
      </c>
      <c r="BE35" s="179">
        <f t="shared" si="36"/>
        <v>38253.24</v>
      </c>
      <c r="BF35" s="179">
        <f t="shared" si="37"/>
        <v>4150.1700000000055</v>
      </c>
      <c r="BG35" s="279">
        <f t="shared" si="38"/>
        <v>5328.030000000006</v>
      </c>
    </row>
    <row r="36" spans="1:59" ht="12.75">
      <c r="A36" s="171" t="s">
        <v>42</v>
      </c>
      <c r="B36" s="273">
        <v>3686.5</v>
      </c>
      <c r="C36" s="128">
        <f t="shared" si="39"/>
        <v>35058.615</v>
      </c>
      <c r="D36" s="221"/>
      <c r="E36" s="207"/>
      <c r="F36" s="207"/>
      <c r="G36" s="198">
        <v>35437.06</v>
      </c>
      <c r="H36" s="198">
        <v>399.42</v>
      </c>
      <c r="I36" s="207"/>
      <c r="J36" s="207"/>
      <c r="K36" s="207"/>
      <c r="L36" s="207"/>
      <c r="M36" s="198"/>
      <c r="N36" s="198"/>
      <c r="O36" s="198"/>
      <c r="P36" s="198">
        <v>0</v>
      </c>
      <c r="Q36" s="198"/>
      <c r="R36" s="198"/>
      <c r="S36" s="204">
        <v>100</v>
      </c>
      <c r="T36" s="224"/>
      <c r="U36" s="218">
        <f t="shared" si="40"/>
        <v>35537.06</v>
      </c>
      <c r="V36" s="270">
        <f t="shared" si="40"/>
        <v>399.42</v>
      </c>
      <c r="W36" s="222"/>
      <c r="X36" s="198">
        <v>37371.34</v>
      </c>
      <c r="Y36" s="222"/>
      <c r="Z36" s="222"/>
      <c r="AA36" s="198">
        <v>673.64</v>
      </c>
      <c r="AB36" s="198">
        <v>233.54</v>
      </c>
      <c r="AC36" s="222"/>
      <c r="AD36" s="198"/>
      <c r="AE36" s="204">
        <v>99.98</v>
      </c>
      <c r="AF36" s="205">
        <f t="shared" si="41"/>
        <v>38378.5</v>
      </c>
      <c r="AG36" s="212">
        <f t="shared" si="24"/>
        <v>38777.92</v>
      </c>
      <c r="AH36" s="271">
        <v>0</v>
      </c>
      <c r="AI36" s="190">
        <f t="shared" si="25"/>
        <v>0</v>
      </c>
      <c r="AJ36" s="191">
        <f>'[16]Т11'!$J$105+'[16]Т11'!$J$247+'[16]Т11'!$J$306</f>
        <v>1121.45</v>
      </c>
      <c r="AK36" s="150">
        <f t="shared" si="42"/>
        <v>2764.875</v>
      </c>
      <c r="AL36" s="150">
        <f t="shared" si="27"/>
        <v>737.3000000000001</v>
      </c>
      <c r="AM36" s="150">
        <f t="shared" si="28"/>
        <v>3686.5</v>
      </c>
      <c r="AN36" s="150">
        <f t="shared" si="29"/>
        <v>774.165</v>
      </c>
      <c r="AO36" s="150">
        <f t="shared" si="30"/>
        <v>7446.7300000000005</v>
      </c>
      <c r="AP36" s="150">
        <f t="shared" si="31"/>
        <v>3797.0950000000003</v>
      </c>
      <c r="AQ36" s="150">
        <f t="shared" si="32"/>
        <v>2764.875</v>
      </c>
      <c r="AR36" s="150">
        <f t="shared" si="33"/>
        <v>2764.875</v>
      </c>
      <c r="AS36" s="220">
        <f>B36*1.15</f>
        <v>4239.474999999999</v>
      </c>
      <c r="AT36" s="192">
        <f t="shared" si="34"/>
        <v>401.67</v>
      </c>
      <c r="AU36" s="267">
        <v>2961</v>
      </c>
      <c r="AV36" s="193"/>
      <c r="AW36" s="193"/>
      <c r="AX36" s="193">
        <f>600</f>
        <v>600</v>
      </c>
      <c r="AY36" s="262"/>
      <c r="AZ36" s="262"/>
      <c r="BA36" s="117"/>
      <c r="BB36" s="192"/>
      <c r="BC36" s="206">
        <f t="shared" si="35"/>
        <v>32938.56</v>
      </c>
      <c r="BD36" s="194">
        <f>'[16]Т11'!$S$105+'[16]Т11'!$S$247+'[16]Т11'!$S$306</f>
        <v>407.89</v>
      </c>
      <c r="BE36" s="179">
        <f t="shared" si="36"/>
        <v>33346.45</v>
      </c>
      <c r="BF36" s="179">
        <f t="shared" si="37"/>
        <v>6552.919999999998</v>
      </c>
      <c r="BG36" s="279">
        <f t="shared" si="38"/>
        <v>2841.4400000000023</v>
      </c>
    </row>
    <row r="37" spans="1:59" ht="13.5" thickBot="1">
      <c r="A37" s="280" t="s">
        <v>43</v>
      </c>
      <c r="B37" s="281">
        <v>3686.5</v>
      </c>
      <c r="C37" s="282">
        <f t="shared" si="39"/>
        <v>35058.615</v>
      </c>
      <c r="D37" s="283"/>
      <c r="E37" s="284"/>
      <c r="F37" s="284"/>
      <c r="G37" s="284">
        <v>35449.14</v>
      </c>
      <c r="H37" s="284">
        <v>399.42</v>
      </c>
      <c r="I37" s="284"/>
      <c r="J37" s="284"/>
      <c r="K37" s="284"/>
      <c r="L37" s="284"/>
      <c r="M37" s="284"/>
      <c r="N37" s="284"/>
      <c r="O37" s="284"/>
      <c r="P37" s="284">
        <v>0</v>
      </c>
      <c r="Q37" s="284"/>
      <c r="R37" s="284"/>
      <c r="S37" s="285">
        <v>100</v>
      </c>
      <c r="T37" s="286"/>
      <c r="U37" s="287">
        <f t="shared" si="40"/>
        <v>35549.14</v>
      </c>
      <c r="V37" s="288">
        <f t="shared" si="40"/>
        <v>399.42</v>
      </c>
      <c r="W37" s="289"/>
      <c r="X37" s="284">
        <v>34331.95</v>
      </c>
      <c r="Y37" s="284"/>
      <c r="Z37" s="284"/>
      <c r="AA37" s="284">
        <v>434.17</v>
      </c>
      <c r="AB37" s="284">
        <v>131.72</v>
      </c>
      <c r="AC37" s="284"/>
      <c r="AD37" s="284"/>
      <c r="AE37" s="285">
        <v>100.01</v>
      </c>
      <c r="AF37" s="290">
        <f t="shared" si="41"/>
        <v>34997.85</v>
      </c>
      <c r="AG37" s="291">
        <f t="shared" si="24"/>
        <v>35397.27</v>
      </c>
      <c r="AH37" s="292">
        <v>0</v>
      </c>
      <c r="AI37" s="293">
        <f t="shared" si="25"/>
        <v>0</v>
      </c>
      <c r="AJ37" s="294">
        <f>'[16]Т12'!$J$105+'[16]Т12'!$J$249+'[16]Т12'!$J$308</f>
        <v>1121.45</v>
      </c>
      <c r="AK37" s="295">
        <f t="shared" si="42"/>
        <v>2764.875</v>
      </c>
      <c r="AL37" s="295">
        <f t="shared" si="27"/>
        <v>737.3000000000001</v>
      </c>
      <c r="AM37" s="295">
        <f t="shared" si="28"/>
        <v>3686.5</v>
      </c>
      <c r="AN37" s="295">
        <f t="shared" si="29"/>
        <v>774.165</v>
      </c>
      <c r="AO37" s="295">
        <f t="shared" si="30"/>
        <v>7446.7300000000005</v>
      </c>
      <c r="AP37" s="295">
        <f t="shared" si="31"/>
        <v>3797.0950000000003</v>
      </c>
      <c r="AQ37" s="295">
        <f t="shared" si="32"/>
        <v>2764.875</v>
      </c>
      <c r="AR37" s="295">
        <f t="shared" si="33"/>
        <v>2764.875</v>
      </c>
      <c r="AS37" s="296">
        <f>B37*1.15</f>
        <v>4239.474999999999</v>
      </c>
      <c r="AT37" s="297">
        <f t="shared" si="34"/>
        <v>401.67</v>
      </c>
      <c r="AU37" s="298">
        <v>6773</v>
      </c>
      <c r="AV37" s="299">
        <v>1390</v>
      </c>
      <c r="AW37" s="299"/>
      <c r="AX37" s="299">
        <f>1033</f>
        <v>1033</v>
      </c>
      <c r="AY37" s="300"/>
      <c r="AZ37" s="300"/>
      <c r="BA37" s="301"/>
      <c r="BB37" s="297"/>
      <c r="BC37" s="302">
        <f t="shared" si="35"/>
        <v>38573.56</v>
      </c>
      <c r="BD37" s="303">
        <f>'[16]Т12'!$S$105+'[16]Т12'!$S$249+'[16]Т12'!$S$308</f>
        <v>407.89</v>
      </c>
      <c r="BE37" s="304">
        <f t="shared" si="36"/>
        <v>38981.45</v>
      </c>
      <c r="BF37" s="304">
        <f t="shared" si="37"/>
        <v>-2462.730000000003</v>
      </c>
      <c r="BG37" s="305">
        <f t="shared" si="38"/>
        <v>-551.2900000000009</v>
      </c>
    </row>
    <row r="38" spans="1:59" s="20" customFormat="1" ht="13.5" thickBot="1">
      <c r="A38" s="225" t="s">
        <v>5</v>
      </c>
      <c r="B38" s="226"/>
      <c r="C38" s="227">
        <f aca="true" t="shared" si="43" ref="C38:BE38">SUM(C26:C37)</f>
        <v>399469.14</v>
      </c>
      <c r="D38" s="227">
        <f t="shared" si="43"/>
        <v>2011.9679999999998</v>
      </c>
      <c r="E38" s="227">
        <f t="shared" si="43"/>
        <v>0</v>
      </c>
      <c r="F38" s="227">
        <f t="shared" si="43"/>
        <v>0</v>
      </c>
      <c r="G38" s="227">
        <f t="shared" si="43"/>
        <v>328250.16000000003</v>
      </c>
      <c r="H38" s="227">
        <f t="shared" si="43"/>
        <v>3699.36</v>
      </c>
      <c r="I38" s="227">
        <f t="shared" si="43"/>
        <v>0</v>
      </c>
      <c r="J38" s="227">
        <f t="shared" si="43"/>
        <v>0</v>
      </c>
      <c r="K38" s="227">
        <f t="shared" si="43"/>
        <v>0</v>
      </c>
      <c r="L38" s="227">
        <f t="shared" si="43"/>
        <v>0</v>
      </c>
      <c r="M38" s="227">
        <f t="shared" si="43"/>
        <v>56071.649999999994</v>
      </c>
      <c r="N38" s="227">
        <f t="shared" si="43"/>
        <v>632.52</v>
      </c>
      <c r="O38" s="227">
        <f t="shared" si="43"/>
        <v>19447.809999999998</v>
      </c>
      <c r="P38" s="227">
        <f t="shared" si="43"/>
        <v>0</v>
      </c>
      <c r="Q38" s="227">
        <f t="shared" si="43"/>
        <v>0</v>
      </c>
      <c r="R38" s="227">
        <f t="shared" si="43"/>
        <v>0</v>
      </c>
      <c r="S38" s="227">
        <f t="shared" si="43"/>
        <v>1200</v>
      </c>
      <c r="T38" s="227">
        <f t="shared" si="43"/>
        <v>0</v>
      </c>
      <c r="U38" s="227">
        <f t="shared" si="43"/>
        <v>404969.62000000005</v>
      </c>
      <c r="V38" s="227">
        <f t="shared" si="43"/>
        <v>4331.88</v>
      </c>
      <c r="W38" s="227">
        <f t="shared" si="43"/>
        <v>0</v>
      </c>
      <c r="X38" s="227">
        <f t="shared" si="43"/>
        <v>298661.82</v>
      </c>
      <c r="Y38" s="227">
        <f t="shared" si="43"/>
        <v>0</v>
      </c>
      <c r="Z38" s="227">
        <f t="shared" si="43"/>
        <v>0</v>
      </c>
      <c r="AA38" s="227">
        <f t="shared" si="43"/>
        <v>61447.49999999999</v>
      </c>
      <c r="AB38" s="227">
        <f t="shared" si="43"/>
        <v>21293.58</v>
      </c>
      <c r="AC38" s="227">
        <f t="shared" si="43"/>
        <v>0</v>
      </c>
      <c r="AD38" s="227">
        <f t="shared" si="43"/>
        <v>0</v>
      </c>
      <c r="AE38" s="227">
        <f t="shared" si="43"/>
        <v>1099.95</v>
      </c>
      <c r="AF38" s="227">
        <f t="shared" si="43"/>
        <v>382502.85</v>
      </c>
      <c r="AG38" s="227">
        <f t="shared" si="43"/>
        <v>388846.698</v>
      </c>
      <c r="AH38" s="227">
        <f t="shared" si="43"/>
        <v>0</v>
      </c>
      <c r="AI38" s="227">
        <f t="shared" si="43"/>
        <v>0</v>
      </c>
      <c r="AJ38" s="227">
        <f t="shared" si="43"/>
        <v>10457.400000000001</v>
      </c>
      <c r="AK38" s="227">
        <f t="shared" si="43"/>
        <v>31408.98</v>
      </c>
      <c r="AL38" s="227">
        <f t="shared" si="43"/>
        <v>8847.6</v>
      </c>
      <c r="AM38" s="227">
        <f t="shared" si="43"/>
        <v>44238</v>
      </c>
      <c r="AN38" s="227">
        <f t="shared" si="43"/>
        <v>9289.98</v>
      </c>
      <c r="AO38" s="227">
        <f t="shared" si="43"/>
        <v>89360.76</v>
      </c>
      <c r="AP38" s="227">
        <f t="shared" si="43"/>
        <v>45565.14000000001</v>
      </c>
      <c r="AQ38" s="227">
        <f t="shared" si="43"/>
        <v>33178.5</v>
      </c>
      <c r="AR38" s="227">
        <f t="shared" si="43"/>
        <v>33178.5</v>
      </c>
      <c r="AS38" s="227">
        <f t="shared" si="43"/>
        <v>25436.849999999995</v>
      </c>
      <c r="AT38" s="227">
        <f t="shared" si="43"/>
        <v>4820.04</v>
      </c>
      <c r="AU38" s="227">
        <f t="shared" si="43"/>
        <v>48796</v>
      </c>
      <c r="AV38" s="227">
        <f t="shared" si="43"/>
        <v>1390</v>
      </c>
      <c r="AW38" s="227">
        <f t="shared" si="43"/>
        <v>3128</v>
      </c>
      <c r="AX38" s="227">
        <f t="shared" si="43"/>
        <v>61932.42</v>
      </c>
      <c r="AY38" s="264"/>
      <c r="AZ38" s="264"/>
      <c r="BA38" s="264">
        <f t="shared" si="43"/>
        <v>0</v>
      </c>
      <c r="BB38" s="227">
        <f t="shared" si="43"/>
        <v>0</v>
      </c>
      <c r="BC38" s="227">
        <f t="shared" si="43"/>
        <v>440570.76999999996</v>
      </c>
      <c r="BD38" s="227">
        <f t="shared" si="43"/>
        <v>4144.679999999999</v>
      </c>
      <c r="BE38" s="227">
        <f t="shared" si="43"/>
        <v>444715.44999999995</v>
      </c>
      <c r="BF38" s="227">
        <f>SUM(BF26:BF37)</f>
        <v>-45411.352</v>
      </c>
      <c r="BG38" s="227">
        <f>SUM(BG26:BG37)</f>
        <v>-22466.769999999982</v>
      </c>
    </row>
    <row r="39" spans="1:59" s="20" customFormat="1" ht="13.5" thickBot="1">
      <c r="A39" s="228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65"/>
      <c r="AZ39" s="265"/>
      <c r="BA39" s="265"/>
      <c r="BB39" s="229"/>
      <c r="BC39" s="229"/>
      <c r="BD39" s="229"/>
      <c r="BE39" s="230"/>
      <c r="BF39" s="229"/>
      <c r="BG39" s="231"/>
    </row>
    <row r="40" spans="1:59" s="20" customFormat="1" ht="13.5" thickBot="1">
      <c r="A40" s="22" t="s">
        <v>54</v>
      </c>
      <c r="B40" s="229"/>
      <c r="C40" s="232">
        <f aca="true" t="shared" si="44" ref="C40:L40">C38+C24</f>
        <v>1638705.5450000004</v>
      </c>
      <c r="D40" s="232">
        <f t="shared" si="44"/>
        <v>111496.09102720003</v>
      </c>
      <c r="E40" s="232">
        <f t="shared" si="44"/>
        <v>76212.80999999998</v>
      </c>
      <c r="F40" s="232">
        <f t="shared" si="44"/>
        <v>10766.789999999999</v>
      </c>
      <c r="G40" s="232">
        <f t="shared" si="44"/>
        <v>556236.76</v>
      </c>
      <c r="H40" s="232">
        <f t="shared" si="44"/>
        <v>6087.9</v>
      </c>
      <c r="I40" s="232">
        <f t="shared" si="44"/>
        <v>101148.63</v>
      </c>
      <c r="J40" s="232">
        <f t="shared" si="44"/>
        <v>14576.07</v>
      </c>
      <c r="K40" s="232">
        <f t="shared" si="44"/>
        <v>171740.12</v>
      </c>
      <c r="L40" s="232">
        <f t="shared" si="44"/>
        <v>24265.61</v>
      </c>
      <c r="M40" s="232" t="e">
        <f>#REF!</f>
        <v>#REF!</v>
      </c>
      <c r="N40" s="232">
        <f aca="true" t="shared" si="45" ref="N40:AX40">N38+N24</f>
        <v>36823.94999999999</v>
      </c>
      <c r="O40" s="232">
        <f t="shared" si="45"/>
        <v>119318.02</v>
      </c>
      <c r="P40" s="232">
        <f t="shared" si="45"/>
        <v>8868.660000000002</v>
      </c>
      <c r="Q40" s="232">
        <f t="shared" si="45"/>
        <v>0</v>
      </c>
      <c r="R40" s="232">
        <f t="shared" si="45"/>
        <v>0</v>
      </c>
      <c r="S40" s="232">
        <f t="shared" si="45"/>
        <v>2400</v>
      </c>
      <c r="T40" s="232">
        <f t="shared" si="45"/>
        <v>0</v>
      </c>
      <c r="U40" s="232">
        <f t="shared" si="45"/>
        <v>1441793.33</v>
      </c>
      <c r="V40" s="232">
        <f t="shared" si="45"/>
        <v>101352.44</v>
      </c>
      <c r="W40" s="232">
        <f t="shared" si="45"/>
        <v>75318.436</v>
      </c>
      <c r="X40" s="232">
        <f t="shared" si="45"/>
        <v>497332.93</v>
      </c>
      <c r="Y40" s="232">
        <f t="shared" si="45"/>
        <v>101927.95</v>
      </c>
      <c r="Z40" s="232">
        <f t="shared" si="45"/>
        <v>169714.3</v>
      </c>
      <c r="AA40" s="232">
        <f t="shared" si="45"/>
        <v>403371.82</v>
      </c>
      <c r="AB40" s="232">
        <f t="shared" si="45"/>
        <v>114482.86</v>
      </c>
      <c r="AC40" s="232">
        <f t="shared" si="45"/>
        <v>0</v>
      </c>
      <c r="AD40" s="232">
        <f t="shared" si="45"/>
        <v>0</v>
      </c>
      <c r="AE40" s="232">
        <f t="shared" si="45"/>
        <v>2199.91</v>
      </c>
      <c r="AF40" s="232">
        <f t="shared" si="45"/>
        <v>1364348.2059999998</v>
      </c>
      <c r="AG40" s="232">
        <f t="shared" si="45"/>
        <v>1577196.7370272</v>
      </c>
      <c r="AH40" s="232">
        <f t="shared" si="45"/>
        <v>0</v>
      </c>
      <c r="AI40" s="232">
        <f t="shared" si="45"/>
        <v>0</v>
      </c>
      <c r="AJ40" s="232">
        <f t="shared" si="45"/>
        <v>20367.899040000004</v>
      </c>
      <c r="AK40" s="232">
        <f t="shared" si="45"/>
        <v>119887.78300000001</v>
      </c>
      <c r="AL40" s="232">
        <f t="shared" si="45"/>
        <v>37410.825621</v>
      </c>
      <c r="AM40" s="232">
        <f t="shared" si="45"/>
        <v>186150.144881342</v>
      </c>
      <c r="AN40" s="232">
        <f t="shared" si="45"/>
        <v>18582.753</v>
      </c>
      <c r="AO40" s="232">
        <f t="shared" si="45"/>
        <v>276156.532514108</v>
      </c>
      <c r="AP40" s="232">
        <f t="shared" si="45"/>
        <v>309055.4795767156</v>
      </c>
      <c r="AQ40" s="232">
        <f t="shared" si="45"/>
        <v>66366.975</v>
      </c>
      <c r="AR40" s="232">
        <f t="shared" si="45"/>
        <v>66366.975</v>
      </c>
      <c r="AS40" s="232">
        <f t="shared" si="45"/>
        <v>50880.25499999999</v>
      </c>
      <c r="AT40" s="232">
        <f t="shared" si="45"/>
        <v>27725.669400000002</v>
      </c>
      <c r="AU40" s="232">
        <f t="shared" si="45"/>
        <v>233276.27000000002</v>
      </c>
      <c r="AV40" s="232">
        <f t="shared" si="45"/>
        <v>7522</v>
      </c>
      <c r="AW40" s="233">
        <f t="shared" si="45"/>
        <v>126464.48</v>
      </c>
      <c r="AX40" s="233">
        <f t="shared" si="45"/>
        <v>86780.1022</v>
      </c>
      <c r="AY40" s="266"/>
      <c r="AZ40" s="266"/>
      <c r="BA40" s="266">
        <f>BA38+AY24</f>
        <v>33430.7456</v>
      </c>
      <c r="BB40" s="233">
        <f>BB38+AZ24</f>
        <v>0</v>
      </c>
      <c r="BC40" s="233">
        <f>BC38+BA24</f>
        <v>440073.76999999996</v>
      </c>
      <c r="BD40" s="233">
        <f>BD38+BB24</f>
        <v>4144.679999999999</v>
      </c>
      <c r="BE40" s="233">
        <f>BE38+BE24</f>
        <v>1654888.722325417</v>
      </c>
      <c r="BF40" s="233">
        <f>BF38+BF24</f>
        <v>-57324.086258216805</v>
      </c>
      <c r="BG40" s="233">
        <f>BG38+BG24</f>
        <v>-77445.12399999998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C57" sqref="C57"/>
    </sheetView>
  </sheetViews>
  <sheetFormatPr defaultColWidth="9.00390625" defaultRowHeight="12.75"/>
  <cols>
    <col min="1" max="1" width="10.00390625" style="159" customWidth="1"/>
    <col min="2" max="2" width="10.375" style="159" customWidth="1"/>
    <col min="3" max="3" width="12.75390625" style="159" customWidth="1"/>
    <col min="4" max="4" width="10.75390625" style="159" customWidth="1"/>
    <col min="5" max="5" width="11.625" style="159" customWidth="1"/>
    <col min="6" max="6" width="9.875" style="159" customWidth="1"/>
    <col min="7" max="7" width="11.00390625" style="159" customWidth="1"/>
    <col min="8" max="8" width="11.375" style="159" customWidth="1"/>
    <col min="9" max="9" width="9.875" style="159" customWidth="1"/>
    <col min="10" max="10" width="10.125" style="159" customWidth="1"/>
    <col min="11" max="11" width="9.125" style="159" customWidth="1"/>
    <col min="12" max="12" width="12.25390625" style="159" customWidth="1"/>
    <col min="13" max="13" width="10.125" style="159" customWidth="1"/>
    <col min="14" max="14" width="9.125" style="159" customWidth="1"/>
    <col min="15" max="15" width="13.125" style="159" customWidth="1"/>
    <col min="16" max="16" width="9.875" style="159" customWidth="1"/>
    <col min="17" max="17" width="10.00390625" style="159" customWidth="1"/>
    <col min="18" max="16384" width="9.125" style="159" customWidth="1"/>
  </cols>
  <sheetData>
    <row r="1" spans="2:9" ht="20.25" customHeight="1">
      <c r="B1" s="360" t="s">
        <v>55</v>
      </c>
      <c r="C1" s="360"/>
      <c r="D1" s="360"/>
      <c r="E1" s="360"/>
      <c r="F1" s="360"/>
      <c r="G1" s="360"/>
      <c r="H1" s="360"/>
      <c r="I1" s="141"/>
    </row>
    <row r="2" spans="2:12" ht="21" customHeight="1">
      <c r="B2" s="360" t="s">
        <v>56</v>
      </c>
      <c r="C2" s="360"/>
      <c r="D2" s="360"/>
      <c r="E2" s="360"/>
      <c r="F2" s="360"/>
      <c r="G2" s="360"/>
      <c r="H2" s="360"/>
      <c r="I2" s="141"/>
      <c r="K2" s="158"/>
      <c r="L2" s="158"/>
    </row>
    <row r="5" spans="1:14" ht="12.75">
      <c r="A5" s="362" t="s">
        <v>90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6" spans="1:14" ht="12.75">
      <c r="A6" s="363" t="s">
        <v>124</v>
      </c>
      <c r="B6" s="363"/>
      <c r="C6" s="363"/>
      <c r="D6" s="363"/>
      <c r="E6" s="363"/>
      <c r="F6" s="363"/>
      <c r="G6" s="363"/>
      <c r="H6" s="99"/>
      <c r="I6" s="99"/>
      <c r="J6" s="99"/>
      <c r="K6" s="99"/>
      <c r="L6" s="99"/>
      <c r="M6" s="99"/>
      <c r="N6" s="99"/>
    </row>
    <row r="7" spans="1:15" ht="13.5" thickBot="1">
      <c r="A7" s="464" t="s">
        <v>57</v>
      </c>
      <c r="B7" s="464"/>
      <c r="C7" s="464"/>
      <c r="D7" s="464"/>
      <c r="E7" s="464">
        <v>9.51</v>
      </c>
      <c r="F7" s="464"/>
      <c r="I7" s="234"/>
      <c r="J7" s="234"/>
      <c r="K7" s="234"/>
      <c r="L7" s="234"/>
      <c r="M7" s="234"/>
      <c r="N7" s="234"/>
      <c r="O7" s="234"/>
    </row>
    <row r="8" spans="1:17" ht="12.75" customHeight="1">
      <c r="A8" s="307" t="s">
        <v>58</v>
      </c>
      <c r="B8" s="393" t="s">
        <v>1</v>
      </c>
      <c r="C8" s="354" t="s">
        <v>123</v>
      </c>
      <c r="D8" s="357" t="s">
        <v>3</v>
      </c>
      <c r="E8" s="375" t="s">
        <v>60</v>
      </c>
      <c r="F8" s="376"/>
      <c r="G8" s="379" t="s">
        <v>61</v>
      </c>
      <c r="H8" s="380"/>
      <c r="I8" s="235"/>
      <c r="J8" s="474" t="s">
        <v>10</v>
      </c>
      <c r="K8" s="475"/>
      <c r="L8" s="475"/>
      <c r="M8" s="475"/>
      <c r="N8" s="475"/>
      <c r="O8" s="476"/>
      <c r="P8" s="465" t="s">
        <v>62</v>
      </c>
      <c r="Q8" s="465" t="s">
        <v>12</v>
      </c>
    </row>
    <row r="9" spans="1:17" ht="12.75">
      <c r="A9" s="308"/>
      <c r="B9" s="394"/>
      <c r="C9" s="355"/>
      <c r="D9" s="358"/>
      <c r="E9" s="377"/>
      <c r="F9" s="378"/>
      <c r="G9" s="381"/>
      <c r="H9" s="382"/>
      <c r="I9" s="236"/>
      <c r="J9" s="477"/>
      <c r="K9" s="478"/>
      <c r="L9" s="478"/>
      <c r="M9" s="478"/>
      <c r="N9" s="478"/>
      <c r="O9" s="479"/>
      <c r="P9" s="466"/>
      <c r="Q9" s="466"/>
    </row>
    <row r="10" spans="1:17" ht="26.25" customHeight="1">
      <c r="A10" s="308"/>
      <c r="B10" s="394"/>
      <c r="C10" s="355"/>
      <c r="D10" s="358"/>
      <c r="E10" s="367" t="s">
        <v>63</v>
      </c>
      <c r="F10" s="368"/>
      <c r="G10" s="85" t="s">
        <v>64</v>
      </c>
      <c r="H10" s="369" t="s">
        <v>7</v>
      </c>
      <c r="I10" s="468" t="s">
        <v>117</v>
      </c>
      <c r="J10" s="371" t="s">
        <v>65</v>
      </c>
      <c r="K10" s="373" t="s">
        <v>118</v>
      </c>
      <c r="L10" s="373" t="s">
        <v>66</v>
      </c>
      <c r="M10" s="373" t="s">
        <v>37</v>
      </c>
      <c r="N10" s="374" t="s">
        <v>119</v>
      </c>
      <c r="O10" s="370" t="s">
        <v>39</v>
      </c>
      <c r="P10" s="466"/>
      <c r="Q10" s="466"/>
    </row>
    <row r="11" spans="1:17" ht="66.75" customHeight="1" thickBot="1">
      <c r="A11" s="392"/>
      <c r="B11" s="395"/>
      <c r="C11" s="356"/>
      <c r="D11" s="359"/>
      <c r="E11" s="63" t="s">
        <v>68</v>
      </c>
      <c r="F11" s="66" t="s">
        <v>21</v>
      </c>
      <c r="G11" s="81" t="s">
        <v>69</v>
      </c>
      <c r="H11" s="370"/>
      <c r="I11" s="469"/>
      <c r="J11" s="372"/>
      <c r="K11" s="374"/>
      <c r="L11" s="374"/>
      <c r="M11" s="374"/>
      <c r="N11" s="470"/>
      <c r="O11" s="471"/>
      <c r="P11" s="467"/>
      <c r="Q11" s="467"/>
    </row>
    <row r="12" spans="1:17" ht="13.5" thickBot="1">
      <c r="A12" s="64">
        <v>1</v>
      </c>
      <c r="B12" s="65">
        <v>2</v>
      </c>
      <c r="C12" s="64">
        <v>3</v>
      </c>
      <c r="D12" s="65">
        <v>4</v>
      </c>
      <c r="E12" s="64">
        <v>5</v>
      </c>
      <c r="F12" s="65">
        <v>6</v>
      </c>
      <c r="G12" s="64">
        <v>7</v>
      </c>
      <c r="H12" s="65">
        <v>8</v>
      </c>
      <c r="I12" s="64">
        <v>9</v>
      </c>
      <c r="J12" s="65">
        <v>10</v>
      </c>
      <c r="K12" s="64">
        <v>11</v>
      </c>
      <c r="L12" s="65">
        <v>12</v>
      </c>
      <c r="M12" s="64">
        <v>13</v>
      </c>
      <c r="N12" s="65">
        <v>14</v>
      </c>
      <c r="O12" s="64">
        <v>15</v>
      </c>
      <c r="P12" s="64">
        <v>16</v>
      </c>
      <c r="Q12" s="65">
        <v>17</v>
      </c>
    </row>
    <row r="13" spans="1:17" ht="13.5" thickBot="1">
      <c r="A13" s="385" t="s">
        <v>94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237"/>
      <c r="P13" s="238"/>
      <c r="Q13" s="238"/>
    </row>
    <row r="14" spans="1:19" s="20" customFormat="1" ht="13.5" hidden="1" thickBot="1">
      <c r="A14" s="80" t="s">
        <v>54</v>
      </c>
      <c r="B14" s="38"/>
      <c r="C14" s="39">
        <f>'2012 полн'!C8</f>
        <v>860887.7900000002</v>
      </c>
      <c r="D14" s="39">
        <f>'2012 полн'!D8</f>
        <v>105794.88502720004</v>
      </c>
      <c r="E14" s="39">
        <f>'2012 полн'!U8</f>
        <v>659014.2</v>
      </c>
      <c r="F14" s="39">
        <f>'2012 полн'!V8</f>
        <v>92275.65</v>
      </c>
      <c r="G14" s="39">
        <f>'2012 полн'!AF8</f>
        <v>617036.226</v>
      </c>
      <c r="H14" s="39">
        <f>'2012 полн'!AG8</f>
        <v>815106.7610272</v>
      </c>
      <c r="I14" s="39">
        <f>'2012 полн'!AJ8</f>
        <v>4721.459040000001</v>
      </c>
      <c r="J14" s="39">
        <f>'2012 полн'!AK8</f>
        <v>58830.43200000001</v>
      </c>
      <c r="K14" s="39">
        <f>'2012 полн'!AL8</f>
        <v>19712.965621000003</v>
      </c>
      <c r="L14" s="39">
        <f>'2012 полн'!AM8+'2012 полн'!AN8+'2012 полн'!AO8+'2012 полн'!AP8+'2012 полн'!AQ8+'2012 полн'!AR8+'2012 полн'!AS8+'2012 полн'!AT8+'2012 полн'!AX8+'2012 полн'!AY8+'2012 полн'!BA16</f>
        <v>481511.77417216566</v>
      </c>
      <c r="M14" s="39">
        <f>'2012 полн'!AU8+'2012 полн'!AV8+'2012 полн'!AW8</f>
        <v>250102.75</v>
      </c>
      <c r="N14" s="39">
        <f>'2012 полн'!BD8</f>
        <v>2089.3715322512003</v>
      </c>
      <c r="O14" s="39">
        <f>SUM(J14:N14)</f>
        <v>812247.2933254169</v>
      </c>
      <c r="P14" s="39">
        <f>H14+I14-O14</f>
        <v>7580.926741783158</v>
      </c>
      <c r="Q14" s="39">
        <f>'2012 полн'!BG8</f>
        <v>-41977.974</v>
      </c>
      <c r="R14" s="72"/>
      <c r="S14" s="71"/>
    </row>
    <row r="15" spans="1:19" ht="12.75" hidden="1">
      <c r="A15" s="7" t="s">
        <v>116</v>
      </c>
      <c r="B15" s="239"/>
      <c r="C15" s="41"/>
      <c r="D15" s="42"/>
      <c r="E15" s="240"/>
      <c r="F15" s="241"/>
      <c r="G15" s="242"/>
      <c r="H15" s="241"/>
      <c r="I15" s="243"/>
      <c r="J15" s="242"/>
      <c r="K15" s="244"/>
      <c r="L15" s="244"/>
      <c r="M15" s="245"/>
      <c r="N15" s="246"/>
      <c r="O15" s="247"/>
      <c r="P15" s="248"/>
      <c r="Q15" s="248"/>
      <c r="R15" s="158"/>
      <c r="S15" s="158"/>
    </row>
    <row r="16" spans="1:19" ht="12.75" hidden="1">
      <c r="A16" s="171" t="s">
        <v>45</v>
      </c>
      <c r="B16" s="83">
        <f>'2012 полн'!B10</f>
        <v>3688.4</v>
      </c>
      <c r="C16" s="83">
        <f>'2012 полн'!C10</f>
        <v>31535.820000000003</v>
      </c>
      <c r="D16" s="27">
        <f>'2012 полн'!D10</f>
        <v>384.846</v>
      </c>
      <c r="E16" s="244">
        <f>'2012 полн'!U10</f>
        <v>31881.14</v>
      </c>
      <c r="F16" s="244">
        <f>'2012 полн'!V10</f>
        <v>0</v>
      </c>
      <c r="G16" s="249">
        <f>'2012 полн'!AF10</f>
        <v>22435.37</v>
      </c>
      <c r="H16" s="249">
        <f>'2012 полн'!AG10</f>
        <v>22820.216</v>
      </c>
      <c r="I16" s="249">
        <f>'2012 полн'!AJ10</f>
        <v>432.42</v>
      </c>
      <c r="J16" s="249">
        <f>'2012 полн'!AK10</f>
        <v>2471.228</v>
      </c>
      <c r="K16" s="249">
        <f>'2012 полн'!AL10</f>
        <v>737.6800000000001</v>
      </c>
      <c r="L16" s="244">
        <f>'2012 полн'!AM10+'2012 полн'!AN10+'2012 полн'!AO10+'2012 полн'!AP10+'2012 полн'!AQ10+'2012 полн'!AR10+'2012 полн'!AS10+'2012 полн'!AT10+'2012 полн'!AX10</f>
        <v>26004.913999999997</v>
      </c>
      <c r="M16" s="245">
        <f>'2012 полн'!AU10+'2012 полн'!AV10+'2012 полн'!AW10</f>
        <v>18991</v>
      </c>
      <c r="N16" s="250">
        <f>'2012 полн'!BD10</f>
        <v>257.89</v>
      </c>
      <c r="O16" s="250">
        <f>SUM(J16:N16)</f>
        <v>48462.712</v>
      </c>
      <c r="P16" s="248">
        <f>H16+I16-O16</f>
        <v>-25210.076</v>
      </c>
      <c r="Q16" s="248">
        <f>'2012 полн'!BG10</f>
        <v>-9445.77</v>
      </c>
      <c r="R16" s="158"/>
      <c r="S16" s="158"/>
    </row>
    <row r="17" spans="1:19" ht="12.75" hidden="1">
      <c r="A17" s="171" t="s">
        <v>46</v>
      </c>
      <c r="B17" s="83">
        <f>'2012 полн'!B11</f>
        <v>3688.4</v>
      </c>
      <c r="C17" s="83">
        <f>'2012 полн'!C11</f>
        <v>31535.820000000003</v>
      </c>
      <c r="D17" s="27">
        <f>'2012 полн'!D11</f>
        <v>384.846</v>
      </c>
      <c r="E17" s="244">
        <f>'2012 полн'!U11</f>
        <v>30994.05</v>
      </c>
      <c r="F17" s="244">
        <f>'2012 полн'!V11</f>
        <v>0</v>
      </c>
      <c r="G17" s="249">
        <f>'2012 полн'!AF11</f>
        <v>27201.869999999995</v>
      </c>
      <c r="H17" s="249">
        <f>'2012 полн'!AG11</f>
        <v>27586.715999999997</v>
      </c>
      <c r="I17" s="249">
        <f>'2012 полн'!AJ11</f>
        <v>432.42</v>
      </c>
      <c r="J17" s="249">
        <f>'2012 полн'!AK11</f>
        <v>2471.228</v>
      </c>
      <c r="K17" s="249">
        <f>'2012 полн'!AL11</f>
        <v>737.6800000000001</v>
      </c>
      <c r="L17" s="244">
        <f>'2012 полн'!AM11+'2012 полн'!AN11+'2012 полн'!AO11+'2012 полн'!AP11+'2012 полн'!AQ11+'2012 полн'!AR11+'2012 полн'!AS11+'2012 полн'!AT11+'2012 полн'!AX11</f>
        <v>26550.683999999997</v>
      </c>
      <c r="M17" s="245">
        <f>'2012 полн'!AU11+'2012 полн'!AV11+'2012 полн'!AW11</f>
        <v>8079</v>
      </c>
      <c r="N17" s="250">
        <f>'2012 полн'!BD11</f>
        <v>257.89</v>
      </c>
      <c r="O17" s="250">
        <f aca="true" t="shared" si="0" ref="O17:O27">SUM(J17:N17)</f>
        <v>38096.481999999996</v>
      </c>
      <c r="P17" s="248">
        <f aca="true" t="shared" si="1" ref="P17:P27">H17+I17-O17</f>
        <v>-10077.346000000001</v>
      </c>
      <c r="Q17" s="248">
        <f>'2012 полн'!BG11</f>
        <v>-3792.180000000004</v>
      </c>
      <c r="R17" s="158"/>
      <c r="S17" s="158"/>
    </row>
    <row r="18" spans="1:19" ht="12.75" hidden="1">
      <c r="A18" s="171" t="s">
        <v>47</v>
      </c>
      <c r="B18" s="83">
        <f>'2012 полн'!B12</f>
        <v>3688.4</v>
      </c>
      <c r="C18" s="83">
        <f>'2012 полн'!C12</f>
        <v>31535.820000000003</v>
      </c>
      <c r="D18" s="27">
        <f>'2012 полн'!D12</f>
        <v>333.438</v>
      </c>
      <c r="E18" s="244">
        <f>'2012 полн'!U12</f>
        <v>32042.61</v>
      </c>
      <c r="F18" s="244">
        <f>'2012 полн'!V12</f>
        <v>179.55</v>
      </c>
      <c r="G18" s="249">
        <f>'2012 полн'!AF12</f>
        <v>30589.489999999998</v>
      </c>
      <c r="H18" s="249">
        <f>'2012 полн'!AG12</f>
        <v>31102.477999999996</v>
      </c>
      <c r="I18" s="249">
        <f>'2012 полн'!AJ12</f>
        <v>432.42</v>
      </c>
      <c r="J18" s="249">
        <f>'2012 полн'!AK12</f>
        <v>2471.228</v>
      </c>
      <c r="K18" s="249">
        <f>'2012 полн'!AL12</f>
        <v>737.6800000000001</v>
      </c>
      <c r="L18" s="244">
        <f>'2012 полн'!AM12+'2012 полн'!AN12+'2012 полн'!AO12+'2012 полн'!AP12+'2012 полн'!AQ12+'2012 полн'!AR12+'2012 полн'!AS12+'2012 полн'!AT12+'2012 полн'!AX12</f>
        <v>26286.843999999997</v>
      </c>
      <c r="M18" s="245">
        <f>'2012 полн'!AU12+'2012 полн'!AV12+'2012 полн'!AW12</f>
        <v>2506</v>
      </c>
      <c r="N18" s="250">
        <f>'2012 полн'!BD12</f>
        <v>257.89</v>
      </c>
      <c r="O18" s="250">
        <f t="shared" si="0"/>
        <v>32259.641999999996</v>
      </c>
      <c r="P18" s="248">
        <f t="shared" si="1"/>
        <v>-724.7440000000024</v>
      </c>
      <c r="Q18" s="248">
        <f>'2012 полн'!BG12</f>
        <v>-1453.1200000000026</v>
      </c>
      <c r="R18" s="158"/>
      <c r="S18" s="158"/>
    </row>
    <row r="19" spans="1:19" ht="12.75" hidden="1">
      <c r="A19" s="171" t="s">
        <v>48</v>
      </c>
      <c r="B19" s="83">
        <f>'2012 полн'!B13</f>
        <v>3688.4</v>
      </c>
      <c r="C19" s="83">
        <f>'2012 полн'!C13</f>
        <v>31535.820000000003</v>
      </c>
      <c r="D19" s="27">
        <f>'2012 полн'!D13</f>
        <v>333.438</v>
      </c>
      <c r="E19" s="244">
        <f>'2012 полн'!U13</f>
        <v>29933.350000000002</v>
      </c>
      <c r="F19" s="244">
        <f>'2012 полн'!V13</f>
        <v>1875.26</v>
      </c>
      <c r="G19" s="249">
        <f>'2012 полн'!AF13</f>
        <v>27580.640000000003</v>
      </c>
      <c r="H19" s="249">
        <f>'2012 полн'!AG13</f>
        <v>29789.338</v>
      </c>
      <c r="I19" s="249">
        <f>'2012 полн'!AJ13</f>
        <v>432.42</v>
      </c>
      <c r="J19" s="249">
        <f>'2012 полн'!AK13</f>
        <v>2471.228</v>
      </c>
      <c r="K19" s="249">
        <f>'2012 полн'!AL13</f>
        <v>737.6800000000001</v>
      </c>
      <c r="L19" s="244">
        <f>'2012 полн'!AM13+'2012 полн'!AN13+'2012 полн'!AO13+'2012 полн'!AP13+'2012 полн'!AQ13+'2012 полн'!AR13+'2012 полн'!AS13+'2012 полн'!AT13+'2012 полн'!AX13</f>
        <v>22397.653999999995</v>
      </c>
      <c r="M19" s="245">
        <f>'2012 полн'!AU13+'2012 полн'!AV13+'2012 полн'!AW13</f>
        <v>6330</v>
      </c>
      <c r="N19" s="250">
        <f>'2012 полн'!BD13</f>
        <v>257.89</v>
      </c>
      <c r="O19" s="250">
        <f t="shared" si="0"/>
        <v>32194.451999999994</v>
      </c>
      <c r="P19" s="248">
        <f t="shared" si="1"/>
        <v>-1972.6939999999959</v>
      </c>
      <c r="Q19" s="248">
        <f>'2012 полн'!BG13</f>
        <v>-2352.709999999999</v>
      </c>
      <c r="R19" s="158"/>
      <c r="S19" s="158"/>
    </row>
    <row r="20" spans="1:19" ht="12.75" hidden="1">
      <c r="A20" s="171" t="s">
        <v>49</v>
      </c>
      <c r="B20" s="83">
        <f>'2012 полн'!B14</f>
        <v>3688.4</v>
      </c>
      <c r="C20" s="83">
        <f>'2012 полн'!C14</f>
        <v>31535.820000000003</v>
      </c>
      <c r="D20" s="27">
        <f>'2012 полн'!D14</f>
        <v>333.438</v>
      </c>
      <c r="E20" s="244">
        <f>'2012 полн'!U14</f>
        <v>31447.68</v>
      </c>
      <c r="F20" s="244">
        <f>'2012 полн'!V14</f>
        <v>322.56</v>
      </c>
      <c r="G20" s="249">
        <f>'2012 полн'!AF14</f>
        <v>27527.729999999996</v>
      </c>
      <c r="H20" s="249">
        <f>'2012 полн'!AG14</f>
        <v>28183.727999999996</v>
      </c>
      <c r="I20" s="249">
        <f>'2012 полн'!AJ14</f>
        <v>432.42</v>
      </c>
      <c r="J20" s="249">
        <f>'2012 полн'!AK14</f>
        <v>2471.228</v>
      </c>
      <c r="K20" s="249">
        <f>'2012 полн'!AL14</f>
        <v>737.6800000000001</v>
      </c>
      <c r="L20" s="244">
        <f>'2012 полн'!AM14+'2012 полн'!AN14+'2012 полн'!AO14+'2012 полн'!AP14+'2012 полн'!AQ14+'2012 полн'!AR14+'2012 полн'!AS14+'2012 полн'!AT14+'2012 полн'!AX14</f>
        <v>21917.918999999994</v>
      </c>
      <c r="M20" s="245">
        <f>'2012 полн'!AU14+'2012 полн'!AV14+'2012 полн'!AW14</f>
        <v>11095</v>
      </c>
      <c r="N20" s="250">
        <f>'2012 полн'!BD14</f>
        <v>257.89</v>
      </c>
      <c r="O20" s="250">
        <f t="shared" si="0"/>
        <v>36479.71699999999</v>
      </c>
      <c r="P20" s="248">
        <f t="shared" si="1"/>
        <v>-7863.568999999996</v>
      </c>
      <c r="Q20" s="248">
        <f>'2012 полн'!BG14</f>
        <v>-3919.9500000000044</v>
      </c>
      <c r="R20" s="158"/>
      <c r="S20" s="158"/>
    </row>
    <row r="21" spans="1:19" ht="12.75" hidden="1">
      <c r="A21" s="171" t="s">
        <v>50</v>
      </c>
      <c r="B21" s="83">
        <f>'2012 полн'!B15</f>
        <v>3688.4</v>
      </c>
      <c r="C21" s="83">
        <f>'2012 полн'!C15</f>
        <v>31535.820000000003</v>
      </c>
      <c r="D21" s="27">
        <f>'2012 полн'!D15</f>
        <v>274.176</v>
      </c>
      <c r="E21" s="244">
        <f>'2012 полн'!U15</f>
        <v>31347.69</v>
      </c>
      <c r="F21" s="244">
        <f>'2012 полн'!V15</f>
        <v>359.1</v>
      </c>
      <c r="G21" s="249">
        <f>'2012 полн'!AF15</f>
        <v>33979.53</v>
      </c>
      <c r="H21" s="249">
        <f>'2012 полн'!AG15</f>
        <v>34612.806</v>
      </c>
      <c r="I21" s="249">
        <f>'2012 полн'!AJ15</f>
        <v>432.42</v>
      </c>
      <c r="J21" s="249">
        <f>'2012 полн'!AK15</f>
        <v>2471.228</v>
      </c>
      <c r="K21" s="249">
        <f>'2012 полн'!AL15</f>
        <v>737.6800000000001</v>
      </c>
      <c r="L21" s="244">
        <f>'2012 полн'!AM15+'2012 полн'!AN15+'2012 полн'!AO15+'2012 полн'!AP15+'2012 полн'!AQ15+'2012 полн'!AR15+'2012 полн'!AS15+'2012 полн'!AT15+'2012 полн'!AX15</f>
        <v>22507.853999999996</v>
      </c>
      <c r="M21" s="245">
        <f>'2012 полн'!AU15+'2012 полн'!AV15+'2012 полн'!AW15</f>
        <v>8784</v>
      </c>
      <c r="N21" s="250">
        <f>'2012 полн'!BD15</f>
        <v>257.89</v>
      </c>
      <c r="O21" s="250">
        <f t="shared" si="0"/>
        <v>34758.651999999995</v>
      </c>
      <c r="P21" s="248">
        <f t="shared" si="1"/>
        <v>286.5740000000005</v>
      </c>
      <c r="Q21" s="248">
        <f>'2012 полн'!BG15</f>
        <v>2631.84</v>
      </c>
      <c r="R21" s="158"/>
      <c r="S21" s="158"/>
    </row>
    <row r="22" spans="1:17" ht="12.75" hidden="1">
      <c r="A22" s="171" t="s">
        <v>51</v>
      </c>
      <c r="B22" s="83">
        <f>'2012 полн'!B16</f>
        <v>3688.4</v>
      </c>
      <c r="C22" s="83">
        <f>'2012 полн'!C16</f>
        <v>31535.820000000003</v>
      </c>
      <c r="D22" s="27">
        <f>'2012 полн'!D16</f>
        <v>274.176</v>
      </c>
      <c r="E22" s="244">
        <f>'2012 полн'!U16</f>
        <v>31353.5</v>
      </c>
      <c r="F22" s="244">
        <f>'2012 полн'!V16</f>
        <v>359.1</v>
      </c>
      <c r="G22" s="249">
        <f>'2012 полн'!AF16</f>
        <v>29383.149999999998</v>
      </c>
      <c r="H22" s="249">
        <f>'2012 полн'!AG16</f>
        <v>30016.426</v>
      </c>
      <c r="I22" s="249">
        <f>'2012 полн'!AJ16</f>
        <v>432.42</v>
      </c>
      <c r="J22" s="249">
        <f>'2012 полн'!AK16</f>
        <v>2471.228</v>
      </c>
      <c r="K22" s="249">
        <f>'2012 полн'!AL16</f>
        <v>737.6800000000001</v>
      </c>
      <c r="L22" s="244">
        <f>'2012 полн'!AM16+'2012 полн'!AN16+'2012 полн'!AO16+'2012 полн'!AP16+'2012 полн'!AQ16+'2012 полн'!AR16+'2012 полн'!AS16+'2012 полн'!AT16+'2012 полн'!AX16</f>
        <v>22939.443999999996</v>
      </c>
      <c r="M22" s="245">
        <f>'2012 полн'!AU16+'2012 полн'!AV16+'2012 полн'!AW16</f>
        <v>1937</v>
      </c>
      <c r="N22" s="250">
        <f>'2012 полн'!BD16</f>
        <v>257.89</v>
      </c>
      <c r="O22" s="250">
        <f t="shared" si="0"/>
        <v>28343.241999999995</v>
      </c>
      <c r="P22" s="248">
        <f t="shared" si="1"/>
        <v>2105.604000000003</v>
      </c>
      <c r="Q22" s="248">
        <f>'2012 полн'!BG16</f>
        <v>-1970.3500000000022</v>
      </c>
    </row>
    <row r="23" spans="1:17" ht="12.75" hidden="1">
      <c r="A23" s="171" t="s">
        <v>52</v>
      </c>
      <c r="B23" s="83">
        <f>'2012 полн'!B17</f>
        <v>3686.5</v>
      </c>
      <c r="C23" s="83">
        <f>'2012 полн'!C17</f>
        <v>31519.575000000004</v>
      </c>
      <c r="D23" s="27">
        <f>'2012 полн'!D17</f>
        <v>274.176</v>
      </c>
      <c r="E23" s="244">
        <f>'2012 полн'!U17</f>
        <v>31305.22</v>
      </c>
      <c r="F23" s="244">
        <f>'2012 полн'!V17</f>
        <v>359.1</v>
      </c>
      <c r="G23" s="249">
        <f>'2012 полн'!AF17</f>
        <v>30681.760000000002</v>
      </c>
      <c r="H23" s="249">
        <f>'2012 полн'!AG17</f>
        <v>31315.036000000004</v>
      </c>
      <c r="I23" s="249">
        <f>'2012 полн'!AJ17</f>
        <v>432.42</v>
      </c>
      <c r="J23" s="249">
        <f>'2012 полн'!AK17</f>
        <v>2469.955</v>
      </c>
      <c r="K23" s="249">
        <f>'2012 полн'!AL17</f>
        <v>737.3000000000001</v>
      </c>
      <c r="L23" s="244">
        <f>'2012 полн'!AM17+'2012 полн'!AN17+'2012 полн'!AO17+'2012 полн'!AP17+'2012 полн'!AQ17+'2012 полн'!AR17+'2012 полн'!AS17+'2012 полн'!AT17+'2012 полн'!AX17</f>
        <v>22964.78</v>
      </c>
      <c r="M23" s="245">
        <f>'2012 полн'!AU17+'2012 полн'!AV17+'2012 полн'!AW17</f>
        <v>1735</v>
      </c>
      <c r="N23" s="250">
        <f>'2012 полн'!BD17</f>
        <v>257.89</v>
      </c>
      <c r="O23" s="250">
        <f t="shared" si="0"/>
        <v>28164.925</v>
      </c>
      <c r="P23" s="248">
        <f t="shared" si="1"/>
        <v>3582.5310000000027</v>
      </c>
      <c r="Q23" s="248">
        <f>'2012 полн'!BG17</f>
        <v>-623.4599999999991</v>
      </c>
    </row>
    <row r="24" spans="1:17" ht="12.75" hidden="1">
      <c r="A24" s="171" t="s">
        <v>53</v>
      </c>
      <c r="B24" s="83">
        <f>'2012 полн'!B18</f>
        <v>3686.5</v>
      </c>
      <c r="C24" s="83">
        <f>'2012 полн'!C18</f>
        <v>31519.575000000004</v>
      </c>
      <c r="D24" s="27">
        <f>'2012 полн'!D18</f>
        <v>274.176</v>
      </c>
      <c r="E24" s="244">
        <f>'2012 полн'!U18</f>
        <v>32209.12</v>
      </c>
      <c r="F24" s="244">
        <f>'2012 полн'!V18</f>
        <v>0</v>
      </c>
      <c r="G24" s="249">
        <f>'2012 полн'!AF18</f>
        <v>34688.4</v>
      </c>
      <c r="H24" s="249">
        <f>'2012 полн'!AG18</f>
        <v>34962.576</v>
      </c>
      <c r="I24" s="249">
        <f>'2012 полн'!AJ18</f>
        <v>432.42</v>
      </c>
      <c r="J24" s="249">
        <f>'2012 полн'!AK18</f>
        <v>2469.955</v>
      </c>
      <c r="K24" s="249">
        <f>'2012 полн'!AL18</f>
        <v>737.3000000000001</v>
      </c>
      <c r="L24" s="244">
        <f>'2012 полн'!AM18+'2012 полн'!AN18+'2012 полн'!AO18+'2012 полн'!AP18+'2012 полн'!AQ18+'2012 полн'!AR18+'2012 полн'!AS18+'2012 полн'!AT18+'2012 полн'!AX18</f>
        <v>22191.9</v>
      </c>
      <c r="M24" s="245">
        <f>'2012 полн'!AU18+'2012 полн'!AV18+'2012 полн'!AW18</f>
        <v>179</v>
      </c>
      <c r="N24" s="250">
        <f>'2012 полн'!BD18</f>
        <v>257.89</v>
      </c>
      <c r="O24" s="250">
        <f t="shared" si="0"/>
        <v>25836.045000000002</v>
      </c>
      <c r="P24" s="248">
        <f t="shared" si="1"/>
        <v>9558.950999999997</v>
      </c>
      <c r="Q24" s="248">
        <f>'2012 полн'!BG18</f>
        <v>2479.2800000000025</v>
      </c>
    </row>
    <row r="25" spans="1:17" ht="12.75" hidden="1">
      <c r="A25" s="171" t="s">
        <v>41</v>
      </c>
      <c r="B25" s="83">
        <f>'2012 полн'!B19</f>
        <v>3686.5</v>
      </c>
      <c r="C25" s="83">
        <f>'2012 полн'!C19</f>
        <v>31519.575000000004</v>
      </c>
      <c r="D25" s="27">
        <f>'2012 полн'!D19</f>
        <v>274.176</v>
      </c>
      <c r="E25" s="244">
        <f>'2012 полн'!U19</f>
        <v>31506.75</v>
      </c>
      <c r="F25" s="244">
        <f>'2012 полн'!V19</f>
        <v>645.12</v>
      </c>
      <c r="G25" s="249">
        <f>'2012 полн'!AF19</f>
        <v>28582.420000000002</v>
      </c>
      <c r="H25" s="249">
        <f>'2012 полн'!AG19</f>
        <v>29501.716</v>
      </c>
      <c r="I25" s="249">
        <f>'2012 полн'!AJ19</f>
        <v>432.42</v>
      </c>
      <c r="J25" s="249">
        <f>'2012 полн'!AK19</f>
        <v>2469.955</v>
      </c>
      <c r="K25" s="249">
        <f>'2012 полн'!AL19</f>
        <v>737.3000000000001</v>
      </c>
      <c r="L25" s="244">
        <f>'2012 полн'!AM19+'2012 полн'!AN19+'2012 полн'!AO19+'2012 полн'!AP19+'2012 полн'!AQ19+'2012 полн'!AR19+'2012 полн'!AS19+'2012 полн'!AT19+'2012 полн'!AX19</f>
        <v>26223.445</v>
      </c>
      <c r="M25" s="245">
        <f>'2012 полн'!AU19+'2012 полн'!AV19+'2012 полн'!AW19</f>
        <v>0</v>
      </c>
      <c r="N25" s="250">
        <f>'2012 полн'!BD19</f>
        <v>257.89</v>
      </c>
      <c r="O25" s="250">
        <f t="shared" si="0"/>
        <v>29688.59</v>
      </c>
      <c r="P25" s="248">
        <f t="shared" si="1"/>
        <v>245.54599999999846</v>
      </c>
      <c r="Q25" s="248">
        <f>'2012 полн'!BG19</f>
        <v>-2924.329999999998</v>
      </c>
    </row>
    <row r="26" spans="1:17" ht="12.75" hidden="1">
      <c r="A26" s="171" t="s">
        <v>42</v>
      </c>
      <c r="B26" s="83">
        <f>'2012 полн'!B20</f>
        <v>3686.5</v>
      </c>
      <c r="C26" s="83">
        <f>'2012 полн'!C20</f>
        <v>31519.575000000004</v>
      </c>
      <c r="D26" s="27">
        <f>'2012 полн'!D20</f>
        <v>274.176</v>
      </c>
      <c r="E26" s="244">
        <f>'2012 полн'!U20</f>
        <v>31909.420000000002</v>
      </c>
      <c r="F26" s="244">
        <f>'2012 полн'!V20</f>
        <v>322.56</v>
      </c>
      <c r="G26" s="249">
        <f>'2012 полн'!AF20</f>
        <v>31252.469999999998</v>
      </c>
      <c r="H26" s="249">
        <f>'2012 полн'!AG20</f>
        <v>31849.206</v>
      </c>
      <c r="I26" s="249">
        <f>'2012 полн'!AJ20</f>
        <v>432.42</v>
      </c>
      <c r="J26" s="249">
        <f>'2012 полн'!AK20</f>
        <v>2469.955</v>
      </c>
      <c r="K26" s="249">
        <f>'2012 полн'!AL20</f>
        <v>737.3000000000001</v>
      </c>
      <c r="L26" s="244">
        <f>'2012 полн'!AM20+'2012 полн'!AN20+'2012 полн'!AO20+'2012 полн'!AP20+'2012 полн'!AQ20+'2012 полн'!AR20+'2012 полн'!AS20+'2012 полн'!AT20+'2012 полн'!AX20</f>
        <v>26156.844999999998</v>
      </c>
      <c r="M26" s="245">
        <f>'2012 полн'!AU20+'2012 полн'!AV20+'2012 полн'!AW20</f>
        <v>1792</v>
      </c>
      <c r="N26" s="250">
        <f>'2012 полн'!BD20</f>
        <v>257.89</v>
      </c>
      <c r="O26" s="250">
        <f t="shared" si="0"/>
        <v>31413.989999999998</v>
      </c>
      <c r="P26" s="248">
        <f t="shared" si="1"/>
        <v>867.6359999999986</v>
      </c>
      <c r="Q26" s="248">
        <f>'2012 полн'!BG20</f>
        <v>-656.9500000000044</v>
      </c>
    </row>
    <row r="27" spans="1:17" ht="13.5" hidden="1" thickBot="1">
      <c r="A27" s="251" t="s">
        <v>43</v>
      </c>
      <c r="B27" s="83">
        <f>'2012 полн'!B21</f>
        <v>3686.5</v>
      </c>
      <c r="C27" s="83">
        <f>'2012 полн'!C21</f>
        <v>31519.575000000004</v>
      </c>
      <c r="D27" s="27">
        <f>'2012 полн'!D21</f>
        <v>274.176</v>
      </c>
      <c r="E27" s="244">
        <f>'2012 полн'!U21</f>
        <v>31878.98</v>
      </c>
      <c r="F27" s="244">
        <f>'2012 полн'!V21</f>
        <v>322.56</v>
      </c>
      <c r="G27" s="249">
        <f>'2012 полн'!AF21</f>
        <v>40906.3</v>
      </c>
      <c r="H27" s="249">
        <f>'2012 полн'!AG21</f>
        <v>41503.036</v>
      </c>
      <c r="I27" s="249">
        <f>'2012 полн'!AJ21</f>
        <v>432.42</v>
      </c>
      <c r="J27" s="249">
        <f>'2012 полн'!AK21</f>
        <v>2469.955</v>
      </c>
      <c r="K27" s="249">
        <f>'2012 полн'!AL21</f>
        <v>737.3000000000001</v>
      </c>
      <c r="L27" s="244">
        <f>'2012 полн'!AM21+'2012 полн'!AN21+'2012 полн'!AO21+'2012 полн'!AP21+'2012 полн'!AQ21+'2012 полн'!AR21+'2012 полн'!AS21+'2012 полн'!AT21+'2012 полн'!AX21</f>
        <v>26344.385</v>
      </c>
      <c r="M27" s="245">
        <f>'2012 полн'!AU21+'2012 полн'!AV21+'2012 полн'!AW21</f>
        <v>2418</v>
      </c>
      <c r="N27" s="250">
        <f>'2012 полн'!BD21</f>
        <v>257.89</v>
      </c>
      <c r="O27" s="250">
        <f t="shared" si="0"/>
        <v>32227.53</v>
      </c>
      <c r="P27" s="248">
        <f t="shared" si="1"/>
        <v>9707.926</v>
      </c>
      <c r="Q27" s="248">
        <f>'2012 полн'!BG21</f>
        <v>9027.320000000003</v>
      </c>
    </row>
    <row r="28" spans="1:19" s="20" customFormat="1" ht="13.5" hidden="1" thickBot="1">
      <c r="A28" s="34" t="s">
        <v>5</v>
      </c>
      <c r="B28" s="35"/>
      <c r="C28" s="75">
        <f aca="true" t="shared" si="2" ref="C28:P28">SUM(C16:C27)</f>
        <v>378348.61500000005</v>
      </c>
      <c r="D28" s="75">
        <f t="shared" si="2"/>
        <v>3689.238</v>
      </c>
      <c r="E28" s="75">
        <f t="shared" si="2"/>
        <v>377809.51</v>
      </c>
      <c r="F28" s="75">
        <f t="shared" si="2"/>
        <v>4744.910000000001</v>
      </c>
      <c r="G28" s="75">
        <f t="shared" si="2"/>
        <v>364809.12999999995</v>
      </c>
      <c r="H28" s="75">
        <f t="shared" si="2"/>
        <v>373243.27800000005</v>
      </c>
      <c r="I28" s="75">
        <f t="shared" si="2"/>
        <v>5189.04</v>
      </c>
      <c r="J28" s="75">
        <f t="shared" si="2"/>
        <v>29648.371000000006</v>
      </c>
      <c r="K28" s="75">
        <f t="shared" si="2"/>
        <v>8850.260000000002</v>
      </c>
      <c r="L28" s="75">
        <f t="shared" si="2"/>
        <v>292486.66799999995</v>
      </c>
      <c r="M28" s="75">
        <f t="shared" si="2"/>
        <v>63846</v>
      </c>
      <c r="N28" s="75">
        <f t="shared" si="2"/>
        <v>3094.679999999999</v>
      </c>
      <c r="O28" s="75">
        <f t="shared" si="2"/>
        <v>397925.97899999993</v>
      </c>
      <c r="P28" s="75">
        <f t="shared" si="2"/>
        <v>-19493.661000000007</v>
      </c>
      <c r="Q28" s="75">
        <f>SUM(Q16:Q27)</f>
        <v>-13000.380000000008</v>
      </c>
      <c r="R28" s="71"/>
      <c r="S28" s="71"/>
    </row>
    <row r="29" spans="1:17" ht="13.5" hidden="1" thickBot="1">
      <c r="A29" s="385" t="s">
        <v>70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237"/>
      <c r="P29" s="238"/>
      <c r="Q29" s="238"/>
    </row>
    <row r="30" spans="1:19" s="20" customFormat="1" ht="13.5" thickBot="1">
      <c r="A30" s="80" t="s">
        <v>54</v>
      </c>
      <c r="B30" s="38"/>
      <c r="C30" s="39">
        <f aca="true" t="shared" si="3" ref="C30:Q30">C28+C14</f>
        <v>1239236.4050000003</v>
      </c>
      <c r="D30" s="39">
        <f t="shared" si="3"/>
        <v>109484.12302720004</v>
      </c>
      <c r="E30" s="39">
        <f t="shared" si="3"/>
        <v>1036823.71</v>
      </c>
      <c r="F30" s="39">
        <f t="shared" si="3"/>
        <v>97020.56</v>
      </c>
      <c r="G30" s="39">
        <f>G28+G14</f>
        <v>981845.3559999999</v>
      </c>
      <c r="H30" s="39">
        <f t="shared" si="3"/>
        <v>1188350.0390272</v>
      </c>
      <c r="I30" s="39">
        <f t="shared" si="3"/>
        <v>9910.49904</v>
      </c>
      <c r="J30" s="39">
        <f t="shared" si="3"/>
        <v>88478.80300000001</v>
      </c>
      <c r="K30" s="39">
        <f t="shared" si="3"/>
        <v>28563.225621000005</v>
      </c>
      <c r="L30" s="39">
        <f t="shared" si="3"/>
        <v>773998.4421721656</v>
      </c>
      <c r="M30" s="39">
        <f t="shared" si="3"/>
        <v>313948.75</v>
      </c>
      <c r="N30" s="39">
        <f t="shared" si="3"/>
        <v>5184.051532251199</v>
      </c>
      <c r="O30" s="39">
        <f t="shared" si="3"/>
        <v>1210173.2723254168</v>
      </c>
      <c r="P30" s="39">
        <f t="shared" si="3"/>
        <v>-11912.73425821685</v>
      </c>
      <c r="Q30" s="39">
        <f t="shared" si="3"/>
        <v>-54978.35400000001</v>
      </c>
      <c r="R30" s="72"/>
      <c r="S30" s="71"/>
    </row>
    <row r="31" spans="1:19" ht="12.75">
      <c r="A31" s="7" t="s">
        <v>121</v>
      </c>
      <c r="B31" s="239"/>
      <c r="C31" s="41"/>
      <c r="D31" s="42"/>
      <c r="E31" s="240"/>
      <c r="F31" s="241"/>
      <c r="G31" s="242"/>
      <c r="H31" s="241"/>
      <c r="I31" s="243"/>
      <c r="J31" s="242"/>
      <c r="K31" s="244"/>
      <c r="L31" s="244"/>
      <c r="M31" s="245"/>
      <c r="N31" s="246"/>
      <c r="O31" s="247"/>
      <c r="P31" s="248"/>
      <c r="Q31" s="248"/>
      <c r="R31" s="158"/>
      <c r="S31" s="158"/>
    </row>
    <row r="32" spans="1:19" ht="12.75">
      <c r="A32" s="171" t="s">
        <v>45</v>
      </c>
      <c r="B32" s="83">
        <f>'2012 полн'!B26</f>
        <v>3686.5</v>
      </c>
      <c r="C32" s="83">
        <f>'2012 полн'!C26</f>
        <v>31519.575000000004</v>
      </c>
      <c r="D32" s="27">
        <f>'2012 полн'!D26</f>
        <v>274.176</v>
      </c>
      <c r="E32" s="244">
        <f>'2012 полн'!U26</f>
        <v>31874.93</v>
      </c>
      <c r="F32" s="244">
        <f>'2012 полн'!V26</f>
        <v>322.56</v>
      </c>
      <c r="G32" s="249">
        <f>'2012 полн'!AF26</f>
        <v>26616.999999999996</v>
      </c>
      <c r="H32" s="249">
        <f>'2012 полн'!AG26</f>
        <v>27213.735999999997</v>
      </c>
      <c r="I32" s="249">
        <f>'2012 полн'!AJ26</f>
        <v>521.45</v>
      </c>
      <c r="J32" s="249">
        <f>'2012 полн'!AK26</f>
        <v>2469.955</v>
      </c>
      <c r="K32" s="249">
        <f>'2012 полн'!AL26</f>
        <v>737.3000000000001</v>
      </c>
      <c r="L32" s="244">
        <f>'2012 полн'!AM26+'2012 полн'!AN26+'2012 полн'!AO26+'2012 полн'!AP26+'2012 полн'!AQ26+'2012 полн'!AR26+'2012 полн'!AS26+'2012 полн'!AT26+'2012 полн'!AX26</f>
        <v>26029.385</v>
      </c>
      <c r="M32" s="245">
        <f>'2012 полн'!AU26+'2012 полн'!AV26+'2012 полн'!AW26</f>
        <v>839</v>
      </c>
      <c r="N32" s="250">
        <f>'2012 полн'!BD26</f>
        <v>257.89</v>
      </c>
      <c r="O32" s="250">
        <f aca="true" t="shared" si="4" ref="O32:O43">SUM(J32:N32)</f>
        <v>30333.53</v>
      </c>
      <c r="P32" s="248">
        <f>H32+I32-O32</f>
        <v>-2598.344000000001</v>
      </c>
      <c r="Q32" s="248">
        <f>'2012 полн'!BG26</f>
        <v>-5257.930000000004</v>
      </c>
      <c r="R32" s="158"/>
      <c r="S32" s="158"/>
    </row>
    <row r="33" spans="1:19" ht="12.75">
      <c r="A33" s="171" t="s">
        <v>46</v>
      </c>
      <c r="B33" s="83">
        <f>'2012 полн'!B27</f>
        <v>3686.5</v>
      </c>
      <c r="C33" s="83">
        <f>'2012 полн'!C27</f>
        <v>31519.575000000004</v>
      </c>
      <c r="D33" s="27">
        <f>'2012 полн'!D27</f>
        <v>274.176</v>
      </c>
      <c r="E33" s="244">
        <f>'2012 полн'!U27</f>
        <v>31889.09</v>
      </c>
      <c r="F33" s="244">
        <f>'2012 полн'!V27</f>
        <v>322.56</v>
      </c>
      <c r="G33" s="249">
        <f>'2012 полн'!AF27</f>
        <v>27282.030000000002</v>
      </c>
      <c r="H33" s="249">
        <f>'2012 полн'!AG27</f>
        <v>27878.766000000003</v>
      </c>
      <c r="I33" s="249">
        <f>'2012 полн'!AJ27</f>
        <v>521.45</v>
      </c>
      <c r="J33" s="249">
        <f>'2012 полн'!AK27</f>
        <v>2469.955</v>
      </c>
      <c r="K33" s="249">
        <f>'2012 полн'!AL27</f>
        <v>737.3000000000001</v>
      </c>
      <c r="L33" s="244">
        <f>'2012 полн'!AM27+'2012 полн'!AN27+'2012 полн'!AO27+'2012 полн'!AP27+'2012 полн'!AQ27+'2012 полн'!AR27+'2012 полн'!AS27+'2012 полн'!AT27+'2012 полн'!AX27</f>
        <v>29258.385</v>
      </c>
      <c r="M33" s="245">
        <f>'2012 полн'!AU27+'2012 полн'!AV27+'2012 полн'!AW27</f>
        <v>18182</v>
      </c>
      <c r="N33" s="250">
        <f>'2012 полн'!BD27</f>
        <v>257.89</v>
      </c>
      <c r="O33" s="250">
        <f t="shared" si="4"/>
        <v>50905.53</v>
      </c>
      <c r="P33" s="248">
        <f aca="true" t="shared" si="5" ref="P33:P43">H33+I33-O33</f>
        <v>-22505.313999999995</v>
      </c>
      <c r="Q33" s="248">
        <f>'2012 полн'!BG27</f>
        <v>-4607.059999999998</v>
      </c>
      <c r="R33" s="158"/>
      <c r="S33" s="158"/>
    </row>
    <row r="34" spans="1:19" ht="12.75">
      <c r="A34" s="171" t="s">
        <v>47</v>
      </c>
      <c r="B34" s="83">
        <f>'2012 полн'!B28</f>
        <v>3686.5</v>
      </c>
      <c r="C34" s="83">
        <f>'2012 полн'!C28</f>
        <v>31519.575000000004</v>
      </c>
      <c r="D34" s="27">
        <f>'2012 полн'!D28</f>
        <v>274.176</v>
      </c>
      <c r="E34" s="244">
        <f>'2012 полн'!U28</f>
        <v>31888.079999999998</v>
      </c>
      <c r="F34" s="244">
        <f>'2012 полн'!V28</f>
        <v>322.56</v>
      </c>
      <c r="G34" s="249">
        <f>'2012 полн'!AF28</f>
        <v>27450.73</v>
      </c>
      <c r="H34" s="249">
        <f>'2012 полн'!AG28</f>
        <v>28047.466</v>
      </c>
      <c r="I34" s="249">
        <f>'2012 полн'!AJ28</f>
        <v>521.45</v>
      </c>
      <c r="J34" s="249">
        <f>'2012 полн'!AK28</f>
        <v>2469.955</v>
      </c>
      <c r="K34" s="249">
        <f>'2012 полн'!AL28</f>
        <v>737.3000000000001</v>
      </c>
      <c r="L34" s="244">
        <f>'2012 полн'!AM28+'2012 полн'!AN28+'2012 полн'!AO28+'2012 полн'!AP28+'2012 полн'!AQ28+'2012 полн'!AR28+'2012 полн'!AS28+'2012 полн'!AT28+'2012 полн'!AX28</f>
        <v>26973.504999999997</v>
      </c>
      <c r="M34" s="245">
        <f>'2012 полн'!AU28+'2012 полн'!AV28+'2012 полн'!AW28</f>
        <v>3547</v>
      </c>
      <c r="N34" s="250">
        <f>'2012 полн'!BD28</f>
        <v>257.89</v>
      </c>
      <c r="O34" s="250">
        <f t="shared" si="4"/>
        <v>33985.649999999994</v>
      </c>
      <c r="P34" s="248">
        <f t="shared" si="5"/>
        <v>-5416.733999999993</v>
      </c>
      <c r="Q34" s="248">
        <f>'2012 полн'!BG28</f>
        <v>-4437.3499999999985</v>
      </c>
      <c r="R34" s="158"/>
      <c r="S34" s="158"/>
    </row>
    <row r="35" spans="1:19" ht="12.75">
      <c r="A35" s="171" t="s">
        <v>48</v>
      </c>
      <c r="B35" s="83">
        <f>'2012 полн'!B29</f>
        <v>3686.5</v>
      </c>
      <c r="C35" s="83">
        <f>'2012 полн'!C29</f>
        <v>31519.575000000004</v>
      </c>
      <c r="D35" s="27">
        <f>'2012 полн'!D29</f>
        <v>274.176</v>
      </c>
      <c r="E35" s="244">
        <f>'2012 полн'!U29</f>
        <v>31993.699999999997</v>
      </c>
      <c r="F35" s="244">
        <f>'2012 полн'!V29</f>
        <v>322.56</v>
      </c>
      <c r="G35" s="249">
        <f>'2012 полн'!AF29</f>
        <v>34986.2</v>
      </c>
      <c r="H35" s="249">
        <f>'2012 полн'!AG29</f>
        <v>35582.935999999994</v>
      </c>
      <c r="I35" s="249">
        <f>'2012 полн'!AJ29</f>
        <v>521.45</v>
      </c>
      <c r="J35" s="249">
        <f>'2012 полн'!AK29</f>
        <v>2469.955</v>
      </c>
      <c r="K35" s="249">
        <f>'2012 полн'!AL29</f>
        <v>737.3000000000001</v>
      </c>
      <c r="L35" s="244">
        <f>'2012 полн'!AM29+'2012 полн'!AN29+'2012 полн'!AO29+'2012 полн'!AP29+'2012 полн'!AQ29+'2012 полн'!AR29+'2012 полн'!AS29+'2012 полн'!AT29+'2012 полн'!AX29</f>
        <v>22412.11</v>
      </c>
      <c r="M35" s="245">
        <f>'2012 полн'!AU29+'2012 полн'!AV29+'2012 полн'!AW29</f>
        <v>941</v>
      </c>
      <c r="N35" s="250">
        <f>'2012 полн'!BD29</f>
        <v>257.89</v>
      </c>
      <c r="O35" s="250">
        <f t="shared" si="4"/>
        <v>26818.255</v>
      </c>
      <c r="P35" s="248">
        <f t="shared" si="5"/>
        <v>9286.13099999999</v>
      </c>
      <c r="Q35" s="248">
        <f>'2012 полн'!BG29</f>
        <v>2992.5</v>
      </c>
      <c r="R35" s="158"/>
      <c r="S35" s="158"/>
    </row>
    <row r="36" spans="1:19" ht="12.75">
      <c r="A36" s="171" t="s">
        <v>49</v>
      </c>
      <c r="B36" s="83">
        <f>'2012 полн'!B30</f>
        <v>3686.5</v>
      </c>
      <c r="C36" s="83">
        <f>'2012 полн'!C30</f>
        <v>31519.575000000004</v>
      </c>
      <c r="D36" s="27">
        <f>'2012 полн'!D30</f>
        <v>274.176</v>
      </c>
      <c r="E36" s="244">
        <f>'2012 полн'!U30</f>
        <v>31945.92</v>
      </c>
      <c r="F36" s="244">
        <f>'2012 полн'!V30</f>
        <v>322.56</v>
      </c>
      <c r="G36" s="249">
        <f>'2012 полн'!AF30</f>
        <v>26878.709999999995</v>
      </c>
      <c r="H36" s="249">
        <f>'2012 полн'!AG30</f>
        <v>27475.445999999996</v>
      </c>
      <c r="I36" s="249">
        <f>'2012 полн'!AJ30</f>
        <v>521.45</v>
      </c>
      <c r="J36" s="249">
        <f>'2012 полн'!AK30</f>
        <v>2469.955</v>
      </c>
      <c r="K36" s="249">
        <f>'2012 полн'!AL30</f>
        <v>737.3000000000001</v>
      </c>
      <c r="L36" s="244">
        <f>'2012 полн'!AM30+'2012 полн'!AN30+'2012 полн'!AO30+'2012 полн'!AP30+'2012 полн'!AQ30+'2012 полн'!AR30+'2012 полн'!AS30+'2012 полн'!AT30+'2012 полн'!AX30</f>
        <v>21653.01</v>
      </c>
      <c r="M36" s="245">
        <f>'2012 полн'!AU30+'2012 полн'!AV30+'2012 полн'!AW30</f>
        <v>0</v>
      </c>
      <c r="N36" s="250">
        <f>'2012 полн'!BD30</f>
        <v>257.89</v>
      </c>
      <c r="O36" s="250">
        <f t="shared" si="4"/>
        <v>25118.155</v>
      </c>
      <c r="P36" s="248">
        <f t="shared" si="5"/>
        <v>2878.740999999998</v>
      </c>
      <c r="Q36" s="248">
        <f>'2012 полн'!BG30</f>
        <v>-5067.210000000003</v>
      </c>
      <c r="R36" s="158"/>
      <c r="S36" s="158"/>
    </row>
    <row r="37" spans="1:19" ht="12.75">
      <c r="A37" s="171" t="s">
        <v>50</v>
      </c>
      <c r="B37" s="83">
        <f>'2012 полн'!B31</f>
        <v>3686.5</v>
      </c>
      <c r="C37" s="83">
        <f>'2012 полн'!C31</f>
        <v>31519.575000000004</v>
      </c>
      <c r="D37" s="27">
        <f>'2012 полн'!D31</f>
        <v>274.176</v>
      </c>
      <c r="E37" s="244">
        <f>'2012 полн'!U31</f>
        <v>31993.21</v>
      </c>
      <c r="F37" s="244">
        <f>'2012 полн'!V31</f>
        <v>322.56</v>
      </c>
      <c r="G37" s="249">
        <f>'2012 полн'!AF31</f>
        <v>29286.819999999996</v>
      </c>
      <c r="H37" s="249">
        <f>'2012 полн'!AG31</f>
        <v>29883.555999999997</v>
      </c>
      <c r="I37" s="249">
        <f>'2012 полн'!AJ31</f>
        <v>521.45</v>
      </c>
      <c r="J37" s="249">
        <f>'2012 полн'!AK31</f>
        <v>2469.955</v>
      </c>
      <c r="K37" s="249">
        <f>'2012 полн'!AL31</f>
        <v>737.3000000000001</v>
      </c>
      <c r="L37" s="244">
        <f>'2012 полн'!AM31+'2012 полн'!AN31+'2012 полн'!AO31+'2012 полн'!AP31+'2012 полн'!AQ31+'2012 полн'!AR31+'2012 полн'!AS31+'2012 полн'!AT31+'2012 полн'!AX31</f>
        <v>52674.69</v>
      </c>
      <c r="M37" s="245">
        <f>'2012 полн'!AU31+'2012 полн'!AV31+'2012 полн'!AW31</f>
        <v>3309</v>
      </c>
      <c r="N37" s="250">
        <f>'2012 полн'!BD31</f>
        <v>257.89</v>
      </c>
      <c r="O37" s="250">
        <f t="shared" si="4"/>
        <v>59448.835</v>
      </c>
      <c r="P37" s="248">
        <f t="shared" si="5"/>
        <v>-29043.829</v>
      </c>
      <c r="Q37" s="248">
        <f>'2012 полн'!BG31</f>
        <v>-2706.390000000003</v>
      </c>
      <c r="R37" s="158"/>
      <c r="S37" s="158"/>
    </row>
    <row r="38" spans="1:17" ht="12.75">
      <c r="A38" s="171" t="s">
        <v>51</v>
      </c>
      <c r="B38" s="83">
        <f>'2012 полн'!B32</f>
        <v>3686.5</v>
      </c>
      <c r="C38" s="83">
        <f>'2012 полн'!C32</f>
        <v>35058.615</v>
      </c>
      <c r="D38" s="27">
        <f>'2012 полн'!D32</f>
        <v>366.91200000000003</v>
      </c>
      <c r="E38" s="244">
        <f>'2012 полн'!U32</f>
        <v>35584.84</v>
      </c>
      <c r="F38" s="244">
        <f>'2012 полн'!V32</f>
        <v>399.42</v>
      </c>
      <c r="G38" s="249">
        <f>'2012 полн'!AF32</f>
        <v>34590.32000000001</v>
      </c>
      <c r="H38" s="249">
        <f>'2012 полн'!AG32</f>
        <v>35356.65200000001</v>
      </c>
      <c r="I38" s="249">
        <f>'2012 полн'!AJ32</f>
        <v>521.45</v>
      </c>
      <c r="J38" s="249">
        <f>'2012 полн'!AK32</f>
        <v>2764.875</v>
      </c>
      <c r="K38" s="249">
        <f>'2012 полн'!AL32</f>
        <v>737.3000000000001</v>
      </c>
      <c r="L38" s="244">
        <f>'2012 полн'!AM32+'2012 полн'!AN32+'2012 полн'!AO32+'2012 полн'!AP32+'2012 полн'!AQ32+'2012 полн'!AR32+'2012 полн'!AS32+'2012 полн'!AT32+'2012 полн'!AX32</f>
        <v>28866.22</v>
      </c>
      <c r="M38" s="245">
        <f>'2012 полн'!AU32+'2012 полн'!AV32+'2012 полн'!AW32</f>
        <v>1997</v>
      </c>
      <c r="N38" s="250">
        <f>'2012 полн'!BD32</f>
        <v>257.89</v>
      </c>
      <c r="O38" s="250">
        <f t="shared" si="4"/>
        <v>34623.285</v>
      </c>
      <c r="P38" s="248">
        <f t="shared" si="5"/>
        <v>1254.8170000000027</v>
      </c>
      <c r="Q38" s="248">
        <f>'2012 полн'!BG32</f>
        <v>-994.5199999999895</v>
      </c>
    </row>
    <row r="39" spans="1:17" ht="12.75">
      <c r="A39" s="171" t="s">
        <v>52</v>
      </c>
      <c r="B39" s="83">
        <f>'2012 полн'!B33</f>
        <v>3686.5</v>
      </c>
      <c r="C39" s="83">
        <f>'2012 полн'!C33</f>
        <v>35058.615</v>
      </c>
      <c r="D39" s="27">
        <f>'2012 полн'!D33</f>
        <v>0</v>
      </c>
      <c r="E39" s="244">
        <f>'2012 полн'!U33</f>
        <v>35584.87</v>
      </c>
      <c r="F39" s="244">
        <f>'2012 полн'!V33</f>
        <v>399.42</v>
      </c>
      <c r="G39" s="249">
        <f>'2012 полн'!AF33</f>
        <v>32344.47</v>
      </c>
      <c r="H39" s="249">
        <f>'2012 полн'!AG33</f>
        <v>32743.89</v>
      </c>
      <c r="I39" s="249">
        <f>'2012 полн'!AJ33</f>
        <v>2321.45</v>
      </c>
      <c r="J39" s="249">
        <f>'2012 полн'!AK33</f>
        <v>2764.875</v>
      </c>
      <c r="K39" s="249">
        <f>'2012 полн'!AL33</f>
        <v>737.3000000000001</v>
      </c>
      <c r="L39" s="244">
        <f>'2012 полн'!AM33+'2012 полн'!AN33+'2012 полн'!AO33+'2012 полн'!AP33+'2012 полн'!AQ33+'2012 полн'!AR33+'2012 полн'!AS33+'2012 полн'!AT33+'2012 полн'!AX33</f>
        <v>28981.03</v>
      </c>
      <c r="M39" s="245">
        <f>'2012 полн'!AU33+'2012 полн'!AV33+'2012 полн'!AW33</f>
        <v>4143</v>
      </c>
      <c r="N39" s="250">
        <f>'2012 полн'!BD33</f>
        <v>707.89</v>
      </c>
      <c r="O39" s="250">
        <f t="shared" si="4"/>
        <v>37334.095</v>
      </c>
      <c r="P39" s="248">
        <f t="shared" si="5"/>
        <v>-2268.7550000000047</v>
      </c>
      <c r="Q39" s="248">
        <f>'2012 полн'!BG33</f>
        <v>-3240.4000000000015</v>
      </c>
    </row>
    <row r="40" spans="1:17" ht="12.75">
      <c r="A40" s="171" t="s">
        <v>53</v>
      </c>
      <c r="B40" s="83">
        <f>'2012 полн'!B34</f>
        <v>3686.5</v>
      </c>
      <c r="C40" s="83">
        <f>'2012 полн'!C34</f>
        <v>35058.615</v>
      </c>
      <c r="D40" s="27">
        <f>'2012 полн'!D34</f>
        <v>0</v>
      </c>
      <c r="E40" s="244">
        <f>'2012 полн'!U34</f>
        <v>35574.27</v>
      </c>
      <c r="F40" s="244">
        <f>'2012 полн'!V34</f>
        <v>399.42</v>
      </c>
      <c r="G40" s="249">
        <f>'2012 полн'!AF34</f>
        <v>28807.680000000004</v>
      </c>
      <c r="H40" s="249">
        <f>'2012 полн'!AG34</f>
        <v>29207.100000000002</v>
      </c>
      <c r="I40" s="249">
        <f>'2012 полн'!AJ34</f>
        <v>1121.45</v>
      </c>
      <c r="J40" s="249">
        <f>'2012 полн'!AK34</f>
        <v>2764.875</v>
      </c>
      <c r="K40" s="249">
        <f>'2012 полн'!AL34</f>
        <v>737.3000000000001</v>
      </c>
      <c r="L40" s="244">
        <f>'2012 полн'!AM34+'2012 полн'!AN34+'2012 полн'!AO34+'2012 полн'!AP34+'2012 полн'!AQ34+'2012 полн'!AR34+'2012 полн'!AS34+'2012 полн'!AT34+'2012 полн'!AX34</f>
        <v>28618.91</v>
      </c>
      <c r="M40" s="245">
        <f>'2012 полн'!AU34+'2012 полн'!AV34+'2012 полн'!AW34</f>
        <v>3038</v>
      </c>
      <c r="N40" s="250">
        <f>'2012 полн'!BD34</f>
        <v>407.89</v>
      </c>
      <c r="O40" s="250">
        <f t="shared" si="4"/>
        <v>35566.975</v>
      </c>
      <c r="P40" s="248">
        <f t="shared" si="5"/>
        <v>-5238.424999999996</v>
      </c>
      <c r="Q40" s="248">
        <f>'2012 полн'!BG34</f>
        <v>-6766.589999999993</v>
      </c>
    </row>
    <row r="41" spans="1:17" ht="12.75">
      <c r="A41" s="171" t="s">
        <v>41</v>
      </c>
      <c r="B41" s="83">
        <f>'2012 полн'!B35</f>
        <v>3686.5</v>
      </c>
      <c r="C41" s="83">
        <f>'2012 полн'!C35</f>
        <v>35058.615</v>
      </c>
      <c r="D41" s="27">
        <f>'2012 полн'!D35</f>
        <v>0</v>
      </c>
      <c r="E41" s="244">
        <f>'2012 полн'!U35</f>
        <v>35554.51</v>
      </c>
      <c r="F41" s="244">
        <f>'2012 полн'!V35</f>
        <v>399.42</v>
      </c>
      <c r="G41" s="249">
        <f>'2012 полн'!AF35</f>
        <v>40882.54000000001</v>
      </c>
      <c r="H41" s="249">
        <f>'2012 полн'!AG35</f>
        <v>41281.96000000001</v>
      </c>
      <c r="I41" s="249">
        <f>'2012 полн'!AJ35</f>
        <v>1121.45</v>
      </c>
      <c r="J41" s="249">
        <f>'2012 полн'!AK35</f>
        <v>2764.875</v>
      </c>
      <c r="K41" s="249">
        <f>'2012 полн'!AL35</f>
        <v>737.3000000000001</v>
      </c>
      <c r="L41" s="244">
        <f>'2012 полн'!AM35+'2012 полн'!AN35+'2012 полн'!AO35+'2012 полн'!AP35+'2012 полн'!AQ35+'2012 полн'!AR35+'2012 полн'!AS35+'2012 полн'!AT35+'2012 полн'!AX35</f>
        <v>28149.175</v>
      </c>
      <c r="M41" s="245">
        <f>'2012 полн'!AU35+'2012 полн'!AV35+'2012 полн'!AW35</f>
        <v>6194</v>
      </c>
      <c r="N41" s="250">
        <f>'2012 полн'!BD35</f>
        <v>407.89</v>
      </c>
      <c r="O41" s="250">
        <f t="shared" si="4"/>
        <v>38253.24</v>
      </c>
      <c r="P41" s="248">
        <f t="shared" si="5"/>
        <v>4150.1700000000055</v>
      </c>
      <c r="Q41" s="248">
        <f>'2012 полн'!BG35</f>
        <v>5328.030000000006</v>
      </c>
    </row>
    <row r="42" spans="1:17" ht="12.75">
      <c r="A42" s="171" t="s">
        <v>42</v>
      </c>
      <c r="B42" s="83">
        <f>'2012 полн'!B36</f>
        <v>3686.5</v>
      </c>
      <c r="C42" s="83">
        <f>'2012 полн'!C36</f>
        <v>35058.615</v>
      </c>
      <c r="D42" s="27">
        <f>'2012 полн'!D36</f>
        <v>0</v>
      </c>
      <c r="E42" s="244">
        <f>'2012 полн'!U36</f>
        <v>35537.06</v>
      </c>
      <c r="F42" s="244">
        <f>'2012 полн'!V36</f>
        <v>399.42</v>
      </c>
      <c r="G42" s="249">
        <f>'2012 полн'!AF36</f>
        <v>38378.5</v>
      </c>
      <c r="H42" s="249">
        <f>'2012 полн'!AG36</f>
        <v>38777.92</v>
      </c>
      <c r="I42" s="249">
        <f>'2012 полн'!AJ36</f>
        <v>1121.45</v>
      </c>
      <c r="J42" s="249">
        <f>'2012 полн'!AK36</f>
        <v>2764.875</v>
      </c>
      <c r="K42" s="249">
        <f>'2012 полн'!AL36</f>
        <v>737.3000000000001</v>
      </c>
      <c r="L42" s="244">
        <f>'2012 полн'!AM36+'2012 полн'!AN36+'2012 полн'!AO36+'2012 полн'!AP36+'2012 полн'!AQ36+'2012 полн'!AR36+'2012 полн'!AS36+'2012 полн'!AT36+'2012 полн'!AX36</f>
        <v>26475.385</v>
      </c>
      <c r="M42" s="245">
        <f>'2012 полн'!AU36+'2012 полн'!AV36+'2012 полн'!AW36</f>
        <v>2961</v>
      </c>
      <c r="N42" s="250">
        <f>'2012 полн'!BD36</f>
        <v>407.89</v>
      </c>
      <c r="O42" s="250">
        <f t="shared" si="4"/>
        <v>33346.45</v>
      </c>
      <c r="P42" s="248">
        <f t="shared" si="5"/>
        <v>6552.919999999998</v>
      </c>
      <c r="Q42" s="248">
        <f>'2012 полн'!BG36</f>
        <v>2841.4400000000023</v>
      </c>
    </row>
    <row r="43" spans="1:17" ht="13.5" thickBot="1">
      <c r="A43" s="251" t="s">
        <v>43</v>
      </c>
      <c r="B43" s="83">
        <f>'2012 полн'!B37</f>
        <v>3686.5</v>
      </c>
      <c r="C43" s="83">
        <f>'2012 полн'!C37</f>
        <v>35058.615</v>
      </c>
      <c r="D43" s="27">
        <f>'2012 полн'!D37</f>
        <v>0</v>
      </c>
      <c r="E43" s="244">
        <f>'2012 полн'!U37</f>
        <v>35549.14</v>
      </c>
      <c r="F43" s="244">
        <f>'2012 полн'!V37</f>
        <v>399.42</v>
      </c>
      <c r="G43" s="249">
        <f>'2012 полн'!AF37</f>
        <v>34997.85</v>
      </c>
      <c r="H43" s="249">
        <f>'2012 полн'!AG37</f>
        <v>35397.27</v>
      </c>
      <c r="I43" s="249">
        <f>'2012 полн'!AJ37</f>
        <v>1121.45</v>
      </c>
      <c r="J43" s="249">
        <f>'2012 полн'!AK37</f>
        <v>2764.875</v>
      </c>
      <c r="K43" s="249">
        <f>'2012 полн'!AL37</f>
        <v>737.3000000000001</v>
      </c>
      <c r="L43" s="244">
        <f>'2012 полн'!AM37+'2012 полн'!AN37+'2012 полн'!AO37+'2012 полн'!AP37+'2012 полн'!AQ37+'2012 полн'!AR37+'2012 полн'!AS37+'2012 полн'!AT37+'2012 полн'!AX37</f>
        <v>26908.385</v>
      </c>
      <c r="M43" s="245">
        <f>'2012 полн'!AU37+'2012 полн'!AV37+'2012 полн'!AW37</f>
        <v>8163</v>
      </c>
      <c r="N43" s="250">
        <f>'2012 полн'!BD37</f>
        <v>407.89</v>
      </c>
      <c r="O43" s="250">
        <f t="shared" si="4"/>
        <v>38981.45</v>
      </c>
      <c r="P43" s="248">
        <f t="shared" si="5"/>
        <v>-2462.730000000003</v>
      </c>
      <c r="Q43" s="248">
        <f>'2012 полн'!BG37</f>
        <v>-551.2900000000009</v>
      </c>
    </row>
    <row r="44" spans="1:19" s="20" customFormat="1" ht="13.5" thickBot="1">
      <c r="A44" s="34" t="s">
        <v>5</v>
      </c>
      <c r="B44" s="35"/>
      <c r="C44" s="75">
        <f aca="true" t="shared" si="6" ref="C44:P44">SUM(C32:C43)</f>
        <v>399469.14</v>
      </c>
      <c r="D44" s="75">
        <f t="shared" si="6"/>
        <v>2011.9679999999998</v>
      </c>
      <c r="E44" s="75">
        <f t="shared" si="6"/>
        <v>404969.62000000005</v>
      </c>
      <c r="F44" s="75">
        <f t="shared" si="6"/>
        <v>4331.88</v>
      </c>
      <c r="G44" s="75">
        <f t="shared" si="6"/>
        <v>382502.85</v>
      </c>
      <c r="H44" s="75">
        <f t="shared" si="6"/>
        <v>388846.698</v>
      </c>
      <c r="I44" s="75">
        <f t="shared" si="6"/>
        <v>10457.400000000001</v>
      </c>
      <c r="J44" s="75">
        <f t="shared" si="6"/>
        <v>31408.98</v>
      </c>
      <c r="K44" s="75">
        <f t="shared" si="6"/>
        <v>8847.6</v>
      </c>
      <c r="L44" s="75">
        <f t="shared" si="6"/>
        <v>347000.19</v>
      </c>
      <c r="M44" s="75">
        <f t="shared" si="6"/>
        <v>53314</v>
      </c>
      <c r="N44" s="75">
        <f t="shared" si="6"/>
        <v>4144.679999999999</v>
      </c>
      <c r="O44" s="75">
        <f t="shared" si="6"/>
        <v>444715.44999999995</v>
      </c>
      <c r="P44" s="75">
        <f t="shared" si="6"/>
        <v>-45411.352</v>
      </c>
      <c r="Q44" s="75">
        <f>SUM(Q32:Q43)</f>
        <v>-22466.769999999982</v>
      </c>
      <c r="R44" s="71"/>
      <c r="S44" s="71"/>
    </row>
    <row r="45" spans="1:17" ht="13.5" thickBot="1">
      <c r="A45" s="385" t="s">
        <v>70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237"/>
      <c r="P45" s="238"/>
      <c r="Q45" s="238"/>
    </row>
    <row r="46" spans="1:19" s="20" customFormat="1" ht="13.5" thickBot="1">
      <c r="A46" s="80" t="s">
        <v>54</v>
      </c>
      <c r="B46" s="38"/>
      <c r="C46" s="39">
        <f>C44+C30</f>
        <v>1638705.5450000004</v>
      </c>
      <c r="D46" s="39">
        <f>D44+D30</f>
        <v>111496.09102720003</v>
      </c>
      <c r="E46" s="39">
        <f>E44+E30</f>
        <v>1441793.33</v>
      </c>
      <c r="F46" s="39">
        <f>F44+F30</f>
        <v>101352.44</v>
      </c>
      <c r="G46" s="39">
        <f>G44+G30</f>
        <v>1364348.2059999998</v>
      </c>
      <c r="H46" s="39">
        <f aca="true" t="shared" si="7" ref="H46:Q46">H44+H30</f>
        <v>1577196.7370272</v>
      </c>
      <c r="I46" s="39">
        <f t="shared" si="7"/>
        <v>20367.899040000004</v>
      </c>
      <c r="J46" s="39">
        <f t="shared" si="7"/>
        <v>119887.78300000001</v>
      </c>
      <c r="K46" s="39">
        <f t="shared" si="7"/>
        <v>37410.825621</v>
      </c>
      <c r="L46" s="39">
        <f t="shared" si="7"/>
        <v>1120998.6321721657</v>
      </c>
      <c r="M46" s="39">
        <f t="shared" si="7"/>
        <v>367262.75</v>
      </c>
      <c r="N46" s="39">
        <f t="shared" si="7"/>
        <v>9328.731532251199</v>
      </c>
      <c r="O46" s="39">
        <f t="shared" si="7"/>
        <v>1654888.7223254167</v>
      </c>
      <c r="P46" s="39">
        <f t="shared" si="7"/>
        <v>-57324.08625821685</v>
      </c>
      <c r="Q46" s="39">
        <f t="shared" si="7"/>
        <v>-77445.12399999998</v>
      </c>
      <c r="R46" s="72"/>
      <c r="S46" s="71"/>
    </row>
    <row r="48" spans="1:4" ht="12.75">
      <c r="A48" s="20" t="s">
        <v>71</v>
      </c>
      <c r="D48" s="84" t="s">
        <v>122</v>
      </c>
    </row>
    <row r="49" spans="1:4" ht="12.75">
      <c r="A49" s="167" t="s">
        <v>72</v>
      </c>
      <c r="B49" s="167" t="s">
        <v>73</v>
      </c>
      <c r="C49" s="472" t="s">
        <v>74</v>
      </c>
      <c r="D49" s="473"/>
    </row>
    <row r="50" spans="1:4" ht="12.75">
      <c r="A50" s="130">
        <v>416845.5</v>
      </c>
      <c r="B50" s="130">
        <v>159721.86</v>
      </c>
      <c r="C50" s="186">
        <f>A50-B50</f>
        <v>257123.64</v>
      </c>
      <c r="D50" s="252"/>
    </row>
    <row r="51" ht="9" customHeight="1">
      <c r="A51" s="46"/>
    </row>
    <row r="52" spans="1:7" ht="12.75">
      <c r="A52" s="159" t="s">
        <v>77</v>
      </c>
      <c r="G52" s="159" t="s">
        <v>78</v>
      </c>
    </row>
    <row r="53" ht="7.5" customHeight="1">
      <c r="A53" s="158"/>
    </row>
    <row r="54" ht="12.75">
      <c r="A54" s="159" t="s">
        <v>120</v>
      </c>
    </row>
    <row r="55" ht="12.75">
      <c r="A55" s="159" t="s">
        <v>79</v>
      </c>
    </row>
  </sheetData>
  <sheetProtection/>
  <mergeCells count="28">
    <mergeCell ref="O10:O11"/>
    <mergeCell ref="A13:N13"/>
    <mergeCell ref="A29:N29"/>
    <mergeCell ref="C49:D49"/>
    <mergeCell ref="J8:O9"/>
    <mergeCell ref="A8:A11"/>
    <mergeCell ref="B8:B11"/>
    <mergeCell ref="C8:C11"/>
    <mergeCell ref="D8:D11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E8:F9"/>
    <mergeCell ref="A45:N45"/>
    <mergeCell ref="G8:H9"/>
    <mergeCell ref="B1:H1"/>
    <mergeCell ref="B2:H2"/>
    <mergeCell ref="A5:N5"/>
    <mergeCell ref="A6:G6"/>
    <mergeCell ref="A7:D7"/>
    <mergeCell ref="E7:F7"/>
    <mergeCell ref="N10:N11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2010-07-02T04:14:53Z</cp:lastPrinted>
  <dcterms:created xsi:type="dcterms:W3CDTF">2010-04-02T05:03:24Z</dcterms:created>
  <dcterms:modified xsi:type="dcterms:W3CDTF">2013-07-18T02:51:47Z</dcterms:modified>
  <cp:category/>
  <cp:version/>
  <cp:contentType/>
  <cp:contentStatus/>
</cp:coreProperties>
</file>