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3" activeTab="3"/>
  </bookViews>
  <sheets>
    <sheet name="Лист1" sheetId="1" state="hidden" r:id="rId1"/>
    <sheet name="Лист2" sheetId="2" state="hidden" r:id="rId2"/>
    <sheet name="2012 полн" sheetId="3" state="hidden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<sst xmlns="http://schemas.openxmlformats.org/spreadsheetml/2006/main" count="351" uniqueCount="129">
  <si>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</si>
  <si>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</si>
  <si>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</si>
  <si>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</si>
  <si>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</si>
  <si>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</si>
  <si>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</si>
  <si>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</si>
  <si>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</si>
  <si>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</si>
  <si>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</si>
  <si>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</si>
  <si>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</si>
  <si>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</si>
  <si>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</si>
  <si>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</si>
  <si>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</si>
  <si>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</si>
  <si>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</si>
  <si>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</si>
  <si>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</si>
  <si>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</si>
  <si>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</si>
  <si>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</si>
  <si>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</si>
  <si>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</si>
  <si>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</si>
  <si>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</si>
  <si>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</si>
  <si>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</si>
  <si>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</si>
  <si>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</si>
  <si>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</si>
  <si>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</si>
  <si>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</si>
  <si>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</si>
  <si>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</si>
  <si>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</si>
  <si>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</si>
  <si>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</si>
  <si>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</si>
  <si>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</si>
  <si>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</si>
  <si>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</si>
  <si>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</si>
  <si>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</si>
  <si>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</si>
  <si>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</si>
  <si>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</si>
  <si>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</si>
  <si>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</si>
  <si>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</si>
  <si>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</si>
  <si>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</si>
  <si>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</si>
  <si>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</si>
  <si>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</si>
  <si>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</si>
  <si>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</si>
  <si>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</si>
  <si>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</si>
  <si>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</si>
  <si>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</si>
  <si>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</si>
  <si>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</si>
  <si>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</si>
  <si>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</si>
  <si>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</si>
  <si>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</si>
  <si>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</si>
  <si>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</si>
  <si>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</si>
  <si>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</si>
  <si>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</si>
  <si>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Лицевой счет по адресу г. Таштагол, ул. Ленина, д. 17</t>
  </si>
  <si>
    <t>Выписка по лицевому счету по адресу г. Таштагол ул. Ленина, д. 17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</si>
  <si>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</si>
  <si>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</si>
  <si>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</si>
  <si>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</si>
  <si>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Эл.энергия МОП</t>
  </si>
  <si>
    <t>норма часов горения</t>
  </si>
  <si>
    <t>кол-во кВт</t>
  </si>
  <si>
    <t>стоимость итого</t>
  </si>
  <si>
    <t>Тек. ремонт ТУК</t>
  </si>
  <si>
    <t>Адрес</t>
  </si>
  <si>
    <t>Собрано всего по жил.услугам</t>
  </si>
  <si>
    <t>для счетов-фактур</t>
  </si>
  <si>
    <t>Расходы по жил. помещениям</t>
  </si>
  <si>
    <t>Доп. работы по содержанию ТУК</t>
  </si>
  <si>
    <t>Тек. ремонт УЖХ</t>
  </si>
  <si>
    <t>2010 год</t>
  </si>
  <si>
    <t>*по состоянию на 01.01.2011 г.</t>
  </si>
  <si>
    <t>по состояню на 01.01.2011г.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</si>
  <si>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</si>
  <si>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</si>
  <si>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</si>
  <si>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</si>
  <si>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</si>
  <si>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</si>
  <si>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</si>
  <si>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</si>
  <si>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</si>
  <si>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</si>
  <si>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</si>
  <si>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</si>
  <si>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</si>
  <si>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</si>
  <si>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</si>
  <si>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</si>
  <si>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</si>
  <si>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</si>
  <si>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</si>
  <si>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</si>
  <si>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</si>
  <si>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Доходы от нежилых помещений</t>
  </si>
  <si>
    <t>Услуга начисления</t>
  </si>
  <si>
    <t>Расходы по нежилым помещениям</t>
  </si>
  <si>
    <t>на начало отчетного периода</t>
  </si>
  <si>
    <t>2011 год</t>
  </si>
  <si>
    <t>Исп. В.В. Колмогорова</t>
  </si>
  <si>
    <t>Дотация целевое финансирование</t>
  </si>
  <si>
    <t>Доходы по нежилым помещениям</t>
  </si>
  <si>
    <t>Дотация и целевое финансирование</t>
  </si>
  <si>
    <t>Лицевой счет по адресу г. Таштагол, ул. Ленина, д.17</t>
  </si>
  <si>
    <t>2012 год</t>
  </si>
  <si>
    <t>*по состоянию на 01.05.2013 г.</t>
  </si>
  <si>
    <t>Тариф по содержанию и тек.ремонту 100 % (9,51 руб.*площадь)</t>
  </si>
  <si>
    <t>на 01.01.2013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</si>
</sst>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5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u val="single"/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right" wrapText="1"/>
    </xf>
    <xf numFmtId="4" fontId="0" fillId="33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4" fontId="0" fillId="35" borderId="20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1" fillId="0" borderId="26" xfId="0" applyNumberFormat="1" applyFont="1" applyFill="1" applyBorder="1" applyAlignment="1">
      <alignment wrapText="1"/>
    </xf>
    <xf numFmtId="4" fontId="1" fillId="36" borderId="26" xfId="0" applyNumberFormat="1" applyFont="1" applyFill="1" applyBorder="1" applyAlignment="1">
      <alignment wrapText="1"/>
    </xf>
    <xf numFmtId="4" fontId="1" fillId="33" borderId="26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5" borderId="28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4" fontId="0" fillId="35" borderId="30" xfId="0" applyNumberFormat="1" applyFont="1" applyFill="1" applyBorder="1" applyAlignment="1">
      <alignment horizontal="right"/>
    </xf>
    <xf numFmtId="4" fontId="0" fillId="35" borderId="17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25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1" xfId="34" applyNumberFormat="1" applyFont="1" applyFill="1" applyBorder="1" applyAlignment="1">
      <alignment horizontal="center" vertical="center" wrapText="1"/>
      <protection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8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4" borderId="34" xfId="0" applyNumberFormat="1" applyFont="1" applyFill="1" applyBorder="1" applyAlignment="1">
      <alignment/>
    </xf>
    <xf numFmtId="4" fontId="0" fillId="34" borderId="2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/>
    </xf>
    <xf numFmtId="4" fontId="10" fillId="34" borderId="11" xfId="34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8" borderId="2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6" borderId="2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20" xfId="0" applyNumberFormat="1" applyFont="1" applyBorder="1" applyAlignment="1">
      <alignment horizontal="center"/>
    </xf>
    <xf numFmtId="4" fontId="0" fillId="37" borderId="34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37" borderId="34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43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37" borderId="34" xfId="0" applyFont="1" applyFill="1" applyBorder="1" applyAlignment="1">
      <alignment/>
    </xf>
    <xf numFmtId="0" fontId="11" fillId="0" borderId="21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0" fontId="2" fillId="0" borderId="31" xfId="0" applyFont="1" applyBorder="1" applyAlignment="1">
      <alignment wrapText="1"/>
    </xf>
    <xf numFmtId="0" fontId="2" fillId="37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4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2" fontId="12" fillId="0" borderId="40" xfId="34" applyNumberFormat="1" applyFont="1" applyFill="1" applyBorder="1" applyAlignment="1">
      <alignment horizontal="center" vertical="center" wrapText="1"/>
      <protection/>
    </xf>
    <xf numFmtId="4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textRotation="90" wrapText="1"/>
    </xf>
    <xf numFmtId="0" fontId="14" fillId="0" borderId="48" xfId="0" applyFont="1" applyFill="1" applyBorder="1" applyAlignment="1">
      <alignment horizontal="center" textRotation="90"/>
    </xf>
    <xf numFmtId="2" fontId="14" fillId="0" borderId="18" xfId="0" applyNumberFormat="1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right" wrapText="1"/>
    </xf>
    <xf numFmtId="4" fontId="13" fillId="0" borderId="49" xfId="34" applyNumberFormat="1" applyFont="1" applyFill="1" applyBorder="1" applyAlignment="1">
      <alignment horizontal="right" vertical="center" wrapText="1"/>
      <protection/>
    </xf>
    <xf numFmtId="4" fontId="13" fillId="0" borderId="12" xfId="34" applyNumberFormat="1" applyFont="1" applyFill="1" applyBorder="1" applyAlignment="1">
      <alignment horizontal="right" vertical="center" wrapText="1"/>
      <protection/>
    </xf>
    <xf numFmtId="4" fontId="13" fillId="0" borderId="13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right"/>
    </xf>
    <xf numFmtId="4" fontId="13" fillId="0" borderId="12" xfId="0" applyNumberFormat="1" applyFont="1" applyFill="1" applyBorder="1" applyAlignment="1">
      <alignment horizontal="right"/>
    </xf>
    <xf numFmtId="4" fontId="13" fillId="0" borderId="41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 vertical="center" wrapText="1"/>
    </xf>
    <xf numFmtId="4" fontId="13" fillId="0" borderId="15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3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5" xfId="0" applyNumberFormat="1" applyFont="1" applyBorder="1" applyAlignment="1">
      <alignment horizontal="center"/>
    </xf>
    <xf numFmtId="4" fontId="13" fillId="0" borderId="20" xfId="34" applyNumberFormat="1" applyFont="1" applyFill="1" applyBorder="1" applyAlignment="1">
      <alignment horizontal="right" vertical="center" wrapText="1"/>
      <protection/>
    </xf>
    <xf numFmtId="4" fontId="13" fillId="0" borderId="10" xfId="34" applyNumberFormat="1" applyFont="1" applyFill="1" applyBorder="1" applyAlignment="1">
      <alignment horizontal="right" vertical="center" wrapText="1"/>
      <protection/>
    </xf>
    <xf numFmtId="4" fontId="13" fillId="0" borderId="10" xfId="0" applyNumberFormat="1" applyFont="1" applyFill="1" applyBorder="1" applyAlignment="1">
      <alignment horizontal="right"/>
    </xf>
    <xf numFmtId="4" fontId="13" fillId="0" borderId="5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/>
    </xf>
    <xf numFmtId="4" fontId="13" fillId="0" borderId="51" xfId="34" applyNumberFormat="1" applyFont="1" applyFill="1" applyBorder="1" applyAlignment="1">
      <alignment horizontal="right" vertical="center" wrapText="1"/>
      <protection/>
    </xf>
    <xf numFmtId="0" fontId="14" fillId="0" borderId="19" xfId="0" applyFont="1" applyFill="1" applyBorder="1" applyAlignment="1">
      <alignment horizontal="right" vertical="center" wrapText="1"/>
    </xf>
    <xf numFmtId="4" fontId="14" fillId="0" borderId="26" xfId="0" applyNumberFormat="1" applyFont="1" applyFill="1" applyBorder="1" applyAlignment="1">
      <alignment horizontal="right" wrapText="1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53" xfId="0" applyNumberFormat="1" applyFont="1" applyFill="1" applyBorder="1" applyAlignment="1">
      <alignment horizontal="right" wrapText="1"/>
    </xf>
    <xf numFmtId="4" fontId="14" fillId="0" borderId="24" xfId="0" applyNumberFormat="1" applyFont="1" applyFill="1" applyBorder="1" applyAlignment="1">
      <alignment horizontal="right" wrapText="1"/>
    </xf>
    <xf numFmtId="4" fontId="14" fillId="0" borderId="54" xfId="0" applyNumberFormat="1" applyFont="1" applyFill="1" applyBorder="1" applyAlignment="1">
      <alignment horizontal="right" wrapText="1"/>
    </xf>
    <xf numFmtId="4" fontId="14" fillId="0" borderId="55" xfId="0" applyNumberFormat="1" applyFont="1" applyFill="1" applyBorder="1" applyAlignment="1">
      <alignment horizontal="right" wrapText="1"/>
    </xf>
    <xf numFmtId="4" fontId="14" fillId="0" borderId="37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13" fillId="0" borderId="56" xfId="0" applyNumberFormat="1" applyFont="1" applyFill="1" applyBorder="1" applyAlignment="1">
      <alignment/>
    </xf>
    <xf numFmtId="0" fontId="14" fillId="0" borderId="19" xfId="0" applyFont="1" applyFill="1" applyBorder="1" applyAlignment="1">
      <alignment horizontal="left"/>
    </xf>
    <xf numFmtId="4" fontId="14" fillId="0" borderId="26" xfId="0" applyNumberFormat="1" applyFont="1" applyFill="1" applyBorder="1" applyAlignment="1">
      <alignment horizontal="right"/>
    </xf>
    <xf numFmtId="4" fontId="14" fillId="0" borderId="24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textRotation="90" wrapText="1"/>
    </xf>
    <xf numFmtId="0" fontId="17" fillId="0" borderId="48" xfId="0" applyFont="1" applyFill="1" applyBorder="1" applyAlignment="1">
      <alignment horizontal="center" textRotation="90"/>
    </xf>
    <xf numFmtId="2" fontId="17" fillId="0" borderId="18" xfId="0" applyNumberFormat="1" applyFont="1" applyFill="1" applyBorder="1" applyAlignment="1">
      <alignment horizontal="center" vertical="center" textRotation="90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2" fontId="16" fillId="0" borderId="15" xfId="0" applyNumberFormat="1" applyFont="1" applyBorder="1" applyAlignment="1">
      <alignment horizontal="center"/>
    </xf>
    <xf numFmtId="4" fontId="18" fillId="0" borderId="20" xfId="34" applyNumberFormat="1" applyFont="1" applyFill="1" applyBorder="1" applyAlignment="1">
      <alignment horizontal="right" vertical="center" wrapText="1"/>
      <protection/>
    </xf>
    <xf numFmtId="4" fontId="18" fillId="0" borderId="10" xfId="34" applyNumberFormat="1" applyFont="1" applyFill="1" applyBorder="1" applyAlignment="1">
      <alignment horizontal="right" vertical="center" wrapText="1"/>
      <protection/>
    </xf>
    <xf numFmtId="4" fontId="16" fillId="0" borderId="11" xfId="0" applyNumberFormat="1" applyFont="1" applyFill="1" applyBorder="1" applyAlignment="1">
      <alignment horizontal="right"/>
    </xf>
    <xf numFmtId="4" fontId="16" fillId="0" borderId="15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/>
    </xf>
    <xf numFmtId="4" fontId="16" fillId="0" borderId="50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 vertical="center" wrapText="1"/>
    </xf>
    <xf numFmtId="4" fontId="16" fillId="0" borderId="42" xfId="0" applyNumberFormat="1" applyFont="1" applyFill="1" applyBorder="1" applyAlignment="1">
      <alignment horizontal="right"/>
    </xf>
    <xf numFmtId="4" fontId="16" fillId="0" borderId="34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/>
    </xf>
    <xf numFmtId="4" fontId="18" fillId="0" borderId="51" xfId="34" applyNumberFormat="1" applyFont="1" applyFill="1" applyBorder="1" applyAlignment="1">
      <alignment horizontal="right" vertical="center" wrapText="1"/>
      <protection/>
    </xf>
    <xf numFmtId="0" fontId="16" fillId="0" borderId="0" xfId="0" applyFont="1" applyFill="1" applyBorder="1" applyAlignment="1">
      <alignment/>
    </xf>
    <xf numFmtId="0" fontId="17" fillId="0" borderId="19" xfId="0" applyFont="1" applyFill="1" applyBorder="1" applyAlignment="1">
      <alignment horizontal="right" vertical="center" wrapText="1"/>
    </xf>
    <xf numFmtId="4" fontId="17" fillId="0" borderId="26" xfId="0" applyNumberFormat="1" applyFont="1" applyFill="1" applyBorder="1" applyAlignment="1">
      <alignment horizontal="right" wrapText="1"/>
    </xf>
    <xf numFmtId="4" fontId="17" fillId="0" borderId="52" xfId="0" applyNumberFormat="1" applyFont="1" applyFill="1" applyBorder="1" applyAlignment="1">
      <alignment horizontal="right" wrapText="1"/>
    </xf>
    <xf numFmtId="4" fontId="17" fillId="0" borderId="53" xfId="0" applyNumberFormat="1" applyFont="1" applyFill="1" applyBorder="1" applyAlignment="1">
      <alignment horizontal="right" wrapText="1"/>
    </xf>
    <xf numFmtId="4" fontId="17" fillId="0" borderId="24" xfId="0" applyNumberFormat="1" applyFont="1" applyFill="1" applyBorder="1" applyAlignment="1">
      <alignment horizontal="right" wrapText="1"/>
    </xf>
    <xf numFmtId="4" fontId="17" fillId="0" borderId="37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" fontId="16" fillId="0" borderId="13" xfId="0" applyNumberFormat="1" applyFont="1" applyFill="1" applyBorder="1" applyAlignment="1">
      <alignment horizontal="right" wrapText="1"/>
    </xf>
    <xf numFmtId="4" fontId="18" fillId="0" borderId="49" xfId="34" applyNumberFormat="1" applyFont="1" applyFill="1" applyBorder="1" applyAlignment="1">
      <alignment horizontal="right" vertical="center" wrapText="1"/>
      <protection/>
    </xf>
    <xf numFmtId="4" fontId="18" fillId="0" borderId="12" xfId="34" applyNumberFormat="1" applyFont="1" applyFill="1" applyBorder="1" applyAlignment="1">
      <alignment horizontal="right" vertical="center" wrapText="1"/>
      <protection/>
    </xf>
    <xf numFmtId="4" fontId="16" fillId="0" borderId="13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4" fontId="16" fillId="0" borderId="12" xfId="0" applyNumberFormat="1" applyFont="1" applyFill="1" applyBorder="1" applyAlignment="1">
      <alignment horizontal="right"/>
    </xf>
    <xf numFmtId="4" fontId="16" fillId="0" borderId="41" xfId="0" applyNumberFormat="1" applyFont="1" applyFill="1" applyBorder="1" applyAlignment="1">
      <alignment horizontal="right"/>
    </xf>
    <xf numFmtId="4" fontId="17" fillId="0" borderId="11" xfId="0" applyNumberFormat="1" applyFont="1" applyFill="1" applyBorder="1" applyAlignment="1">
      <alignment horizontal="right" vertical="center" wrapText="1"/>
    </xf>
    <xf numFmtId="4" fontId="16" fillId="0" borderId="56" xfId="0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/>
    </xf>
    <xf numFmtId="4" fontId="17" fillId="0" borderId="26" xfId="0" applyNumberFormat="1" applyFont="1" applyFill="1" applyBorder="1" applyAlignment="1">
      <alignment horizontal="right"/>
    </xf>
    <xf numFmtId="4" fontId="17" fillId="0" borderId="24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/>
    </xf>
    <xf numFmtId="4" fontId="17" fillId="0" borderId="52" xfId="0" applyNumberFormat="1" applyFont="1" applyFill="1" applyBorder="1" applyAlignment="1">
      <alignment horizontal="right"/>
    </xf>
    <xf numFmtId="4" fontId="17" fillId="0" borderId="37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4" fontId="0" fillId="39" borderId="20" xfId="0" applyNumberFormat="1" applyFont="1" applyFill="1" applyBorder="1" applyAlignment="1">
      <alignment/>
    </xf>
    <xf numFmtId="4" fontId="2" fillId="34" borderId="42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1" fillId="0" borderId="57" xfId="0" applyNumberFormat="1" applyFont="1" applyFill="1" applyBorder="1" applyAlignment="1">
      <alignment horizontal="right"/>
    </xf>
    <xf numFmtId="4" fontId="1" fillId="0" borderId="59" xfId="0" applyNumberFormat="1" applyFont="1" applyFill="1" applyBorder="1" applyAlignment="1">
      <alignment/>
    </xf>
    <xf numFmtId="4" fontId="0" fillId="39" borderId="15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textRotation="90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25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7" fillId="34" borderId="22" xfId="0" applyNumberFormat="1" applyFont="1" applyFill="1" applyBorder="1" applyAlignment="1">
      <alignment horizontal="center" vertical="center" wrapText="1"/>
    </xf>
    <xf numFmtId="2" fontId="7" fillId="34" borderId="23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22" xfId="0" applyNumberFormat="1" applyFont="1" applyFill="1" applyBorder="1" applyAlignment="1">
      <alignment horizontal="center" vertical="center" wrapText="1"/>
    </xf>
    <xf numFmtId="2" fontId="1" fillId="34" borderId="23" xfId="0" applyNumberFormat="1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textRotation="90"/>
    </xf>
    <xf numFmtId="0" fontId="1" fillId="37" borderId="22" xfId="0" applyFont="1" applyFill="1" applyBorder="1" applyAlignment="1">
      <alignment horizontal="center" textRotation="90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36" borderId="33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34" borderId="36" xfId="0" applyNumberFormat="1" applyFont="1" applyFill="1" applyBorder="1" applyAlignment="1">
      <alignment horizontal="center" vertical="center" wrapText="1"/>
    </xf>
    <xf numFmtId="4" fontId="1" fillId="34" borderId="22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textRotation="90"/>
    </xf>
    <xf numFmtId="0" fontId="1" fillId="0" borderId="25" xfId="0" applyFont="1" applyFill="1" applyBorder="1" applyAlignment="1">
      <alignment horizontal="center" textRotation="90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6" borderId="23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2" fontId="1" fillId="38" borderId="36" xfId="0" applyNumberFormat="1" applyFont="1" applyFill="1" applyBorder="1" applyAlignment="1">
      <alignment horizontal="center" vertical="center" wrapText="1"/>
    </xf>
    <xf numFmtId="2" fontId="1" fillId="38" borderId="22" xfId="0" applyNumberFormat="1" applyFont="1" applyFill="1" applyBorder="1" applyAlignment="1">
      <alignment horizontal="center" vertical="center" wrapText="1"/>
    </xf>
    <xf numFmtId="2" fontId="1" fillId="38" borderId="23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 vertical="center" textRotation="90" wrapText="1"/>
    </xf>
    <xf numFmtId="2" fontId="17" fillId="0" borderId="48" xfId="0" applyNumberFormat="1" applyFont="1" applyFill="1" applyBorder="1" applyAlignment="1">
      <alignment horizontal="center" vertical="center" textRotation="90" wrapText="1"/>
    </xf>
    <xf numFmtId="0" fontId="17" fillId="0" borderId="68" xfId="0" applyFont="1" applyFill="1" applyBorder="1" applyAlignment="1">
      <alignment horizontal="left"/>
    </xf>
    <xf numFmtId="0" fontId="17" fillId="0" borderId="69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2" fontId="17" fillId="0" borderId="63" xfId="0" applyNumberFormat="1" applyFont="1" applyFill="1" applyBorder="1" applyAlignment="1">
      <alignment horizontal="center" textRotation="90" wrapText="1"/>
    </xf>
    <xf numFmtId="0" fontId="17" fillId="0" borderId="25" xfId="0" applyFont="1" applyFill="1" applyBorder="1" applyAlignment="1">
      <alignment horizontal="center" textRotation="90" wrapText="1"/>
    </xf>
    <xf numFmtId="0" fontId="17" fillId="0" borderId="64" xfId="0" applyFont="1" applyFill="1" applyBorder="1" applyAlignment="1">
      <alignment horizontal="center" textRotation="90" wrapText="1"/>
    </xf>
    <xf numFmtId="2" fontId="17" fillId="0" borderId="71" xfId="0" applyNumberFormat="1" applyFont="1" applyFill="1" applyBorder="1" applyAlignment="1">
      <alignment horizontal="center" vertical="center" wrapText="1"/>
    </xf>
    <xf numFmtId="2" fontId="17" fillId="0" borderId="35" xfId="0" applyNumberFormat="1" applyFont="1" applyFill="1" applyBorder="1" applyAlignment="1">
      <alignment horizontal="center" vertical="center" wrapText="1"/>
    </xf>
    <xf numFmtId="2" fontId="17" fillId="0" borderId="45" xfId="0" applyNumberFormat="1" applyFont="1" applyFill="1" applyBorder="1" applyAlignment="1">
      <alignment horizontal="center" vertical="center" wrapText="1"/>
    </xf>
    <xf numFmtId="2" fontId="17" fillId="0" borderId="44" xfId="0" applyNumberFormat="1" applyFont="1" applyFill="1" applyBorder="1" applyAlignment="1">
      <alignment horizontal="center" vertical="center" wrapText="1"/>
    </xf>
    <xf numFmtId="2" fontId="17" fillId="0" borderId="57" xfId="0" applyNumberFormat="1" applyFont="1" applyFill="1" applyBorder="1" applyAlignment="1">
      <alignment horizontal="center" vertical="center" wrapText="1"/>
    </xf>
    <xf numFmtId="2" fontId="17" fillId="0" borderId="72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" fontId="17" fillId="0" borderId="57" xfId="0" applyNumberFormat="1" applyFont="1" applyFill="1" applyBorder="1" applyAlignment="1">
      <alignment horizontal="center" vertical="center" textRotation="90" wrapText="1"/>
    </xf>
    <xf numFmtId="4" fontId="17" fillId="0" borderId="11" xfId="0" applyNumberFormat="1" applyFont="1" applyFill="1" applyBorder="1" applyAlignment="1">
      <alignment horizontal="center" vertical="center" textRotation="90" wrapText="1"/>
    </xf>
    <xf numFmtId="4" fontId="17" fillId="0" borderId="33" xfId="0" applyNumberFormat="1" applyFont="1" applyFill="1" applyBorder="1" applyAlignment="1">
      <alignment horizontal="center" vertical="center" textRotation="90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textRotation="90" wrapText="1"/>
    </xf>
    <xf numFmtId="2" fontId="17" fillId="0" borderId="18" xfId="0" applyNumberFormat="1" applyFont="1" applyFill="1" applyBorder="1" applyAlignment="1">
      <alignment horizontal="center" vertical="center" textRotation="90" wrapText="1"/>
    </xf>
    <xf numFmtId="2" fontId="17" fillId="0" borderId="11" xfId="0" applyNumberFormat="1" applyFont="1" applyFill="1" applyBorder="1" applyAlignment="1">
      <alignment horizontal="center" vertical="center" textRotation="90" wrapText="1"/>
    </xf>
    <xf numFmtId="2" fontId="17" fillId="0" borderId="33" xfId="0" applyNumberFormat="1" applyFont="1" applyFill="1" applyBorder="1" applyAlignment="1">
      <alignment horizontal="center" vertical="center" textRotation="90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wrapText="1"/>
    </xf>
    <xf numFmtId="0" fontId="17" fillId="0" borderId="63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" fontId="17" fillId="0" borderId="58" xfId="0" applyNumberFormat="1" applyFont="1" applyFill="1" applyBorder="1" applyAlignment="1">
      <alignment horizontal="center" vertical="center" textRotation="90" wrapText="1"/>
    </xf>
    <xf numFmtId="4" fontId="17" fillId="0" borderId="20" xfId="0" applyNumberFormat="1" applyFont="1" applyFill="1" applyBorder="1" applyAlignment="1">
      <alignment horizontal="center" vertical="center" textRotation="90" wrapText="1"/>
    </xf>
    <xf numFmtId="4" fontId="17" fillId="0" borderId="51" xfId="0" applyNumberFormat="1" applyFont="1" applyFill="1" applyBorder="1" applyAlignment="1">
      <alignment horizontal="center" vertical="center" textRotation="90" wrapText="1"/>
    </xf>
    <xf numFmtId="4" fontId="17" fillId="0" borderId="44" xfId="0" applyNumberFormat="1" applyFont="1" applyFill="1" applyBorder="1" applyAlignment="1">
      <alignment horizontal="center" vertical="center" textRotation="90" wrapText="1"/>
    </xf>
    <xf numFmtId="4" fontId="17" fillId="0" borderId="10" xfId="0" applyNumberFormat="1" applyFont="1" applyFill="1" applyBorder="1" applyAlignment="1">
      <alignment horizontal="center" vertical="center" textRotation="90" wrapText="1"/>
    </xf>
    <xf numFmtId="4" fontId="17" fillId="0" borderId="1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6" fillId="0" borderId="7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76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35" borderId="68" xfId="0" applyFont="1" applyFill="1" applyBorder="1" applyAlignment="1">
      <alignment horizontal="center" vertical="center" wrapText="1"/>
    </xf>
    <xf numFmtId="0" fontId="1" fillId="35" borderId="65" xfId="0" applyFont="1" applyFill="1" applyBorder="1" applyAlignment="1">
      <alignment horizontal="center" vertical="center" wrapText="1"/>
    </xf>
    <xf numFmtId="0" fontId="1" fillId="35" borderId="66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textRotation="90"/>
    </xf>
    <xf numFmtId="0" fontId="14" fillId="0" borderId="68" xfId="0" applyFont="1" applyFill="1" applyBorder="1" applyAlignment="1">
      <alignment horizontal="left"/>
    </xf>
    <xf numFmtId="0" fontId="14" fillId="0" borderId="69" xfId="0" applyFont="1" applyFill="1" applyBorder="1" applyAlignment="1">
      <alignment horizontal="left"/>
    </xf>
    <xf numFmtId="2" fontId="13" fillId="0" borderId="20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vertical="center" textRotation="90" wrapText="1"/>
    </xf>
    <xf numFmtId="0" fontId="14" fillId="0" borderId="22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2" fontId="14" fillId="0" borderId="68" xfId="0" applyNumberFormat="1" applyFont="1" applyFill="1" applyBorder="1" applyAlignment="1">
      <alignment horizontal="center" vertical="center" wrapText="1"/>
    </xf>
    <xf numFmtId="2" fontId="14" fillId="0" borderId="69" xfId="0" applyNumberFormat="1" applyFont="1" applyFill="1" applyBorder="1" applyAlignment="1">
      <alignment horizontal="center" vertical="center" wrapText="1"/>
    </xf>
    <xf numFmtId="2" fontId="14" fillId="0" borderId="63" xfId="0" applyNumberFormat="1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4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" fontId="14" fillId="0" borderId="57" xfId="0" applyNumberFormat="1" applyFont="1" applyFill="1" applyBorder="1" applyAlignment="1">
      <alignment horizontal="center" vertical="center" textRotation="90" wrapText="1"/>
    </xf>
    <xf numFmtId="4" fontId="14" fillId="0" borderId="11" xfId="0" applyNumberFormat="1" applyFont="1" applyFill="1" applyBorder="1" applyAlignment="1">
      <alignment horizontal="center" vertical="center" textRotation="90" wrapText="1"/>
    </xf>
    <xf numFmtId="4" fontId="14" fillId="0" borderId="33" xfId="0" applyNumberFormat="1" applyFont="1" applyFill="1" applyBorder="1" applyAlignment="1">
      <alignment horizontal="center" vertical="center" textRotation="90" wrapText="1"/>
    </xf>
    <xf numFmtId="4" fontId="14" fillId="0" borderId="58" xfId="0" applyNumberFormat="1" applyFont="1" applyFill="1" applyBorder="1" applyAlignment="1">
      <alignment horizontal="center" vertical="center" textRotation="90" wrapText="1"/>
    </xf>
    <xf numFmtId="4" fontId="14" fillId="0" borderId="20" xfId="0" applyNumberFormat="1" applyFont="1" applyFill="1" applyBorder="1" applyAlignment="1">
      <alignment horizontal="center" vertical="center" textRotation="90" wrapText="1"/>
    </xf>
    <xf numFmtId="4" fontId="14" fillId="0" borderId="51" xfId="0" applyNumberFormat="1" applyFont="1" applyFill="1" applyBorder="1" applyAlignment="1">
      <alignment horizontal="center" vertical="center" textRotation="90" wrapText="1"/>
    </xf>
    <xf numFmtId="4" fontId="14" fillId="0" borderId="44" xfId="0" applyNumberFormat="1" applyFont="1" applyFill="1" applyBorder="1" applyAlignment="1">
      <alignment horizontal="center" vertical="center" textRotation="90" wrapText="1"/>
    </xf>
    <xf numFmtId="4" fontId="14" fillId="0" borderId="10" xfId="0" applyNumberFormat="1" applyFont="1" applyFill="1" applyBorder="1" applyAlignment="1">
      <alignment horizontal="center" vertical="center" textRotation="90" wrapText="1"/>
    </xf>
    <xf numFmtId="4" fontId="14" fillId="0" borderId="18" xfId="0" applyNumberFormat="1" applyFont="1" applyFill="1" applyBorder="1" applyAlignment="1">
      <alignment horizontal="center" vertical="center" textRotation="90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textRotation="90" wrapText="1"/>
    </xf>
    <xf numFmtId="2" fontId="14" fillId="0" borderId="48" xfId="0" applyNumberFormat="1" applyFont="1" applyFill="1" applyBorder="1" applyAlignment="1">
      <alignment horizontal="center" vertical="center" textRotation="90" wrapText="1"/>
    </xf>
    <xf numFmtId="2" fontId="14" fillId="0" borderId="10" xfId="0" applyNumberFormat="1" applyFont="1" applyFill="1" applyBorder="1" applyAlignment="1">
      <alignment horizontal="center" vertical="center" textRotation="90" wrapText="1"/>
    </xf>
    <xf numFmtId="2" fontId="14" fillId="0" borderId="18" xfId="0" applyNumberFormat="1" applyFont="1" applyFill="1" applyBorder="1" applyAlignment="1">
      <alignment horizontal="center" vertical="center" textRotation="90" wrapText="1"/>
    </xf>
    <xf numFmtId="2" fontId="14" fillId="0" borderId="11" xfId="0" applyNumberFormat="1" applyFont="1" applyFill="1" applyBorder="1" applyAlignment="1">
      <alignment horizontal="center" vertical="center" textRotation="90" wrapText="1"/>
    </xf>
    <xf numFmtId="2" fontId="14" fillId="0" borderId="33" xfId="0" applyNumberFormat="1" applyFont="1" applyFill="1" applyBorder="1" applyAlignment="1">
      <alignment horizontal="center" vertical="center" textRotation="90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wrapText="1"/>
    </xf>
    <xf numFmtId="0" fontId="14" fillId="0" borderId="63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3" fillId="0" borderId="7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6">
          <cell r="I66">
            <v>1153.67184</v>
          </cell>
          <cell r="O66">
            <v>461.00010288</v>
          </cell>
        </row>
        <row r="72">
          <cell r="I72">
            <v>536.56134</v>
          </cell>
          <cell r="O72">
            <v>214.40657938</v>
          </cell>
        </row>
      </sheetData>
      <sheetData sheetId="7">
        <row r="67">
          <cell r="I67">
            <v>1153.67184</v>
          </cell>
          <cell r="O67">
            <v>460.79063966399997</v>
          </cell>
        </row>
        <row r="73">
          <cell r="I73">
            <v>536.56134</v>
          </cell>
          <cell r="O73">
            <v>214.309160114</v>
          </cell>
        </row>
      </sheetData>
      <sheetData sheetId="8">
        <row r="67">
          <cell r="I67">
            <v>1153.67184</v>
          </cell>
          <cell r="O67">
            <v>460.7209478256</v>
          </cell>
        </row>
        <row r="73">
          <cell r="I73">
            <v>536.56134</v>
          </cell>
          <cell r="O73">
            <v>214.27674713059997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67">
          <cell r="J67">
            <v>1152.624</v>
          </cell>
        </row>
        <row r="73">
          <cell r="J73">
            <v>536.074</v>
          </cell>
        </row>
        <row r="110">
          <cell r="J110">
            <v>397.18800000000005</v>
          </cell>
        </row>
        <row r="114">
          <cell r="J114">
            <v>314.028</v>
          </cell>
        </row>
        <row r="148">
          <cell r="J148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43">
          <cell r="J43">
            <v>1425.24</v>
          </cell>
          <cell r="S43">
            <v>702.408</v>
          </cell>
        </row>
        <row r="48">
          <cell r="J48">
            <v>662.865</v>
          </cell>
          <cell r="S48">
            <v>326.683</v>
          </cell>
        </row>
        <row r="77">
          <cell r="J77">
            <v>491.13000000000005</v>
          </cell>
          <cell r="S77">
            <v>242.046</v>
          </cell>
        </row>
        <row r="80">
          <cell r="J80">
            <v>401.83000000000004</v>
          </cell>
          <cell r="S80">
            <v>226.226</v>
          </cell>
        </row>
        <row r="176">
          <cell r="J176">
            <v>100</v>
          </cell>
          <cell r="S176">
            <v>25</v>
          </cell>
        </row>
        <row r="237">
          <cell r="J237">
            <v>114</v>
          </cell>
          <cell r="S237">
            <v>28.5</v>
          </cell>
        </row>
      </sheetData>
      <sheetData sheetId="4">
        <row r="41">
          <cell r="J41">
            <v>1425.24</v>
          </cell>
          <cell r="S41">
            <v>702.408</v>
          </cell>
        </row>
        <row r="45">
          <cell r="J45">
            <v>662.865</v>
          </cell>
          <cell r="S45">
            <v>326.683</v>
          </cell>
        </row>
        <row r="75">
          <cell r="J75">
            <v>491.13000000000005</v>
          </cell>
          <cell r="S75">
            <v>242.046</v>
          </cell>
        </row>
        <row r="78">
          <cell r="J78">
            <v>401.83000000000004</v>
          </cell>
          <cell r="S78">
            <v>226.226</v>
          </cell>
        </row>
        <row r="177">
          <cell r="J177">
            <v>100</v>
          </cell>
          <cell r="S177">
            <v>25</v>
          </cell>
        </row>
        <row r="244">
          <cell r="J244">
            <v>114</v>
          </cell>
          <cell r="S244">
            <v>28.5</v>
          </cell>
        </row>
      </sheetData>
      <sheetData sheetId="5">
        <row r="41">
          <cell r="J41">
            <v>1425.24</v>
          </cell>
          <cell r="S41">
            <v>702.408</v>
          </cell>
        </row>
        <row r="45">
          <cell r="J45">
            <v>662.865</v>
          </cell>
          <cell r="S45">
            <v>326.683</v>
          </cell>
        </row>
        <row r="75">
          <cell r="J75">
            <v>491.13000000000005</v>
          </cell>
          <cell r="S75">
            <v>242.046</v>
          </cell>
        </row>
        <row r="78">
          <cell r="J78">
            <v>401.83000000000004</v>
          </cell>
          <cell r="S78">
            <v>226.226</v>
          </cell>
        </row>
        <row r="179">
          <cell r="J179">
            <v>100</v>
          </cell>
          <cell r="S179">
            <v>25</v>
          </cell>
        </row>
        <row r="208">
          <cell r="J208">
            <v>100</v>
          </cell>
          <cell r="S208">
            <v>25</v>
          </cell>
        </row>
        <row r="275">
          <cell r="J275">
            <v>114</v>
          </cell>
          <cell r="S275">
            <v>28.5</v>
          </cell>
        </row>
      </sheetData>
      <sheetData sheetId="6">
        <row r="41">
          <cell r="S41">
            <v>702.408</v>
          </cell>
        </row>
        <row r="45">
          <cell r="S45">
            <v>326.683</v>
          </cell>
        </row>
        <row r="75">
          <cell r="S75">
            <v>242.046</v>
          </cell>
        </row>
        <row r="78">
          <cell r="S78">
            <v>226.226</v>
          </cell>
        </row>
        <row r="181">
          <cell r="S181">
            <v>25</v>
          </cell>
        </row>
        <row r="210">
          <cell r="S210">
            <v>25</v>
          </cell>
        </row>
        <row r="228">
          <cell r="J228">
            <v>100</v>
          </cell>
        </row>
        <row r="277">
          <cell r="S277">
            <v>28.5</v>
          </cell>
        </row>
      </sheetData>
      <sheetData sheetId="7">
        <row r="41">
          <cell r="J41">
            <v>1425.24</v>
          </cell>
          <cell r="S41">
            <v>702.408</v>
          </cell>
        </row>
        <row r="45">
          <cell r="J45">
            <v>662.865</v>
          </cell>
          <cell r="S45">
            <v>326.683</v>
          </cell>
        </row>
        <row r="75">
          <cell r="J75">
            <v>491.13000000000005</v>
          </cell>
          <cell r="S75">
            <v>242.046</v>
          </cell>
        </row>
        <row r="78">
          <cell r="J78">
            <v>401.83000000000004</v>
          </cell>
          <cell r="S78">
            <v>226.226</v>
          </cell>
        </row>
        <row r="181">
          <cell r="J181">
            <v>100</v>
          </cell>
          <cell r="S181">
            <v>25</v>
          </cell>
        </row>
        <row r="210">
          <cell r="J210">
            <v>100</v>
          </cell>
          <cell r="S210">
            <v>25</v>
          </cell>
        </row>
        <row r="277">
          <cell r="J277">
            <v>114</v>
          </cell>
          <cell r="S277">
            <v>28.5</v>
          </cell>
        </row>
      </sheetData>
      <sheetData sheetId="8">
        <row r="41">
          <cell r="J41">
            <v>1425.24</v>
          </cell>
          <cell r="S41">
            <v>702.408</v>
          </cell>
        </row>
        <row r="45">
          <cell r="J45">
            <v>662.865</v>
          </cell>
          <cell r="S45">
            <v>326.683</v>
          </cell>
        </row>
        <row r="75">
          <cell r="J75">
            <v>491.13000000000005</v>
          </cell>
          <cell r="S75">
            <v>242.046</v>
          </cell>
        </row>
        <row r="78">
          <cell r="J78">
            <v>401.83000000000004</v>
          </cell>
          <cell r="S78">
            <v>226.226</v>
          </cell>
        </row>
        <row r="184">
          <cell r="J184">
            <v>100</v>
          </cell>
          <cell r="S184">
            <v>25</v>
          </cell>
        </row>
        <row r="210">
          <cell r="J210">
            <v>100</v>
          </cell>
          <cell r="S210">
            <v>25</v>
          </cell>
        </row>
        <row r="277">
          <cell r="J277">
            <v>114</v>
          </cell>
          <cell r="S277">
            <v>28.5</v>
          </cell>
        </row>
      </sheetData>
      <sheetData sheetId="9">
        <row r="41">
          <cell r="J41">
            <v>1425.24</v>
          </cell>
          <cell r="S41">
            <v>702.408</v>
          </cell>
        </row>
        <row r="45">
          <cell r="J45">
            <v>662.865</v>
          </cell>
          <cell r="S45">
            <v>326.683</v>
          </cell>
        </row>
        <row r="74">
          <cell r="J74">
            <v>491.13000000000005</v>
          </cell>
          <cell r="S74">
            <v>242.046</v>
          </cell>
        </row>
        <row r="77">
          <cell r="J77">
            <v>401.83000000000004</v>
          </cell>
          <cell r="S77">
            <v>226.226</v>
          </cell>
        </row>
        <row r="183">
          <cell r="J183">
            <v>100</v>
          </cell>
          <cell r="S183">
            <v>25</v>
          </cell>
        </row>
        <row r="209">
          <cell r="J209">
            <v>100</v>
          </cell>
          <cell r="S209">
            <v>25</v>
          </cell>
        </row>
        <row r="276">
          <cell r="J276">
            <v>114</v>
          </cell>
          <cell r="S276">
            <v>28.5</v>
          </cell>
        </row>
      </sheetData>
      <sheetData sheetId="10">
        <row r="41">
          <cell r="J41">
            <v>1425.24</v>
          </cell>
          <cell r="S41">
            <v>702.408</v>
          </cell>
        </row>
        <row r="45">
          <cell r="J45">
            <v>662.865</v>
          </cell>
          <cell r="S45">
            <v>326.683</v>
          </cell>
        </row>
        <row r="74">
          <cell r="J74">
            <v>491.13000000000005</v>
          </cell>
          <cell r="S74">
            <v>242.046</v>
          </cell>
        </row>
        <row r="77">
          <cell r="J77">
            <v>401.83000000000004</v>
          </cell>
          <cell r="S77">
            <v>226.226</v>
          </cell>
        </row>
        <row r="185">
          <cell r="J185">
            <v>100</v>
          </cell>
          <cell r="S185">
            <v>25</v>
          </cell>
        </row>
        <row r="211">
          <cell r="J211">
            <v>100</v>
          </cell>
          <cell r="S211">
            <v>25</v>
          </cell>
        </row>
        <row r="278">
          <cell r="J278">
            <v>114</v>
          </cell>
          <cell r="S278">
            <v>28.5</v>
          </cell>
        </row>
      </sheetData>
      <sheetData sheetId="11">
        <row r="41">
          <cell r="J41">
            <v>1425.24</v>
          </cell>
          <cell r="S41">
            <v>702.408</v>
          </cell>
        </row>
        <row r="45">
          <cell r="J45">
            <v>662.865</v>
          </cell>
          <cell r="S45">
            <v>326.683</v>
          </cell>
        </row>
        <row r="74">
          <cell r="J74">
            <v>491.13000000000005</v>
          </cell>
          <cell r="S74">
            <v>242.046</v>
          </cell>
        </row>
        <row r="77">
          <cell r="J77">
            <v>401.83000000000004</v>
          </cell>
          <cell r="S77">
            <v>226.226</v>
          </cell>
        </row>
        <row r="187">
          <cell r="J187">
            <v>100</v>
          </cell>
          <cell r="S187">
            <v>25</v>
          </cell>
        </row>
        <row r="213">
          <cell r="J213">
            <v>100</v>
          </cell>
          <cell r="S213">
            <v>25</v>
          </cell>
        </row>
        <row r="280">
          <cell r="J280">
            <v>114</v>
          </cell>
          <cell r="S280">
            <v>28.5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67">
          <cell r="I67">
            <v>1153.67184</v>
          </cell>
        </row>
        <row r="75">
          <cell r="I75">
            <v>536.56134</v>
          </cell>
        </row>
        <row r="109">
          <cell r="I109">
            <v>397.54908</v>
          </cell>
        </row>
        <row r="113">
          <cell r="I113">
            <v>314.20387999999997</v>
          </cell>
        </row>
      </sheetData>
      <sheetData sheetId="9">
        <row r="67">
          <cell r="I67">
            <v>1153.67184</v>
          </cell>
          <cell r="M67">
            <v>464.424</v>
          </cell>
        </row>
        <row r="75">
          <cell r="I75">
            <v>536.56134</v>
          </cell>
          <cell r="M75">
            <v>215.999</v>
          </cell>
        </row>
        <row r="110">
          <cell r="I110">
            <v>397.54908</v>
          </cell>
          <cell r="M110">
            <v>160.038</v>
          </cell>
        </row>
        <row r="114">
          <cell r="I114">
            <v>314.20387999999997</v>
          </cell>
          <cell r="M114">
            <v>149.578</v>
          </cell>
        </row>
      </sheetData>
      <sheetData sheetId="10">
        <row r="67">
          <cell r="I67">
            <v>1153.67184</v>
          </cell>
          <cell r="M67">
            <v>464.424</v>
          </cell>
        </row>
        <row r="75">
          <cell r="I75">
            <v>536.56134</v>
          </cell>
          <cell r="M75">
            <v>215.999</v>
          </cell>
        </row>
        <row r="109">
          <cell r="I109">
            <v>397.54908</v>
          </cell>
          <cell r="M109">
            <v>160.038</v>
          </cell>
        </row>
        <row r="113">
          <cell r="I113">
            <v>314.20387999999997</v>
          </cell>
          <cell r="M113">
            <v>149.578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70">
          <cell r="I70">
            <v>1153.67184</v>
          </cell>
          <cell r="M70">
            <v>464.424</v>
          </cell>
        </row>
        <row r="78">
          <cell r="I78">
            <v>536.56134</v>
          </cell>
          <cell r="M78">
            <v>215.999</v>
          </cell>
        </row>
        <row r="113">
          <cell r="I113">
            <v>397.54908</v>
          </cell>
          <cell r="M113">
            <v>160.038</v>
          </cell>
        </row>
        <row r="117">
          <cell r="I117">
            <v>314.20387999999997</v>
          </cell>
          <cell r="M117">
            <v>149.578</v>
          </cell>
        </row>
      </sheetData>
      <sheetData sheetId="5">
        <row r="68">
          <cell r="M68">
            <v>464.424</v>
          </cell>
        </row>
        <row r="76">
          <cell r="M76">
            <v>215.999</v>
          </cell>
        </row>
        <row r="110">
          <cell r="M110">
            <v>160.038</v>
          </cell>
        </row>
        <row r="114">
          <cell r="M114">
            <v>149.578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1">
          <cell r="I71">
            <v>1153.67184</v>
          </cell>
        </row>
        <row r="79">
          <cell r="I79">
            <v>536.56134</v>
          </cell>
        </row>
        <row r="113">
          <cell r="I113">
            <v>397.54908</v>
          </cell>
        </row>
        <row r="117">
          <cell r="I117">
            <v>314.20387999999997</v>
          </cell>
        </row>
      </sheetData>
      <sheetData sheetId="1">
        <row r="71">
          <cell r="I71">
            <v>1153.67184</v>
          </cell>
          <cell r="O71">
            <v>464.97456</v>
          </cell>
        </row>
        <row r="79">
          <cell r="I79">
            <v>536.56134</v>
          </cell>
          <cell r="O79">
            <v>216.25506</v>
          </cell>
        </row>
        <row r="113">
          <cell r="I113">
            <v>397.54908</v>
          </cell>
          <cell r="O113">
            <v>160.22772000000003</v>
          </cell>
        </row>
        <row r="117">
          <cell r="I117">
            <v>314.20387999999997</v>
          </cell>
          <cell r="O117">
            <v>149.75532</v>
          </cell>
        </row>
      </sheetData>
      <sheetData sheetId="2">
        <row r="72">
          <cell r="I72">
            <v>1153.67184</v>
          </cell>
          <cell r="O72">
            <v>464.97456</v>
          </cell>
        </row>
        <row r="80">
          <cell r="I80">
            <v>536.56134</v>
          </cell>
          <cell r="O80">
            <v>216.25506</v>
          </cell>
        </row>
        <row r="115">
          <cell r="I115">
            <v>397.54908</v>
          </cell>
          <cell r="O115">
            <v>160.22772000000003</v>
          </cell>
        </row>
        <row r="119">
          <cell r="I119">
            <v>314.20387999999997</v>
          </cell>
          <cell r="O119">
            <v>149.75532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1">
          <cell r="O71">
            <v>464.328848</v>
          </cell>
        </row>
        <row r="79">
          <cell r="O79">
            <v>215.94129800000002</v>
          </cell>
        </row>
        <row r="113">
          <cell r="O113">
            <v>159.99787600000002</v>
          </cell>
        </row>
        <row r="117">
          <cell r="O117">
            <v>149.538956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69">
          <cell r="I69">
            <v>1153.67184</v>
          </cell>
        </row>
        <row r="77">
          <cell r="I77">
            <v>536.56134</v>
          </cell>
        </row>
        <row r="112">
          <cell r="I112">
            <v>397.54908</v>
          </cell>
        </row>
        <row r="116">
          <cell r="I116">
            <v>314.20387999999997</v>
          </cell>
        </row>
      </sheetData>
      <sheetData sheetId="2">
        <row r="70">
          <cell r="M70">
            <v>464.424</v>
          </cell>
        </row>
        <row r="78">
          <cell r="M78">
            <v>215.999</v>
          </cell>
        </row>
        <row r="113">
          <cell r="M113">
            <v>160.038</v>
          </cell>
        </row>
        <row r="117">
          <cell r="M117">
            <v>149.578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Y4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67">
          <cell r="I67">
            <v>1152.624</v>
          </cell>
          <cell r="R67">
            <v>702.408</v>
          </cell>
        </row>
        <row r="73">
          <cell r="I73">
            <v>536.074</v>
          </cell>
          <cell r="R73">
            <v>326.683</v>
          </cell>
        </row>
        <row r="109">
          <cell r="I109">
            <v>397.18800000000005</v>
          </cell>
          <cell r="R109">
            <v>242.046</v>
          </cell>
        </row>
        <row r="113">
          <cell r="I113">
            <v>314.028</v>
          </cell>
          <cell r="R113">
            <v>226.226</v>
          </cell>
        </row>
        <row r="144">
          <cell r="I144">
            <v>100</v>
          </cell>
          <cell r="R144">
            <v>25</v>
          </cell>
        </row>
      </sheetData>
      <sheetData sheetId="1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9">
          <cell r="J109">
            <v>397.18800000000005</v>
          </cell>
          <cell r="S109">
            <v>242.046</v>
          </cell>
        </row>
        <row r="113">
          <cell r="J113">
            <v>314.028</v>
          </cell>
          <cell r="S113">
            <v>226.226</v>
          </cell>
        </row>
        <row r="145">
          <cell r="S145">
            <v>25</v>
          </cell>
        </row>
        <row r="146">
          <cell r="J146">
            <v>100</v>
          </cell>
        </row>
      </sheetData>
      <sheetData sheetId="2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9">
          <cell r="J109">
            <v>397.18800000000005</v>
          </cell>
          <cell r="S109">
            <v>242.046</v>
          </cell>
        </row>
        <row r="113">
          <cell r="J113">
            <v>314.028</v>
          </cell>
          <cell r="S113">
            <v>226.226</v>
          </cell>
        </row>
        <row r="146">
          <cell r="J146">
            <v>100</v>
          </cell>
          <cell r="S146">
            <v>25</v>
          </cell>
        </row>
      </sheetData>
      <sheetData sheetId="3">
        <row r="67">
          <cell r="S67">
            <v>702.408</v>
          </cell>
        </row>
        <row r="73">
          <cell r="S73">
            <v>326.683</v>
          </cell>
        </row>
        <row r="110">
          <cell r="S110">
            <v>242.046</v>
          </cell>
        </row>
        <row r="114">
          <cell r="S114">
            <v>226.226</v>
          </cell>
        </row>
        <row r="148">
          <cell r="S148">
            <v>25</v>
          </cell>
        </row>
      </sheetData>
      <sheetData sheetId="4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46">
          <cell r="J146">
            <v>100</v>
          </cell>
          <cell r="S146">
            <v>25</v>
          </cell>
        </row>
        <row r="207">
          <cell r="J207">
            <v>114</v>
          </cell>
          <cell r="S207">
            <v>28.5</v>
          </cell>
        </row>
      </sheetData>
      <sheetData sheetId="5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46">
          <cell r="J146">
            <v>100</v>
          </cell>
          <cell r="S146">
            <v>25</v>
          </cell>
        </row>
        <row r="207">
          <cell r="J207">
            <v>114</v>
          </cell>
          <cell r="S207">
            <v>28.5</v>
          </cell>
        </row>
      </sheetData>
      <sheetData sheetId="6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51">
          <cell r="J151">
            <v>100</v>
          </cell>
          <cell r="S151">
            <v>25</v>
          </cell>
        </row>
        <row r="211">
          <cell r="J211">
            <v>114</v>
          </cell>
          <cell r="S211">
            <v>28.5</v>
          </cell>
        </row>
      </sheetData>
      <sheetData sheetId="7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54">
          <cell r="J154">
            <v>100</v>
          </cell>
          <cell r="S154">
            <v>25</v>
          </cell>
        </row>
        <row r="215">
          <cell r="J215">
            <v>114</v>
          </cell>
          <cell r="S215">
            <v>28.5</v>
          </cell>
        </row>
      </sheetData>
      <sheetData sheetId="8">
        <row r="67">
          <cell r="J67">
            <v>1152.624</v>
          </cell>
        </row>
        <row r="73">
          <cell r="J73">
            <v>536.074</v>
          </cell>
        </row>
        <row r="108">
          <cell r="J108">
            <v>397.18800000000005</v>
          </cell>
        </row>
        <row r="112">
          <cell r="J112">
            <v>314.028</v>
          </cell>
        </row>
        <row r="154">
          <cell r="J154">
            <v>100</v>
          </cell>
        </row>
        <row r="215">
          <cell r="J215">
            <v>114</v>
          </cell>
        </row>
      </sheetData>
      <sheetData sheetId="9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54">
          <cell r="J154">
            <v>100</v>
          </cell>
          <cell r="S154">
            <v>25</v>
          </cell>
        </row>
        <row r="215">
          <cell r="J215">
            <v>114</v>
          </cell>
          <cell r="S215">
            <v>28.5</v>
          </cell>
        </row>
      </sheetData>
      <sheetData sheetId="10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54">
          <cell r="J154">
            <v>100</v>
          </cell>
          <cell r="S154">
            <v>25</v>
          </cell>
        </row>
        <row r="215">
          <cell r="J215">
            <v>114</v>
          </cell>
          <cell r="S215">
            <v>28.5</v>
          </cell>
        </row>
      </sheetData>
      <sheetData sheetId="11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78">
          <cell r="J178">
            <v>100</v>
          </cell>
          <cell r="S178">
            <v>25</v>
          </cell>
        </row>
        <row r="239">
          <cell r="J239">
            <v>114</v>
          </cell>
          <cell r="S239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1" ySplit="1" topLeftCell="AQ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B44" sqref="BB44:BC4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1.375" style="2" customWidth="1"/>
    <col min="55" max="55" width="9.125" style="2" customWidth="1"/>
    <col min="56" max="56" width="11.25390625" style="2" customWidth="1"/>
    <col min="57" max="57" width="10.125" style="2" customWidth="1"/>
    <col min="58" max="58" width="10.75390625" style="2" customWidth="1"/>
    <col min="59" max="16384" width="9.125" style="2" customWidth="1"/>
  </cols>
  <sheetData>
    <row r="1" spans="1:18" ht="21" customHeight="1">
      <c r="A1" s="384" t="s">
        <v>74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59" t="s">
        <v>85</v>
      </c>
      <c r="B3" s="386" t="s">
        <v>0</v>
      </c>
      <c r="C3" s="388" t="s">
        <v>1</v>
      </c>
      <c r="D3" s="390" t="s">
        <v>2</v>
      </c>
      <c r="E3" s="359" t="s">
        <v>11</v>
      </c>
      <c r="F3" s="396"/>
      <c r="G3" s="359" t="s">
        <v>12</v>
      </c>
      <c r="H3" s="399"/>
      <c r="I3" s="359" t="s">
        <v>13</v>
      </c>
      <c r="J3" s="399"/>
      <c r="K3" s="359" t="s">
        <v>14</v>
      </c>
      <c r="L3" s="399"/>
      <c r="M3" s="360" t="s">
        <v>15</v>
      </c>
      <c r="N3" s="399"/>
      <c r="O3" s="359" t="s">
        <v>16</v>
      </c>
      <c r="P3" s="399"/>
      <c r="Q3" s="359" t="s">
        <v>17</v>
      </c>
      <c r="R3" s="399"/>
      <c r="S3" s="359" t="s">
        <v>3</v>
      </c>
      <c r="T3" s="360"/>
      <c r="U3" s="363" t="s">
        <v>4</v>
      </c>
      <c r="V3" s="364"/>
      <c r="W3" s="364"/>
      <c r="X3" s="364"/>
      <c r="Y3" s="364"/>
      <c r="Z3" s="364"/>
      <c r="AA3" s="364"/>
      <c r="AB3" s="364"/>
      <c r="AC3" s="367" t="s">
        <v>86</v>
      </c>
      <c r="AD3" s="347" t="s">
        <v>6</v>
      </c>
      <c r="AE3" s="347" t="s">
        <v>7</v>
      </c>
      <c r="AF3" s="356" t="s">
        <v>73</v>
      </c>
      <c r="AG3" s="374" t="s">
        <v>8</v>
      </c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6"/>
      <c r="BC3" s="379" t="s">
        <v>87</v>
      </c>
      <c r="BD3" s="381"/>
      <c r="BE3" s="403" t="s">
        <v>9</v>
      </c>
      <c r="BF3" s="403" t="s">
        <v>10</v>
      </c>
    </row>
    <row r="4" spans="1:58" ht="36" customHeight="1" thickBot="1">
      <c r="A4" s="385"/>
      <c r="B4" s="387"/>
      <c r="C4" s="389"/>
      <c r="D4" s="391"/>
      <c r="E4" s="397"/>
      <c r="F4" s="398"/>
      <c r="G4" s="361"/>
      <c r="H4" s="400"/>
      <c r="I4" s="361"/>
      <c r="J4" s="400"/>
      <c r="K4" s="361"/>
      <c r="L4" s="400"/>
      <c r="M4" s="401"/>
      <c r="N4" s="402"/>
      <c r="O4" s="361"/>
      <c r="P4" s="400"/>
      <c r="Q4" s="361"/>
      <c r="R4" s="400"/>
      <c r="S4" s="361"/>
      <c r="T4" s="362"/>
      <c r="U4" s="365"/>
      <c r="V4" s="366"/>
      <c r="W4" s="366"/>
      <c r="X4" s="366"/>
      <c r="Y4" s="366"/>
      <c r="Z4" s="366"/>
      <c r="AA4" s="366"/>
      <c r="AB4" s="366"/>
      <c r="AC4" s="368"/>
      <c r="AD4" s="348"/>
      <c r="AE4" s="348"/>
      <c r="AF4" s="357"/>
      <c r="AG4" s="353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8"/>
      <c r="BC4" s="406" t="s">
        <v>76</v>
      </c>
      <c r="BD4" s="338" t="s">
        <v>88</v>
      </c>
      <c r="BE4" s="404"/>
      <c r="BF4" s="404"/>
    </row>
    <row r="5" spans="1:58" ht="29.25" customHeight="1" thickBot="1">
      <c r="A5" s="385"/>
      <c r="B5" s="387"/>
      <c r="C5" s="389"/>
      <c r="D5" s="391"/>
      <c r="E5" s="392" t="s">
        <v>18</v>
      </c>
      <c r="F5" s="342" t="s">
        <v>19</v>
      </c>
      <c r="G5" s="342" t="s">
        <v>18</v>
      </c>
      <c r="H5" s="342" t="s">
        <v>19</v>
      </c>
      <c r="I5" s="342" t="s">
        <v>18</v>
      </c>
      <c r="J5" s="342" t="s">
        <v>19</v>
      </c>
      <c r="K5" s="342" t="s">
        <v>18</v>
      </c>
      <c r="L5" s="342" t="s">
        <v>19</v>
      </c>
      <c r="M5" s="342" t="s">
        <v>18</v>
      </c>
      <c r="N5" s="342" t="s">
        <v>19</v>
      </c>
      <c r="O5" s="342" t="s">
        <v>18</v>
      </c>
      <c r="P5" s="342" t="s">
        <v>19</v>
      </c>
      <c r="Q5" s="342" t="s">
        <v>18</v>
      </c>
      <c r="R5" s="342" t="s">
        <v>19</v>
      </c>
      <c r="S5" s="342" t="s">
        <v>18</v>
      </c>
      <c r="T5" s="370" t="s">
        <v>19</v>
      </c>
      <c r="U5" s="344" t="s">
        <v>20</v>
      </c>
      <c r="V5" s="344" t="s">
        <v>21</v>
      </c>
      <c r="W5" s="344" t="s">
        <v>22</v>
      </c>
      <c r="X5" s="344" t="s">
        <v>23</v>
      </c>
      <c r="Y5" s="344" t="s">
        <v>24</v>
      </c>
      <c r="Z5" s="344" t="s">
        <v>25</v>
      </c>
      <c r="AA5" s="344" t="s">
        <v>26</v>
      </c>
      <c r="AB5" s="352" t="s">
        <v>27</v>
      </c>
      <c r="AC5" s="368"/>
      <c r="AD5" s="348"/>
      <c r="AE5" s="348"/>
      <c r="AF5" s="357"/>
      <c r="AG5" s="354" t="s">
        <v>28</v>
      </c>
      <c r="AH5" s="372" t="s">
        <v>29</v>
      </c>
      <c r="AI5" s="372" t="s">
        <v>30</v>
      </c>
      <c r="AJ5" s="346" t="s">
        <v>31</v>
      </c>
      <c r="AK5" s="372" t="s">
        <v>32</v>
      </c>
      <c r="AL5" s="346" t="s">
        <v>31</v>
      </c>
      <c r="AM5" s="346" t="s">
        <v>33</v>
      </c>
      <c r="AN5" s="346" t="s">
        <v>31</v>
      </c>
      <c r="AO5" s="346" t="s">
        <v>34</v>
      </c>
      <c r="AP5" s="346" t="s">
        <v>31</v>
      </c>
      <c r="AQ5" s="382" t="s">
        <v>89</v>
      </c>
      <c r="AR5" s="394" t="s">
        <v>31</v>
      </c>
      <c r="AS5" s="340" t="s">
        <v>90</v>
      </c>
      <c r="AT5" s="340" t="s">
        <v>84</v>
      </c>
      <c r="AU5" s="44" t="s">
        <v>31</v>
      </c>
      <c r="AV5" s="379" t="s">
        <v>80</v>
      </c>
      <c r="AW5" s="380"/>
      <c r="AX5" s="381"/>
      <c r="AY5" s="350" t="s">
        <v>17</v>
      </c>
      <c r="AZ5" s="338" t="s">
        <v>36</v>
      </c>
      <c r="BA5" s="338" t="s">
        <v>31</v>
      </c>
      <c r="BB5" s="338" t="s">
        <v>37</v>
      </c>
      <c r="BC5" s="407"/>
      <c r="BD5" s="346"/>
      <c r="BE5" s="404"/>
      <c r="BF5" s="404"/>
    </row>
    <row r="6" spans="1:58" ht="54" customHeight="1" thickBot="1">
      <c r="A6" s="385"/>
      <c r="B6" s="387"/>
      <c r="C6" s="389"/>
      <c r="D6" s="391"/>
      <c r="E6" s="39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71"/>
      <c r="U6" s="345"/>
      <c r="V6" s="345"/>
      <c r="W6" s="345"/>
      <c r="X6" s="345"/>
      <c r="Y6" s="345"/>
      <c r="Z6" s="345"/>
      <c r="AA6" s="345"/>
      <c r="AB6" s="353"/>
      <c r="AC6" s="369"/>
      <c r="AD6" s="349"/>
      <c r="AE6" s="349"/>
      <c r="AF6" s="358"/>
      <c r="AG6" s="355"/>
      <c r="AH6" s="373"/>
      <c r="AI6" s="373"/>
      <c r="AJ6" s="339"/>
      <c r="AK6" s="373"/>
      <c r="AL6" s="339"/>
      <c r="AM6" s="339"/>
      <c r="AN6" s="339"/>
      <c r="AO6" s="339"/>
      <c r="AP6" s="339"/>
      <c r="AQ6" s="383"/>
      <c r="AR6" s="395"/>
      <c r="AS6" s="341"/>
      <c r="AT6" s="341"/>
      <c r="AU6" s="45"/>
      <c r="AV6" s="46" t="s">
        <v>81</v>
      </c>
      <c r="AW6" s="46" t="s">
        <v>82</v>
      </c>
      <c r="AX6" s="46" t="s">
        <v>83</v>
      </c>
      <c r="AY6" s="351"/>
      <c r="AZ6" s="339"/>
      <c r="BA6" s="339"/>
      <c r="BB6" s="339"/>
      <c r="BC6" s="408"/>
      <c r="BD6" s="339"/>
      <c r="BE6" s="405"/>
      <c r="BF6" s="405"/>
    </row>
    <row r="7" spans="1:58" ht="13.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51">
        <v>43</v>
      </c>
      <c r="AR7" s="52">
        <v>44</v>
      </c>
      <c r="AS7" s="47">
        <v>45</v>
      </c>
      <c r="AT7" s="24">
        <v>46</v>
      </c>
      <c r="AU7" s="4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9">
        <v>56</v>
      </c>
      <c r="BE7" s="1"/>
      <c r="BF7" s="53"/>
    </row>
    <row r="8" spans="1:58" ht="12.75">
      <c r="A8" s="5" t="s">
        <v>38</v>
      </c>
      <c r="B8" s="6"/>
      <c r="C8" s="6"/>
      <c r="D8" s="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6"/>
      <c r="AG8" s="6"/>
      <c r="AH8" s="6"/>
      <c r="AI8" s="6"/>
      <c r="AJ8" s="6"/>
      <c r="AK8" s="6"/>
      <c r="AL8" s="6"/>
      <c r="AM8" s="6"/>
      <c r="AN8" s="6"/>
      <c r="AO8" s="6"/>
      <c r="AP8" s="23"/>
      <c r="AQ8" s="54"/>
      <c r="AR8" s="54"/>
      <c r="AS8" s="23"/>
      <c r="AT8" s="23"/>
      <c r="AU8" s="23"/>
      <c r="AV8" s="6"/>
      <c r="AW8" s="6"/>
      <c r="AX8" s="6"/>
      <c r="AY8" s="6"/>
      <c r="AZ8" s="10"/>
      <c r="BA8" s="1"/>
      <c r="BB8" s="1"/>
      <c r="BC8" s="1"/>
      <c r="BD8" s="1"/>
      <c r="BE8" s="1"/>
      <c r="BF8" s="53"/>
    </row>
    <row r="9" spans="1:58" s="48" customFormat="1" ht="12.75">
      <c r="A9" s="55" t="s">
        <v>39</v>
      </c>
      <c r="B9" s="91">
        <v>1384.2</v>
      </c>
      <c r="C9" s="108">
        <f>B9*8.65</f>
        <v>11973.330000000002</v>
      </c>
      <c r="D9" s="109">
        <f>C9*0.24088</f>
        <v>2884.1357304000007</v>
      </c>
      <c r="E9" s="33">
        <v>1038.96</v>
      </c>
      <c r="F9" s="33">
        <v>205.68</v>
      </c>
      <c r="G9" s="33">
        <v>1402.62</v>
      </c>
      <c r="H9" s="33">
        <v>277.67</v>
      </c>
      <c r="I9" s="33">
        <v>3376.66</v>
      </c>
      <c r="J9" s="33">
        <v>668.46</v>
      </c>
      <c r="K9" s="33">
        <v>2337.67</v>
      </c>
      <c r="L9" s="33">
        <v>462.78</v>
      </c>
      <c r="M9" s="39">
        <v>831.17</v>
      </c>
      <c r="N9" s="39">
        <v>164.55</v>
      </c>
      <c r="O9" s="33">
        <v>0</v>
      </c>
      <c r="P9" s="33">
        <v>0</v>
      </c>
      <c r="Q9" s="33">
        <v>0</v>
      </c>
      <c r="R9" s="33">
        <v>0</v>
      </c>
      <c r="S9" s="33">
        <f>E9+G9+I9+K9+M9+O9+Q9</f>
        <v>8987.08</v>
      </c>
      <c r="T9" s="95">
        <f>P9+N9+L9+J9+H9+F9+R9</f>
        <v>1779.14</v>
      </c>
      <c r="U9" s="33">
        <v>12.34</v>
      </c>
      <c r="V9" s="33">
        <v>16.65</v>
      </c>
      <c r="W9" s="33">
        <v>40.09</v>
      </c>
      <c r="X9" s="33">
        <v>27.75</v>
      </c>
      <c r="Y9" s="33">
        <v>9.87</v>
      </c>
      <c r="Z9" s="94">
        <v>0</v>
      </c>
      <c r="AA9" s="94">
        <v>0</v>
      </c>
      <c r="AB9" s="94">
        <f>SUM(U9:AA9)</f>
        <v>106.7</v>
      </c>
      <c r="AC9" s="110">
        <f>D9+T9+AB9</f>
        <v>4769.9757304</v>
      </c>
      <c r="AD9" s="111">
        <f>P9+Z9</f>
        <v>0</v>
      </c>
      <c r="AE9" s="42">
        <f>R9+AA9</f>
        <v>0</v>
      </c>
      <c r="AF9" s="42"/>
      <c r="AG9" s="12">
        <f>0.6*B9</f>
        <v>830.52</v>
      </c>
      <c r="AH9" s="12">
        <f>B9*0.2*1.05826</f>
        <v>292.96869840000005</v>
      </c>
      <c r="AI9" s="12">
        <f>0.8518*B9</f>
        <v>1179.06156</v>
      </c>
      <c r="AJ9" s="12">
        <f>AI9*0.18</f>
        <v>212.2310808</v>
      </c>
      <c r="AK9" s="12">
        <f>1.04*B9*0.9531</f>
        <v>1372.0522607999999</v>
      </c>
      <c r="AL9" s="12">
        <f>AK9*0.18</f>
        <v>246.96940694399996</v>
      </c>
      <c r="AM9" s="12">
        <f>(1.91)*B9*0.9531</f>
        <v>2519.8267482</v>
      </c>
      <c r="AN9" s="12">
        <f>AM9*0.18</f>
        <v>453.568814676</v>
      </c>
      <c r="AO9" s="12"/>
      <c r="AP9" s="12">
        <f>AO9*0.18</f>
        <v>0</v>
      </c>
      <c r="AQ9" s="97"/>
      <c r="AR9" s="97"/>
      <c r="AS9" s="38">
        <v>2531.92</v>
      </c>
      <c r="AT9" s="38"/>
      <c r="AU9" s="38">
        <f>(AS9+AT9)*0.18</f>
        <v>455.7456</v>
      </c>
      <c r="AV9" s="98"/>
      <c r="AW9" s="99"/>
      <c r="AX9" s="12">
        <f>AV9*AW9*1.12*1.18</f>
        <v>0</v>
      </c>
      <c r="AY9" s="100"/>
      <c r="AZ9" s="101"/>
      <c r="BA9" s="101">
        <f>AZ9*0.18</f>
        <v>0</v>
      </c>
      <c r="BB9" s="101">
        <f>SUM(AG9:BA9)-AV9-AW9</f>
        <v>10094.86416982</v>
      </c>
      <c r="BC9" s="102"/>
      <c r="BD9" s="18">
        <f>BB9-(AF9-BC9)</f>
        <v>10094.86416982</v>
      </c>
      <c r="BE9" s="49">
        <f>AC9-BB9</f>
        <v>-5324.88843942</v>
      </c>
      <c r="BF9" s="50">
        <f>AB9-S9</f>
        <v>-8880.38</v>
      </c>
    </row>
    <row r="10" spans="1:58" ht="12.75">
      <c r="A10" s="11" t="s">
        <v>40</v>
      </c>
      <c r="B10" s="91">
        <v>1384.2</v>
      </c>
      <c r="C10" s="108">
        <f>B10*8.65</f>
        <v>11973.330000000002</v>
      </c>
      <c r="D10" s="109">
        <f>C10*0.24088</f>
        <v>2884.1357304000007</v>
      </c>
      <c r="E10" s="33">
        <v>1010.41</v>
      </c>
      <c r="F10" s="33">
        <v>196.37</v>
      </c>
      <c r="G10" s="33">
        <v>1363.98</v>
      </c>
      <c r="H10" s="33">
        <v>265.13</v>
      </c>
      <c r="I10" s="33">
        <v>3283.61</v>
      </c>
      <c r="J10" s="33">
        <v>638.25</v>
      </c>
      <c r="K10" s="33">
        <v>2273.25</v>
      </c>
      <c r="L10" s="33">
        <v>441.84</v>
      </c>
      <c r="M10" s="39">
        <v>808.36</v>
      </c>
      <c r="N10" s="39">
        <v>157.08</v>
      </c>
      <c r="O10" s="33">
        <v>0</v>
      </c>
      <c r="P10" s="33">
        <v>0</v>
      </c>
      <c r="Q10" s="33">
        <v>0</v>
      </c>
      <c r="R10" s="33">
        <v>0</v>
      </c>
      <c r="S10" s="33">
        <f>E10+G10+I10+K10+M10+O10+Q10</f>
        <v>8739.61</v>
      </c>
      <c r="T10" s="95">
        <f>P10+N10+L10+J10+H10+F10+R10</f>
        <v>1698.67</v>
      </c>
      <c r="U10" s="33">
        <v>656.61</v>
      </c>
      <c r="V10" s="33">
        <v>886.41</v>
      </c>
      <c r="W10" s="33">
        <v>2978.11</v>
      </c>
      <c r="X10" s="33">
        <v>1477.36</v>
      </c>
      <c r="Y10" s="33">
        <v>525.26</v>
      </c>
      <c r="Z10" s="33">
        <v>0</v>
      </c>
      <c r="AA10" s="94">
        <v>0</v>
      </c>
      <c r="AB10" s="112">
        <f>SUM(U10:AA10)</f>
        <v>6523.75</v>
      </c>
      <c r="AC10" s="96">
        <f>D10+T10+AB10</f>
        <v>11106.555730400001</v>
      </c>
      <c r="AD10" s="42">
        <f>P10+Z10</f>
        <v>0</v>
      </c>
      <c r="AE10" s="42">
        <f>R10+AA10</f>
        <v>0</v>
      </c>
      <c r="AF10" s="42"/>
      <c r="AG10" s="12">
        <f>0.6*B10</f>
        <v>830.52</v>
      </c>
      <c r="AH10" s="12">
        <f>B10*0.201</f>
        <v>278.22420000000005</v>
      </c>
      <c r="AI10" s="12">
        <f>0.8518*B10</f>
        <v>1179.06156</v>
      </c>
      <c r="AJ10" s="12">
        <f>AI10*0.18</f>
        <v>212.2310808</v>
      </c>
      <c r="AK10" s="12">
        <f>1.04*B10*0.9531</f>
        <v>1372.0522607999999</v>
      </c>
      <c r="AL10" s="12">
        <f>AK10*0.18</f>
        <v>246.96940694399996</v>
      </c>
      <c r="AM10" s="12">
        <f>(1.91)*B10*0.9531</f>
        <v>2519.8267482</v>
      </c>
      <c r="AN10" s="12">
        <f>AM10*0.18</f>
        <v>453.568814676</v>
      </c>
      <c r="AO10" s="12"/>
      <c r="AP10" s="12">
        <f>AO10*0.18</f>
        <v>0</v>
      </c>
      <c r="AQ10" s="97"/>
      <c r="AR10" s="97"/>
      <c r="AS10" s="38">
        <v>19871</v>
      </c>
      <c r="AT10" s="38"/>
      <c r="AU10" s="38">
        <f>(AS10+AT10)*0.18</f>
        <v>3576.7799999999997</v>
      </c>
      <c r="AV10" s="98"/>
      <c r="AW10" s="99"/>
      <c r="AX10" s="12">
        <f>AV10*AW10*1.12*1.18</f>
        <v>0</v>
      </c>
      <c r="AY10" s="100"/>
      <c r="AZ10" s="101"/>
      <c r="BA10" s="101">
        <f>AZ10*0.18</f>
        <v>0</v>
      </c>
      <c r="BB10" s="101">
        <f>SUM(AG10:BA10)-AV10-AW10</f>
        <v>30540.23407142</v>
      </c>
      <c r="BC10" s="102"/>
      <c r="BD10" s="18">
        <f>BB10-(AF10-BC10)</f>
        <v>30540.23407142</v>
      </c>
      <c r="BE10" s="49">
        <f>AC10-BB10</f>
        <v>-19433.67834102</v>
      </c>
      <c r="BF10" s="50">
        <f>AB10-S10</f>
        <v>-2215.8600000000006</v>
      </c>
    </row>
    <row r="11" spans="1:58" ht="13.5" thickBot="1">
      <c r="A11" s="19" t="s">
        <v>41</v>
      </c>
      <c r="B11" s="91">
        <v>1384.2</v>
      </c>
      <c r="C11" s="108">
        <f>B11*8.65</f>
        <v>11973.330000000002</v>
      </c>
      <c r="D11" s="109">
        <f>C11*0.24035</f>
        <v>2877.7898655000004</v>
      </c>
      <c r="E11" s="33">
        <v>785.39</v>
      </c>
      <c r="F11" s="33">
        <v>205.15</v>
      </c>
      <c r="G11" s="33">
        <v>1060.27</v>
      </c>
      <c r="H11" s="33">
        <v>276.97</v>
      </c>
      <c r="I11" s="33">
        <v>2552.47</v>
      </c>
      <c r="J11" s="33">
        <v>666.76</v>
      </c>
      <c r="K11" s="33">
        <v>1767.09</v>
      </c>
      <c r="L11" s="33">
        <v>461.59</v>
      </c>
      <c r="M11" s="39">
        <v>628.36</v>
      </c>
      <c r="N11" s="39">
        <v>164.11</v>
      </c>
      <c r="O11" s="33">
        <v>0</v>
      </c>
      <c r="P11" s="94">
        <v>0</v>
      </c>
      <c r="Q11" s="94">
        <v>0</v>
      </c>
      <c r="R11" s="94">
        <v>0</v>
      </c>
      <c r="S11" s="33">
        <f>E11+G11+I11+K11+M11+O11+Q11</f>
        <v>6793.579999999999</v>
      </c>
      <c r="T11" s="95">
        <f>P11+N11+L11+J11+H11+F11+R11</f>
        <v>1774.5800000000002</v>
      </c>
      <c r="U11" s="33">
        <v>988.18</v>
      </c>
      <c r="V11" s="33">
        <v>1334.02</v>
      </c>
      <c r="W11" s="33">
        <v>3090.79</v>
      </c>
      <c r="X11" s="33">
        <v>2223.34</v>
      </c>
      <c r="Y11" s="33">
        <v>790.64</v>
      </c>
      <c r="Z11" s="33">
        <v>0</v>
      </c>
      <c r="AA11" s="94">
        <v>0</v>
      </c>
      <c r="AB11" s="112">
        <f>SUM(U11:AA11)</f>
        <v>8426.97</v>
      </c>
      <c r="AC11" s="96">
        <f>D11+T11+AB11</f>
        <v>13079.3398655</v>
      </c>
      <c r="AD11" s="42">
        <f>P11+Z11</f>
        <v>0</v>
      </c>
      <c r="AE11" s="42">
        <f>R11+AA11</f>
        <v>0</v>
      </c>
      <c r="AF11" s="42"/>
      <c r="AG11" s="12">
        <f>0.6*B11</f>
        <v>830.52</v>
      </c>
      <c r="AH11" s="12">
        <f>B11*0.2*1.02524</f>
        <v>283.8274416</v>
      </c>
      <c r="AI11" s="12">
        <f>0.84932*B11</f>
        <v>1175.628744</v>
      </c>
      <c r="AJ11" s="12">
        <f>AI11*0.18</f>
        <v>211.61317392</v>
      </c>
      <c r="AK11" s="12">
        <f>1.04*B11*0.95033</f>
        <v>1368.06465744</v>
      </c>
      <c r="AL11" s="12">
        <f>AK11*0.18</f>
        <v>246.25163833919999</v>
      </c>
      <c r="AM11" s="12">
        <f>(1.91)*B11*0.95033</f>
        <v>2512.50336126</v>
      </c>
      <c r="AN11" s="12">
        <f>AM11*0.18</f>
        <v>452.2506050268</v>
      </c>
      <c r="AO11" s="12"/>
      <c r="AP11" s="12">
        <f>AO11*0.18</f>
        <v>0</v>
      </c>
      <c r="AQ11" s="97"/>
      <c r="AR11" s="97"/>
      <c r="AS11" s="113">
        <v>0</v>
      </c>
      <c r="AT11" s="38"/>
      <c r="AU11" s="38">
        <f>(AS11+AT11)*0.18</f>
        <v>0</v>
      </c>
      <c r="AV11" s="98"/>
      <c r="AW11" s="99"/>
      <c r="AX11" s="12">
        <f>AV11*AW11*1.12*1.18</f>
        <v>0</v>
      </c>
      <c r="AY11" s="100"/>
      <c r="AZ11" s="101"/>
      <c r="BA11" s="101">
        <f>AZ11*0.18</f>
        <v>0</v>
      </c>
      <c r="BB11" s="101">
        <f>SUM(AG11:BA11)-AV11-AW11</f>
        <v>7080.659621586001</v>
      </c>
      <c r="BC11" s="102"/>
      <c r="BD11" s="18">
        <f>BB11-(AF11-BC11)</f>
        <v>7080.659621586001</v>
      </c>
      <c r="BE11" s="49">
        <f>AC11-BB11</f>
        <v>5998.680243913999</v>
      </c>
      <c r="BF11" s="50">
        <f>AB11-S11</f>
        <v>1633.3900000000003</v>
      </c>
    </row>
    <row r="12" spans="1:58" s="15" customFormat="1" ht="15" customHeight="1" thickBot="1">
      <c r="A12" s="20" t="s">
        <v>3</v>
      </c>
      <c r="B12" s="56"/>
      <c r="C12" s="56">
        <f>SUM(C9:C11)</f>
        <v>35919.990000000005</v>
      </c>
      <c r="D12" s="56">
        <f aca="true" t="shared" si="0" ref="D12:BD12">SUM(D9:D11)</f>
        <v>8646.061326300001</v>
      </c>
      <c r="E12" s="56">
        <f t="shared" si="0"/>
        <v>2834.7599999999998</v>
      </c>
      <c r="F12" s="56">
        <f t="shared" si="0"/>
        <v>607.2</v>
      </c>
      <c r="G12" s="56">
        <f t="shared" si="0"/>
        <v>3826.87</v>
      </c>
      <c r="H12" s="56">
        <f t="shared" si="0"/>
        <v>819.77</v>
      </c>
      <c r="I12" s="56">
        <f t="shared" si="0"/>
        <v>9212.74</v>
      </c>
      <c r="J12" s="56">
        <f t="shared" si="0"/>
        <v>1973.47</v>
      </c>
      <c r="K12" s="56">
        <f t="shared" si="0"/>
        <v>6378.01</v>
      </c>
      <c r="L12" s="56">
        <f t="shared" si="0"/>
        <v>1366.2099999999998</v>
      </c>
      <c r="M12" s="56">
        <f t="shared" si="0"/>
        <v>2267.89</v>
      </c>
      <c r="N12" s="56">
        <f t="shared" si="0"/>
        <v>485.74</v>
      </c>
      <c r="O12" s="56">
        <f t="shared" si="0"/>
        <v>0</v>
      </c>
      <c r="P12" s="56">
        <f t="shared" si="0"/>
        <v>0</v>
      </c>
      <c r="Q12" s="56">
        <f t="shared" si="0"/>
        <v>0</v>
      </c>
      <c r="R12" s="56">
        <f t="shared" si="0"/>
        <v>0</v>
      </c>
      <c r="S12" s="56">
        <f t="shared" si="0"/>
        <v>24520.27</v>
      </c>
      <c r="T12" s="56">
        <f t="shared" si="0"/>
        <v>5252.39</v>
      </c>
      <c r="U12" s="56">
        <f t="shared" si="0"/>
        <v>1657.13</v>
      </c>
      <c r="V12" s="56">
        <f t="shared" si="0"/>
        <v>2237.08</v>
      </c>
      <c r="W12" s="56">
        <f t="shared" si="0"/>
        <v>6108.99</v>
      </c>
      <c r="X12" s="56">
        <f t="shared" si="0"/>
        <v>3728.45</v>
      </c>
      <c r="Y12" s="56">
        <f t="shared" si="0"/>
        <v>1325.77</v>
      </c>
      <c r="Z12" s="56">
        <f t="shared" si="0"/>
        <v>0</v>
      </c>
      <c r="AA12" s="56">
        <f t="shared" si="0"/>
        <v>0</v>
      </c>
      <c r="AB12" s="56">
        <f t="shared" si="0"/>
        <v>15057.419999999998</v>
      </c>
      <c r="AC12" s="56">
        <f t="shared" si="0"/>
        <v>28955.871326300003</v>
      </c>
      <c r="AD12" s="56">
        <f t="shared" si="0"/>
        <v>0</v>
      </c>
      <c r="AE12" s="56">
        <f t="shared" si="0"/>
        <v>0</v>
      </c>
      <c r="AF12" s="56">
        <f t="shared" si="0"/>
        <v>0</v>
      </c>
      <c r="AG12" s="56">
        <f t="shared" si="0"/>
        <v>2491.56</v>
      </c>
      <c r="AH12" s="56">
        <f t="shared" si="0"/>
        <v>855.02034</v>
      </c>
      <c r="AI12" s="56">
        <f t="shared" si="0"/>
        <v>3533.7518640000003</v>
      </c>
      <c r="AJ12" s="56">
        <f t="shared" si="0"/>
        <v>636.07533552</v>
      </c>
      <c r="AK12" s="56">
        <f t="shared" si="0"/>
        <v>4112.16917904</v>
      </c>
      <c r="AL12" s="56">
        <f t="shared" si="0"/>
        <v>740.1904522271999</v>
      </c>
      <c r="AM12" s="56">
        <f t="shared" si="0"/>
        <v>7552.15685766</v>
      </c>
      <c r="AN12" s="56">
        <f t="shared" si="0"/>
        <v>1359.3882343788</v>
      </c>
      <c r="AO12" s="56">
        <f t="shared" si="0"/>
        <v>0</v>
      </c>
      <c r="AP12" s="56">
        <f t="shared" si="0"/>
        <v>0</v>
      </c>
      <c r="AQ12" s="57">
        <f t="shared" si="0"/>
        <v>0</v>
      </c>
      <c r="AR12" s="57">
        <f t="shared" si="0"/>
        <v>0</v>
      </c>
      <c r="AS12" s="58">
        <f t="shared" si="0"/>
        <v>22402.92</v>
      </c>
      <c r="AT12" s="58">
        <f t="shared" si="0"/>
        <v>0</v>
      </c>
      <c r="AU12" s="58">
        <f t="shared" si="0"/>
        <v>4032.5256</v>
      </c>
      <c r="AV12" s="56">
        <f t="shared" si="0"/>
        <v>0</v>
      </c>
      <c r="AW12" s="56">
        <f t="shared" si="0"/>
        <v>0</v>
      </c>
      <c r="AX12" s="56">
        <f t="shared" si="0"/>
        <v>0</v>
      </c>
      <c r="AY12" s="56">
        <f t="shared" si="0"/>
        <v>0</v>
      </c>
      <c r="AZ12" s="56">
        <f t="shared" si="0"/>
        <v>0</v>
      </c>
      <c r="BA12" s="56">
        <f t="shared" si="0"/>
        <v>0</v>
      </c>
      <c r="BB12" s="56">
        <f t="shared" si="0"/>
        <v>47715.75786282601</v>
      </c>
      <c r="BC12" s="56">
        <f t="shared" si="0"/>
        <v>0</v>
      </c>
      <c r="BD12" s="56">
        <f t="shared" si="0"/>
        <v>47715.75786282601</v>
      </c>
      <c r="BE12" s="56">
        <f>SUM(BE9:BE11)</f>
        <v>-18759.886536526</v>
      </c>
      <c r="BF12" s="59">
        <f>SUM(BF9:BF11)</f>
        <v>-9462.849999999999</v>
      </c>
    </row>
    <row r="13" spans="1:58" ht="15" customHeight="1">
      <c r="A13" s="7" t="s">
        <v>42</v>
      </c>
      <c r="B13" s="60"/>
      <c r="C13" s="61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4"/>
      <c r="Q13" s="65"/>
      <c r="R13" s="65"/>
      <c r="S13" s="65"/>
      <c r="T13" s="65"/>
      <c r="U13" s="66"/>
      <c r="V13" s="66"/>
      <c r="W13" s="66"/>
      <c r="X13" s="66"/>
      <c r="Y13" s="66"/>
      <c r="Z13" s="66"/>
      <c r="AA13" s="67"/>
      <c r="AB13" s="67"/>
      <c r="AC13" s="68"/>
      <c r="AD13" s="69"/>
      <c r="AE13" s="69"/>
      <c r="AF13" s="21"/>
      <c r="AG13" s="21"/>
      <c r="AH13" s="21"/>
      <c r="AI13" s="21"/>
      <c r="AJ13" s="21"/>
      <c r="AK13" s="21"/>
      <c r="AL13" s="21"/>
      <c r="AM13" s="21"/>
      <c r="AN13" s="70"/>
      <c r="AO13" s="70"/>
      <c r="AP13" s="70"/>
      <c r="AQ13" s="71"/>
      <c r="AR13" s="72"/>
      <c r="AS13" s="73"/>
      <c r="AT13" s="73"/>
      <c r="AU13" s="74"/>
      <c r="AV13" s="21"/>
      <c r="AW13" s="21"/>
      <c r="AX13" s="22"/>
      <c r="AY13" s="1"/>
      <c r="AZ13" s="1"/>
      <c r="BA13" s="1"/>
      <c r="BB13" s="1"/>
      <c r="BC13" s="1"/>
      <c r="BD13" s="1"/>
      <c r="BE13" s="1"/>
      <c r="BF13" s="53"/>
    </row>
    <row r="14" spans="1:58" ht="12.75">
      <c r="A14" s="11" t="s">
        <v>43</v>
      </c>
      <c r="B14" s="103">
        <v>1384.2</v>
      </c>
      <c r="C14" s="108">
        <f aca="true" t="shared" si="1" ref="C14:C25">B14*8.65</f>
        <v>11973.330000000002</v>
      </c>
      <c r="D14" s="109">
        <f>C14*0.125</f>
        <v>1496.6662500000002</v>
      </c>
      <c r="E14" s="33">
        <v>930.93</v>
      </c>
      <c r="F14" s="33">
        <v>205.15</v>
      </c>
      <c r="G14" s="33">
        <v>1256.73</v>
      </c>
      <c r="H14" s="33">
        <v>276.97</v>
      </c>
      <c r="I14" s="33">
        <v>3025.44</v>
      </c>
      <c r="J14" s="33">
        <v>666.76</v>
      </c>
      <c r="K14" s="33">
        <v>2094.53</v>
      </c>
      <c r="L14" s="33">
        <v>461.59</v>
      </c>
      <c r="M14" s="39">
        <v>744.76</v>
      </c>
      <c r="N14" s="39">
        <v>164.12</v>
      </c>
      <c r="O14" s="33">
        <v>0</v>
      </c>
      <c r="P14" s="94">
        <v>0</v>
      </c>
      <c r="Q14" s="94">
        <v>0</v>
      </c>
      <c r="R14" s="94">
        <v>0</v>
      </c>
      <c r="S14" s="33">
        <f aca="true" t="shared" si="2" ref="S14:S25">E14+G14+I14+K14+M14+O14+Q14</f>
        <v>8052.390000000001</v>
      </c>
      <c r="T14" s="95">
        <f aca="true" t="shared" si="3" ref="T14:T25">P14+N14+L14+J14+H14+F14+R14</f>
        <v>1774.5900000000001</v>
      </c>
      <c r="U14" s="33">
        <v>800.66</v>
      </c>
      <c r="V14" s="33">
        <v>1080.91</v>
      </c>
      <c r="W14" s="33">
        <v>2222.66</v>
      </c>
      <c r="X14" s="33">
        <v>1801.51</v>
      </c>
      <c r="Y14" s="33">
        <v>640.53</v>
      </c>
      <c r="Z14" s="33">
        <v>0</v>
      </c>
      <c r="AA14" s="94">
        <v>0</v>
      </c>
      <c r="AB14" s="114">
        <f aca="true" t="shared" si="4" ref="AB14:AB20">SUM(U14:AA14)</f>
        <v>6546.2699999999995</v>
      </c>
      <c r="AC14" s="96">
        <f aca="true" t="shared" si="5" ref="AC14:AC22">D14+T14+AB14</f>
        <v>9817.526249999999</v>
      </c>
      <c r="AD14" s="42">
        <f aca="true" t="shared" si="6" ref="AD14:AD25">P14+Z14</f>
        <v>0</v>
      </c>
      <c r="AE14" s="42">
        <f aca="true" t="shared" si="7" ref="AE14:AE25">R14+AA14</f>
        <v>0</v>
      </c>
      <c r="AF14" s="42"/>
      <c r="AG14" s="12">
        <f>0.6*B14*0.9</f>
        <v>747.468</v>
      </c>
      <c r="AH14" s="12">
        <f>B14*0.2*0.891</f>
        <v>246.66444000000004</v>
      </c>
      <c r="AI14" s="12">
        <f>0.85*B14*0.867-0.02</f>
        <v>1020.06619</v>
      </c>
      <c r="AJ14" s="12">
        <f aca="true" t="shared" si="8" ref="AJ14:AJ20">AI14*0.18</f>
        <v>183.6119142</v>
      </c>
      <c r="AK14" s="12">
        <f>0.83*B14*0.8685</f>
        <v>997.807491</v>
      </c>
      <c r="AL14" s="12">
        <f aca="true" t="shared" si="9" ref="AL14:AL20">AK14*0.18</f>
        <v>179.60534838</v>
      </c>
      <c r="AM14" s="12">
        <f>1.91*B14*0.8686</f>
        <v>2296.4237892</v>
      </c>
      <c r="AN14" s="12">
        <f aca="true" t="shared" si="10" ref="AN14:AN20">AM14*0.18</f>
        <v>413.356282056</v>
      </c>
      <c r="AO14" s="12"/>
      <c r="AP14" s="12">
        <f aca="true" t="shared" si="11" ref="AP14:AP20">AO14*0.18</f>
        <v>0</v>
      </c>
      <c r="AQ14" s="97"/>
      <c r="AR14" s="97">
        <f aca="true" t="shared" si="12" ref="AR14:AR20">AQ14*0.18</f>
        <v>0</v>
      </c>
      <c r="AS14" s="38">
        <v>2500</v>
      </c>
      <c r="AT14" s="38"/>
      <c r="AU14" s="38">
        <f>(AS14+AT14)*0.18+0.01</f>
        <v>450.01</v>
      </c>
      <c r="AV14" s="98">
        <v>508</v>
      </c>
      <c r="AW14" s="99">
        <v>1</v>
      </c>
      <c r="AX14" s="12"/>
      <c r="AY14" s="100"/>
      <c r="AZ14" s="101"/>
      <c r="BA14" s="101">
        <f>AZ14*0.18</f>
        <v>0</v>
      </c>
      <c r="BB14" s="101">
        <f>SUM(AG14:AU14)+AX14</f>
        <v>9035.013454836</v>
      </c>
      <c r="BC14" s="102"/>
      <c r="BD14" s="75">
        <f>BB14-(AF14-BC14)</f>
        <v>9035.013454836</v>
      </c>
      <c r="BE14" s="49">
        <f>(AC14-BB14)+(AF14-BC14)</f>
        <v>782.5127951639988</v>
      </c>
      <c r="BF14" s="49">
        <f aca="true" t="shared" si="13" ref="BF14:BF19">AB14-S14</f>
        <v>-1506.1200000000017</v>
      </c>
    </row>
    <row r="15" spans="1:58" ht="12.75">
      <c r="A15" s="11" t="s">
        <v>44</v>
      </c>
      <c r="B15" s="103">
        <v>1384.2</v>
      </c>
      <c r="C15" s="108">
        <f t="shared" si="1"/>
        <v>11973.330000000002</v>
      </c>
      <c r="D15" s="109">
        <f>C15*0.125</f>
        <v>1496.6662500000002</v>
      </c>
      <c r="E15" s="33">
        <v>917.92</v>
      </c>
      <c r="F15" s="33">
        <v>205.15</v>
      </c>
      <c r="G15" s="33">
        <v>1239.18</v>
      </c>
      <c r="H15" s="33">
        <v>276.97</v>
      </c>
      <c r="I15" s="33">
        <v>2983.2</v>
      </c>
      <c r="J15" s="33">
        <v>666.76</v>
      </c>
      <c r="K15" s="33">
        <v>2065.27</v>
      </c>
      <c r="L15" s="33">
        <v>461.59</v>
      </c>
      <c r="M15" s="39">
        <v>734.36</v>
      </c>
      <c r="N15" s="39">
        <v>164.12</v>
      </c>
      <c r="O15" s="33">
        <v>0</v>
      </c>
      <c r="P15" s="94">
        <v>0</v>
      </c>
      <c r="Q15" s="94">
        <v>0</v>
      </c>
      <c r="R15" s="94">
        <v>0</v>
      </c>
      <c r="S15" s="33">
        <f t="shared" si="2"/>
        <v>7939.929999999999</v>
      </c>
      <c r="T15" s="95">
        <f t="shared" si="3"/>
        <v>1774.5900000000001</v>
      </c>
      <c r="U15" s="33">
        <v>827.08</v>
      </c>
      <c r="V15" s="33">
        <v>1116.49</v>
      </c>
      <c r="W15" s="33">
        <v>2665.86</v>
      </c>
      <c r="X15" s="33">
        <v>1860.77</v>
      </c>
      <c r="Y15" s="33">
        <v>661.68</v>
      </c>
      <c r="Z15" s="33">
        <v>0</v>
      </c>
      <c r="AA15" s="94">
        <v>0</v>
      </c>
      <c r="AB15" s="112">
        <f t="shared" si="4"/>
        <v>7131.880000000001</v>
      </c>
      <c r="AC15" s="96">
        <f t="shared" si="5"/>
        <v>10403.136250000001</v>
      </c>
      <c r="AD15" s="42">
        <f t="shared" si="6"/>
        <v>0</v>
      </c>
      <c r="AE15" s="42">
        <f t="shared" si="7"/>
        <v>0</v>
      </c>
      <c r="AF15" s="42"/>
      <c r="AG15" s="12">
        <f>0.6*B15*0.9</f>
        <v>747.468</v>
      </c>
      <c r="AH15" s="12">
        <f>B15*0.2*0.9153</f>
        <v>253.39165200000002</v>
      </c>
      <c r="AI15" s="12">
        <f>0.85*B15*0.867</f>
        <v>1020.08619</v>
      </c>
      <c r="AJ15" s="12">
        <f t="shared" si="8"/>
        <v>183.61551419999998</v>
      </c>
      <c r="AK15" s="12">
        <f>0.83*B15*0.8684</f>
        <v>997.6926023999999</v>
      </c>
      <c r="AL15" s="12">
        <f t="shared" si="9"/>
        <v>179.58466843199997</v>
      </c>
      <c r="AM15" s="12">
        <f>(1.91)*B15*0.8684</f>
        <v>2295.8950248</v>
      </c>
      <c r="AN15" s="12">
        <f t="shared" si="10"/>
        <v>413.261104464</v>
      </c>
      <c r="AO15" s="12"/>
      <c r="AP15" s="12">
        <f t="shared" si="11"/>
        <v>0</v>
      </c>
      <c r="AQ15" s="97"/>
      <c r="AR15" s="97">
        <f t="shared" si="12"/>
        <v>0</v>
      </c>
      <c r="AS15" s="38">
        <v>2900</v>
      </c>
      <c r="AT15" s="38"/>
      <c r="AU15" s="38">
        <f aca="true" t="shared" si="14" ref="AU15:AU20">(AS15+AT15)*0.18</f>
        <v>522</v>
      </c>
      <c r="AV15" s="98">
        <v>407</v>
      </c>
      <c r="AW15" s="99">
        <v>1</v>
      </c>
      <c r="AX15" s="12"/>
      <c r="AY15" s="100"/>
      <c r="AZ15" s="101"/>
      <c r="BA15" s="101">
        <f>AZ15*0.18</f>
        <v>0</v>
      </c>
      <c r="BB15" s="101">
        <f aca="true" t="shared" si="15" ref="BB15:BB25">SUM(AG15:AU15)+AX15</f>
        <v>9512.994756296</v>
      </c>
      <c r="BC15" s="115"/>
      <c r="BD15" s="75">
        <f>BB15-(AF15-BC15)</f>
        <v>9512.994756296</v>
      </c>
      <c r="BE15" s="49">
        <f>(AC15-BB15)+(AF15-BC15)</f>
        <v>890.1414937040008</v>
      </c>
      <c r="BF15" s="49">
        <f t="shared" si="13"/>
        <v>-808.0499999999984</v>
      </c>
    </row>
    <row r="16" spans="1:58" ht="13.5" thickBot="1">
      <c r="A16" s="76" t="s">
        <v>45</v>
      </c>
      <c r="B16" s="116">
        <v>1384.2</v>
      </c>
      <c r="C16" s="108">
        <f t="shared" si="1"/>
        <v>11973.330000000002</v>
      </c>
      <c r="D16" s="109">
        <f>C16*0.125</f>
        <v>1496.6662500000002</v>
      </c>
      <c r="E16" s="33">
        <v>884.13</v>
      </c>
      <c r="F16" s="33">
        <v>205.15</v>
      </c>
      <c r="G16" s="33">
        <v>1193.55</v>
      </c>
      <c r="H16" s="33">
        <v>276.97</v>
      </c>
      <c r="I16" s="33">
        <v>2873.37</v>
      </c>
      <c r="J16" s="33">
        <v>666.76</v>
      </c>
      <c r="K16" s="33">
        <v>1989.21</v>
      </c>
      <c r="L16" s="33">
        <v>461.59</v>
      </c>
      <c r="M16" s="39">
        <v>707.34</v>
      </c>
      <c r="N16" s="39">
        <v>164.11</v>
      </c>
      <c r="O16" s="33">
        <v>0</v>
      </c>
      <c r="P16" s="94">
        <v>0</v>
      </c>
      <c r="Q16" s="94">
        <v>0</v>
      </c>
      <c r="R16" s="94">
        <v>0</v>
      </c>
      <c r="S16" s="33">
        <f t="shared" si="2"/>
        <v>7647.599999999999</v>
      </c>
      <c r="T16" s="95">
        <f t="shared" si="3"/>
        <v>1774.5800000000002</v>
      </c>
      <c r="U16" s="34">
        <v>1001.29</v>
      </c>
      <c r="V16" s="34">
        <v>1351.75</v>
      </c>
      <c r="W16" s="34">
        <v>2964.48</v>
      </c>
      <c r="X16" s="34">
        <v>2252.89</v>
      </c>
      <c r="Y16" s="34">
        <v>801.12</v>
      </c>
      <c r="Z16" s="34">
        <v>0</v>
      </c>
      <c r="AA16" s="107">
        <v>0</v>
      </c>
      <c r="AB16" s="114">
        <f t="shared" si="4"/>
        <v>8371.53</v>
      </c>
      <c r="AC16" s="96">
        <f t="shared" si="5"/>
        <v>11642.77625</v>
      </c>
      <c r="AD16" s="42">
        <f t="shared" si="6"/>
        <v>0</v>
      </c>
      <c r="AE16" s="42">
        <f t="shared" si="7"/>
        <v>0</v>
      </c>
      <c r="AF16" s="42"/>
      <c r="AG16" s="12">
        <f>0.6*B16*0.9</f>
        <v>747.468</v>
      </c>
      <c r="AH16" s="117">
        <f>B16*0.2*0.9082</f>
        <v>251.42608800000002</v>
      </c>
      <c r="AI16" s="12">
        <f>0.85*B16*0.8675</f>
        <v>1020.674475</v>
      </c>
      <c r="AJ16" s="12">
        <f t="shared" si="8"/>
        <v>183.7214055</v>
      </c>
      <c r="AK16" s="117">
        <f>0.83*B16*0.838</f>
        <v>962.7664679999999</v>
      </c>
      <c r="AL16" s="12">
        <f t="shared" si="9"/>
        <v>173.29796423999997</v>
      </c>
      <c r="AM16" s="12">
        <f>1.91*B16*0.8381</f>
        <v>2215.7872182</v>
      </c>
      <c r="AN16" s="12">
        <f t="shared" si="10"/>
        <v>398.841699276</v>
      </c>
      <c r="AO16" s="12"/>
      <c r="AP16" s="12">
        <f t="shared" si="11"/>
        <v>0</v>
      </c>
      <c r="AQ16" s="97"/>
      <c r="AR16" s="97">
        <f t="shared" si="12"/>
        <v>0</v>
      </c>
      <c r="AS16" s="38">
        <v>796</v>
      </c>
      <c r="AT16" s="38"/>
      <c r="AU16" s="38">
        <f t="shared" si="14"/>
        <v>143.28</v>
      </c>
      <c r="AV16" s="98">
        <v>383</v>
      </c>
      <c r="AW16" s="99">
        <v>1</v>
      </c>
      <c r="AX16" s="12"/>
      <c r="AY16" s="100"/>
      <c r="AZ16" s="101"/>
      <c r="BA16" s="101">
        <f>AZ16*0.18</f>
        <v>0</v>
      </c>
      <c r="BB16" s="101">
        <f t="shared" si="15"/>
        <v>6893.263318216001</v>
      </c>
      <c r="BC16" s="115"/>
      <c r="BD16" s="77">
        <f>BB16-(AF16-BC16)</f>
        <v>6893.263318216001</v>
      </c>
      <c r="BE16" s="78">
        <f>(AC16-BB16)+(AF16-BC16)</f>
        <v>4749.512931784</v>
      </c>
      <c r="BF16" s="78">
        <f t="shared" si="13"/>
        <v>723.9300000000012</v>
      </c>
    </row>
    <row r="17" spans="1:58" ht="13.5" thickBot="1">
      <c r="A17" s="79" t="s">
        <v>46</v>
      </c>
      <c r="B17" s="118">
        <v>1384.2</v>
      </c>
      <c r="C17" s="108">
        <f t="shared" si="1"/>
        <v>11973.330000000002</v>
      </c>
      <c r="D17" s="109">
        <f>C17*0.125</f>
        <v>1496.6662500000002</v>
      </c>
      <c r="E17" s="34">
        <v>925.75</v>
      </c>
      <c r="F17" s="34">
        <v>205.15</v>
      </c>
      <c r="G17" s="34">
        <v>1249.75</v>
      </c>
      <c r="H17" s="34">
        <v>276.97</v>
      </c>
      <c r="I17" s="34">
        <v>3020.3</v>
      </c>
      <c r="J17" s="34">
        <v>666.76</v>
      </c>
      <c r="K17" s="34">
        <v>2082.91</v>
      </c>
      <c r="L17" s="34">
        <v>461.59</v>
      </c>
      <c r="M17" s="40">
        <v>740.63</v>
      </c>
      <c r="N17" s="40">
        <v>164.12</v>
      </c>
      <c r="O17" s="34">
        <v>0</v>
      </c>
      <c r="P17" s="107">
        <v>0</v>
      </c>
      <c r="Q17" s="107">
        <v>0</v>
      </c>
      <c r="R17" s="107">
        <v>0</v>
      </c>
      <c r="S17" s="33">
        <f t="shared" si="2"/>
        <v>8019.34</v>
      </c>
      <c r="T17" s="95">
        <f t="shared" si="3"/>
        <v>1774.5900000000001</v>
      </c>
      <c r="U17" s="33">
        <v>910.59</v>
      </c>
      <c r="V17" s="33">
        <v>1229.22</v>
      </c>
      <c r="W17" s="33">
        <v>2948.87</v>
      </c>
      <c r="X17" s="33">
        <v>2048.7</v>
      </c>
      <c r="Y17" s="33">
        <v>728.44</v>
      </c>
      <c r="Z17" s="33">
        <v>0</v>
      </c>
      <c r="AA17" s="33">
        <v>0</v>
      </c>
      <c r="AB17" s="114">
        <f t="shared" si="4"/>
        <v>7865.82</v>
      </c>
      <c r="AC17" s="96">
        <f t="shared" si="5"/>
        <v>11137.07625</v>
      </c>
      <c r="AD17" s="42">
        <f t="shared" si="6"/>
        <v>0</v>
      </c>
      <c r="AE17" s="42">
        <f t="shared" si="7"/>
        <v>0</v>
      </c>
      <c r="AF17" s="42"/>
      <c r="AG17" s="12">
        <f>0.6*B17*0.9</f>
        <v>747.468</v>
      </c>
      <c r="AH17" s="117">
        <f>B17*0.2*0.9234</f>
        <v>255.63405600000002</v>
      </c>
      <c r="AI17" s="12">
        <f>0.85*B17*0.8934</f>
        <v>1051.147638</v>
      </c>
      <c r="AJ17" s="12">
        <f t="shared" si="8"/>
        <v>189.20657483999997</v>
      </c>
      <c r="AK17" s="12">
        <f>0.83*B17*0.8498</f>
        <v>976.3233228</v>
      </c>
      <c r="AL17" s="12">
        <f t="shared" si="9"/>
        <v>175.738198104</v>
      </c>
      <c r="AM17" s="12">
        <f>(1.91)*B17*0.8498</f>
        <v>2246.7199356</v>
      </c>
      <c r="AN17" s="12">
        <f t="shared" si="10"/>
        <v>404.409588408</v>
      </c>
      <c r="AO17" s="12"/>
      <c r="AP17" s="12">
        <f t="shared" si="11"/>
        <v>0</v>
      </c>
      <c r="AQ17" s="97"/>
      <c r="AR17" s="97">
        <f t="shared" si="12"/>
        <v>0</v>
      </c>
      <c r="AS17" s="38">
        <v>11374.22</v>
      </c>
      <c r="AT17" s="38"/>
      <c r="AU17" s="38">
        <f t="shared" si="14"/>
        <v>2047.3595999999998</v>
      </c>
      <c r="AV17" s="98">
        <v>307</v>
      </c>
      <c r="AW17" s="99">
        <v>1</v>
      </c>
      <c r="AX17" s="12">
        <v>2121.17</v>
      </c>
      <c r="AY17" s="100"/>
      <c r="AZ17" s="101"/>
      <c r="BA17" s="101">
        <f>AZ17*0.18</f>
        <v>0</v>
      </c>
      <c r="BB17" s="101">
        <f t="shared" si="15"/>
        <v>21589.396913751996</v>
      </c>
      <c r="BC17" s="115"/>
      <c r="BD17" s="77">
        <f>BB17-(AF17-BC17)</f>
        <v>21589.396913751996</v>
      </c>
      <c r="BE17" s="78">
        <f>(AC17-BB17)+(AF17-BC17)</f>
        <v>-10452.320663751996</v>
      </c>
      <c r="BF17" s="78">
        <f t="shared" si="13"/>
        <v>-153.52000000000044</v>
      </c>
    </row>
    <row r="18" spans="1:58" ht="13.5" thickBot="1">
      <c r="A18" s="11" t="s">
        <v>47</v>
      </c>
      <c r="B18" s="116">
        <v>1384.2</v>
      </c>
      <c r="C18" s="108">
        <f t="shared" si="1"/>
        <v>11973.330000000002</v>
      </c>
      <c r="D18" s="93">
        <f aca="true" t="shared" si="16" ref="D18:D25">C18-E18-F18-G18-H18-I18-J18-K18-L18-M18-N18</f>
        <v>1179.2000000000007</v>
      </c>
      <c r="E18" s="34">
        <v>1018.93</v>
      </c>
      <c r="F18" s="34">
        <v>226.93</v>
      </c>
      <c r="G18" s="34">
        <v>1380.17</v>
      </c>
      <c r="H18" s="34">
        <v>307.59</v>
      </c>
      <c r="I18" s="34">
        <v>3316.11</v>
      </c>
      <c r="J18" s="34">
        <v>738.74</v>
      </c>
      <c r="K18" s="34">
        <v>2297.15</v>
      </c>
      <c r="L18" s="34">
        <v>511.83</v>
      </c>
      <c r="M18" s="40">
        <v>815.16</v>
      </c>
      <c r="N18" s="40">
        <v>181.52</v>
      </c>
      <c r="O18" s="34">
        <v>0</v>
      </c>
      <c r="P18" s="107">
        <v>0</v>
      </c>
      <c r="Q18" s="107">
        <v>0</v>
      </c>
      <c r="R18" s="107">
        <v>0</v>
      </c>
      <c r="S18" s="33">
        <f t="shared" si="2"/>
        <v>8827.52</v>
      </c>
      <c r="T18" s="95">
        <f t="shared" si="3"/>
        <v>1966.6100000000001</v>
      </c>
      <c r="U18" s="34">
        <v>760.4</v>
      </c>
      <c r="V18" s="34">
        <v>1026.57</v>
      </c>
      <c r="W18" s="34">
        <v>2467.03</v>
      </c>
      <c r="X18" s="34">
        <v>1710.87</v>
      </c>
      <c r="Y18" s="34">
        <v>608.32</v>
      </c>
      <c r="Z18" s="34">
        <v>0</v>
      </c>
      <c r="AA18" s="107">
        <v>0</v>
      </c>
      <c r="AB18" s="114">
        <f t="shared" si="4"/>
        <v>6573.19</v>
      </c>
      <c r="AC18" s="96">
        <f t="shared" si="5"/>
        <v>9719</v>
      </c>
      <c r="AD18" s="42">
        <f t="shared" si="6"/>
        <v>0</v>
      </c>
      <c r="AE18" s="42">
        <f t="shared" si="7"/>
        <v>0</v>
      </c>
      <c r="AF18" s="42"/>
      <c r="AG18" s="12">
        <f aca="true" t="shared" si="17" ref="AG18:AG25">0.6*B18</f>
        <v>830.52</v>
      </c>
      <c r="AH18" s="12">
        <f>B18*0.2*1.01</f>
        <v>279.6084</v>
      </c>
      <c r="AI18" s="12">
        <f>0.85*B18</f>
        <v>1176.57</v>
      </c>
      <c r="AJ18" s="12">
        <f t="shared" si="8"/>
        <v>211.78259999999997</v>
      </c>
      <c r="AK18" s="12">
        <f>0.83*B18</f>
        <v>1148.886</v>
      </c>
      <c r="AL18" s="12">
        <f t="shared" si="9"/>
        <v>206.79948</v>
      </c>
      <c r="AM18" s="12">
        <f>(1.91)*B18</f>
        <v>2643.822</v>
      </c>
      <c r="AN18" s="12">
        <f t="shared" si="10"/>
        <v>475.88796</v>
      </c>
      <c r="AO18" s="12"/>
      <c r="AP18" s="12">
        <f t="shared" si="11"/>
        <v>0</v>
      </c>
      <c r="AQ18" s="97"/>
      <c r="AR18" s="97">
        <f t="shared" si="12"/>
        <v>0</v>
      </c>
      <c r="AS18" s="38">
        <v>3204.6</v>
      </c>
      <c r="AT18" s="38"/>
      <c r="AU18" s="38">
        <f t="shared" si="14"/>
        <v>576.828</v>
      </c>
      <c r="AV18" s="98">
        <v>263</v>
      </c>
      <c r="AW18" s="99">
        <v>1</v>
      </c>
      <c r="AX18" s="12">
        <f aca="true" t="shared" si="18" ref="AX18:AX25">AV18*AW18*1.12*1.18</f>
        <v>347.5808</v>
      </c>
      <c r="AY18" s="100"/>
      <c r="AZ18" s="101"/>
      <c r="BA18" s="101">
        <f aca="true" t="shared" si="19" ref="BA18:BA25">AZ18*0.18</f>
        <v>0</v>
      </c>
      <c r="BB18" s="101">
        <f t="shared" si="15"/>
        <v>11102.88524</v>
      </c>
      <c r="BC18" s="115"/>
      <c r="BD18" s="77">
        <f>BB18-(AF18-BC18)</f>
        <v>11102.88524</v>
      </c>
      <c r="BE18" s="78">
        <f>(AC18-BB18)+(AF18-BC18)</f>
        <v>-1383.8852399999996</v>
      </c>
      <c r="BF18" s="78">
        <f t="shared" si="13"/>
        <v>-2254.330000000001</v>
      </c>
    </row>
    <row r="19" spans="1:58" ht="13.5" thickBot="1">
      <c r="A19" s="76" t="s">
        <v>48</v>
      </c>
      <c r="B19" s="116">
        <v>1384.2</v>
      </c>
      <c r="C19" s="108">
        <f t="shared" si="1"/>
        <v>11973.330000000002</v>
      </c>
      <c r="D19" s="93">
        <f t="shared" si="16"/>
        <v>1159.5200000000023</v>
      </c>
      <c r="E19" s="34">
        <v>1027.25</v>
      </c>
      <c r="F19" s="34">
        <v>220.89</v>
      </c>
      <c r="G19" s="34">
        <v>1391.36</v>
      </c>
      <c r="H19" s="34">
        <v>299.43</v>
      </c>
      <c r="I19" s="34">
        <v>3343.14</v>
      </c>
      <c r="J19" s="34">
        <v>719.12</v>
      </c>
      <c r="K19" s="34">
        <v>2315.85</v>
      </c>
      <c r="L19" s="34">
        <v>498.25</v>
      </c>
      <c r="M19" s="40">
        <v>821.83</v>
      </c>
      <c r="N19" s="40">
        <v>176.69</v>
      </c>
      <c r="O19" s="34">
        <v>0</v>
      </c>
      <c r="P19" s="107">
        <v>0</v>
      </c>
      <c r="Q19" s="107">
        <v>0</v>
      </c>
      <c r="R19" s="107">
        <v>0</v>
      </c>
      <c r="S19" s="33">
        <f t="shared" si="2"/>
        <v>8899.43</v>
      </c>
      <c r="T19" s="95">
        <f t="shared" si="3"/>
        <v>1914.38</v>
      </c>
      <c r="U19" s="34">
        <v>868.95</v>
      </c>
      <c r="V19" s="34">
        <v>1176.49</v>
      </c>
      <c r="W19" s="34">
        <v>2704.12</v>
      </c>
      <c r="X19" s="34">
        <v>1958.46</v>
      </c>
      <c r="Y19" s="34">
        <v>695.16</v>
      </c>
      <c r="Z19" s="34">
        <v>0</v>
      </c>
      <c r="AA19" s="107">
        <v>0</v>
      </c>
      <c r="AB19" s="114">
        <f t="shared" si="4"/>
        <v>7403.179999999999</v>
      </c>
      <c r="AC19" s="96">
        <f t="shared" si="5"/>
        <v>10477.080000000002</v>
      </c>
      <c r="AD19" s="42">
        <f t="shared" si="6"/>
        <v>0</v>
      </c>
      <c r="AE19" s="42">
        <f t="shared" si="7"/>
        <v>0</v>
      </c>
      <c r="AF19" s="42"/>
      <c r="AG19" s="12">
        <f t="shared" si="17"/>
        <v>830.52</v>
      </c>
      <c r="AH19" s="12">
        <f>B19*0.2*1.01045</f>
        <v>279.73297800000006</v>
      </c>
      <c r="AI19" s="12">
        <f>0.85*B19</f>
        <v>1176.57</v>
      </c>
      <c r="AJ19" s="12">
        <f t="shared" si="8"/>
        <v>211.78259999999997</v>
      </c>
      <c r="AK19" s="12">
        <f>0.83*B19</f>
        <v>1148.886</v>
      </c>
      <c r="AL19" s="12">
        <f t="shared" si="9"/>
        <v>206.79948</v>
      </c>
      <c r="AM19" s="12">
        <f>(1.91)*B19</f>
        <v>2643.822</v>
      </c>
      <c r="AN19" s="12">
        <f t="shared" si="10"/>
        <v>475.88796</v>
      </c>
      <c r="AO19" s="12"/>
      <c r="AP19" s="12">
        <f t="shared" si="11"/>
        <v>0</v>
      </c>
      <c r="AQ19" s="97"/>
      <c r="AR19" s="97">
        <f t="shared" si="12"/>
        <v>0</v>
      </c>
      <c r="AS19" s="38"/>
      <c r="AT19" s="38"/>
      <c r="AU19" s="38">
        <f t="shared" si="14"/>
        <v>0</v>
      </c>
      <c r="AV19" s="98">
        <v>233</v>
      </c>
      <c r="AW19" s="99">
        <v>1</v>
      </c>
      <c r="AX19" s="12">
        <f t="shared" si="18"/>
        <v>307.93280000000004</v>
      </c>
      <c r="AY19" s="100"/>
      <c r="AZ19" s="101"/>
      <c r="BA19" s="101">
        <f t="shared" si="19"/>
        <v>0</v>
      </c>
      <c r="BB19" s="101">
        <f t="shared" si="15"/>
        <v>7281.933818000001</v>
      </c>
      <c r="BC19" s="115"/>
      <c r="BD19" s="80">
        <f aca="true" t="shared" si="20" ref="BD19:BD25">BB19-(AF19-BC19)</f>
        <v>7281.933818000001</v>
      </c>
      <c r="BE19" s="81">
        <f aca="true" t="shared" si="21" ref="BE19:BE25">(AC19-BB19)+(AF19-BC19)</f>
        <v>3195.1461820000004</v>
      </c>
      <c r="BF19" s="78">
        <f t="shared" si="13"/>
        <v>-1496.250000000001</v>
      </c>
    </row>
    <row r="20" spans="1:58" ht="12.75">
      <c r="A20" s="79" t="s">
        <v>49</v>
      </c>
      <c r="B20" s="103">
        <v>1384.2</v>
      </c>
      <c r="C20" s="108">
        <f t="shared" si="1"/>
        <v>11973.330000000002</v>
      </c>
      <c r="D20" s="93">
        <f t="shared" si="16"/>
        <v>1144.6200000000026</v>
      </c>
      <c r="E20" s="34">
        <v>1036.87</v>
      </c>
      <c r="F20" s="34">
        <v>213.02</v>
      </c>
      <c r="G20" s="34">
        <v>1404.34</v>
      </c>
      <c r="H20" s="34">
        <v>288.74</v>
      </c>
      <c r="I20" s="34">
        <v>3374.4</v>
      </c>
      <c r="J20" s="34">
        <v>693.47</v>
      </c>
      <c r="K20" s="34">
        <v>2337.48</v>
      </c>
      <c r="L20" s="34">
        <v>480.47</v>
      </c>
      <c r="M20" s="40">
        <v>829.52</v>
      </c>
      <c r="N20" s="40">
        <v>170.4</v>
      </c>
      <c r="O20" s="34">
        <v>0</v>
      </c>
      <c r="P20" s="107">
        <v>0</v>
      </c>
      <c r="Q20" s="34">
        <v>0</v>
      </c>
      <c r="R20" s="107">
        <v>0</v>
      </c>
      <c r="S20" s="33">
        <f t="shared" si="2"/>
        <v>8982.61</v>
      </c>
      <c r="T20" s="95">
        <f t="shared" si="3"/>
        <v>1846.1000000000001</v>
      </c>
      <c r="U20" s="34">
        <v>1126.28</v>
      </c>
      <c r="V20" s="34">
        <v>1525.14</v>
      </c>
      <c r="W20" s="34">
        <v>3785.58</v>
      </c>
      <c r="X20" s="34">
        <v>2539.34</v>
      </c>
      <c r="Y20" s="34">
        <v>901.07</v>
      </c>
      <c r="Z20" s="34">
        <v>0</v>
      </c>
      <c r="AA20" s="107">
        <v>0</v>
      </c>
      <c r="AB20" s="114">
        <f t="shared" si="4"/>
        <v>9877.41</v>
      </c>
      <c r="AC20" s="96">
        <f t="shared" si="5"/>
        <v>12868.130000000003</v>
      </c>
      <c r="AD20" s="42">
        <f t="shared" si="6"/>
        <v>0</v>
      </c>
      <c r="AE20" s="42">
        <f t="shared" si="7"/>
        <v>0</v>
      </c>
      <c r="AF20" s="42">
        <f>'[1]Т07-09'!$I$66+'[1]Т07-09'!$I$72</f>
        <v>1690.23318</v>
      </c>
      <c r="AG20" s="12">
        <f t="shared" si="17"/>
        <v>830.52</v>
      </c>
      <c r="AH20" s="12">
        <f>B20*0.2*0.99426</f>
        <v>275.25093840000005</v>
      </c>
      <c r="AI20" s="12">
        <f>0.85*B20*0.9857</f>
        <v>1159.7450489999999</v>
      </c>
      <c r="AJ20" s="12">
        <f t="shared" si="8"/>
        <v>208.75410881999997</v>
      </c>
      <c r="AK20" s="12">
        <f>0.83*B20*0.9905</f>
        <v>1137.971583</v>
      </c>
      <c r="AL20" s="12">
        <f t="shared" si="9"/>
        <v>204.83488494</v>
      </c>
      <c r="AM20" s="12">
        <f>(1.91)*B20*0.9905</f>
        <v>2618.705691</v>
      </c>
      <c r="AN20" s="12">
        <f t="shared" si="10"/>
        <v>471.36702438</v>
      </c>
      <c r="AO20" s="12"/>
      <c r="AP20" s="12">
        <f t="shared" si="11"/>
        <v>0</v>
      </c>
      <c r="AQ20" s="97"/>
      <c r="AR20" s="97">
        <f t="shared" si="12"/>
        <v>0</v>
      </c>
      <c r="AS20" s="38"/>
      <c r="AT20" s="38"/>
      <c r="AU20" s="38">
        <f t="shared" si="14"/>
        <v>0</v>
      </c>
      <c r="AV20" s="98">
        <v>248</v>
      </c>
      <c r="AW20" s="99">
        <v>1</v>
      </c>
      <c r="AX20" s="12">
        <f t="shared" si="18"/>
        <v>327.75680000000006</v>
      </c>
      <c r="AY20" s="100"/>
      <c r="AZ20" s="101"/>
      <c r="BA20" s="101">
        <f t="shared" si="19"/>
        <v>0</v>
      </c>
      <c r="BB20" s="101">
        <f t="shared" si="15"/>
        <v>7234.90607954</v>
      </c>
      <c r="BC20" s="115">
        <f>'[1]Т07-09'!$O$66+'[1]Т07-09'!$O$72</f>
        <v>675.40668226</v>
      </c>
      <c r="BD20" s="18">
        <f t="shared" si="20"/>
        <v>6220.079581800001</v>
      </c>
      <c r="BE20" s="49">
        <f t="shared" si="21"/>
        <v>6648.050418200002</v>
      </c>
      <c r="BF20" s="50">
        <f aca="true" t="shared" si="22" ref="BF20:BF25">AB20-S20</f>
        <v>894.7999999999993</v>
      </c>
    </row>
    <row r="21" spans="1:58" ht="12.75">
      <c r="A21" s="11" t="s">
        <v>50</v>
      </c>
      <c r="B21" s="103">
        <v>1384.2</v>
      </c>
      <c r="C21" s="108">
        <f t="shared" si="1"/>
        <v>11973.330000000002</v>
      </c>
      <c r="D21" s="93">
        <f t="shared" si="16"/>
        <v>1144.6200000000026</v>
      </c>
      <c r="E21" s="34">
        <v>1036.87</v>
      </c>
      <c r="F21" s="34">
        <v>213.02</v>
      </c>
      <c r="G21" s="34">
        <v>1404.34</v>
      </c>
      <c r="H21" s="34">
        <v>288.74</v>
      </c>
      <c r="I21" s="34">
        <v>3374.4</v>
      </c>
      <c r="J21" s="34">
        <v>693.47</v>
      </c>
      <c r="K21" s="34">
        <v>2337.48</v>
      </c>
      <c r="L21" s="34">
        <v>480.47</v>
      </c>
      <c r="M21" s="40">
        <v>829.52</v>
      </c>
      <c r="N21" s="40">
        <v>170.4</v>
      </c>
      <c r="O21" s="34">
        <v>0</v>
      </c>
      <c r="P21" s="107">
        <v>0</v>
      </c>
      <c r="Q21" s="34">
        <v>0</v>
      </c>
      <c r="R21" s="34">
        <v>0</v>
      </c>
      <c r="S21" s="33">
        <f t="shared" si="2"/>
        <v>8982.61</v>
      </c>
      <c r="T21" s="95">
        <f t="shared" si="3"/>
        <v>1846.1000000000001</v>
      </c>
      <c r="U21" s="34">
        <v>1102.88</v>
      </c>
      <c r="V21" s="34">
        <v>1493.53</v>
      </c>
      <c r="W21" s="34">
        <v>3587.22</v>
      </c>
      <c r="X21" s="34">
        <v>2486</v>
      </c>
      <c r="Y21" s="34">
        <v>882.34</v>
      </c>
      <c r="Z21" s="34">
        <v>0</v>
      </c>
      <c r="AA21" s="107">
        <v>0</v>
      </c>
      <c r="AB21" s="114">
        <f>SUM(U21:AA21)</f>
        <v>9551.97</v>
      </c>
      <c r="AC21" s="96">
        <f t="shared" si="5"/>
        <v>12542.690000000002</v>
      </c>
      <c r="AD21" s="42">
        <f t="shared" si="6"/>
        <v>0</v>
      </c>
      <c r="AE21" s="42">
        <f t="shared" si="7"/>
        <v>0</v>
      </c>
      <c r="AF21" s="42">
        <f>'[1]Т08-09'!$I$67+'[1]Т08-09'!$I$73</f>
        <v>1690.23318</v>
      </c>
      <c r="AG21" s="12">
        <f t="shared" si="17"/>
        <v>830.52</v>
      </c>
      <c r="AH21" s="12">
        <f>B21*0.2*0.99875</f>
        <v>276.49395000000004</v>
      </c>
      <c r="AI21" s="12">
        <f>0.85*B21*0.98526</f>
        <v>1159.2273582</v>
      </c>
      <c r="AJ21" s="12">
        <f>AI21*0.18</f>
        <v>208.660924476</v>
      </c>
      <c r="AK21" s="12">
        <f>0.83*B21*0.99</f>
        <v>1137.39714</v>
      </c>
      <c r="AL21" s="12">
        <f>AK21*0.18</f>
        <v>204.7314852</v>
      </c>
      <c r="AM21" s="12">
        <f>(1.91)*B21*0.99</f>
        <v>2617.38378</v>
      </c>
      <c r="AN21" s="12">
        <f>AM21*0.18</f>
        <v>471.1290804</v>
      </c>
      <c r="AO21" s="12"/>
      <c r="AP21" s="12">
        <f>AO21*0.18</f>
        <v>0</v>
      </c>
      <c r="AQ21" s="97"/>
      <c r="AR21" s="97">
        <f>AQ21*0.18</f>
        <v>0</v>
      </c>
      <c r="AS21" s="38"/>
      <c r="AT21" s="38"/>
      <c r="AU21" s="38">
        <f>(AS21+AT21)*0.18</f>
        <v>0</v>
      </c>
      <c r="AV21" s="98">
        <v>293</v>
      </c>
      <c r="AW21" s="99">
        <v>1</v>
      </c>
      <c r="AX21" s="12">
        <f t="shared" si="18"/>
        <v>387.22880000000004</v>
      </c>
      <c r="AY21" s="100"/>
      <c r="AZ21" s="101"/>
      <c r="BA21" s="101">
        <f t="shared" si="19"/>
        <v>0</v>
      </c>
      <c r="BB21" s="101">
        <f t="shared" si="15"/>
        <v>7292.7725182760005</v>
      </c>
      <c r="BC21" s="115">
        <f>'[1]Т08-09'!$O$67+'[1]Т08-09'!$O$73</f>
        <v>675.099799778</v>
      </c>
      <c r="BD21" s="18">
        <f t="shared" si="20"/>
        <v>6277.639138054001</v>
      </c>
      <c r="BE21" s="49">
        <f t="shared" si="21"/>
        <v>6265.0508619460015</v>
      </c>
      <c r="BF21" s="50">
        <f t="shared" si="22"/>
        <v>569.3599999999988</v>
      </c>
    </row>
    <row r="22" spans="1:58" ht="13.5" thickBot="1">
      <c r="A22" s="76" t="s">
        <v>51</v>
      </c>
      <c r="B22" s="91">
        <v>1384.2</v>
      </c>
      <c r="C22" s="108">
        <f t="shared" si="1"/>
        <v>11973.330000000002</v>
      </c>
      <c r="D22" s="93">
        <f t="shared" si="16"/>
        <v>1144.630000000001</v>
      </c>
      <c r="E22" s="33">
        <v>1036.88</v>
      </c>
      <c r="F22" s="33">
        <v>213.01</v>
      </c>
      <c r="G22" s="33">
        <v>1404.32</v>
      </c>
      <c r="H22" s="33">
        <v>288.75</v>
      </c>
      <c r="I22" s="33">
        <v>3374.4</v>
      </c>
      <c r="J22" s="33">
        <v>693.47</v>
      </c>
      <c r="K22" s="33">
        <v>2337.47</v>
      </c>
      <c r="L22" s="33">
        <v>480.48</v>
      </c>
      <c r="M22" s="39">
        <v>829.53</v>
      </c>
      <c r="N22" s="39">
        <v>170.39</v>
      </c>
      <c r="O22" s="33">
        <v>0</v>
      </c>
      <c r="P22" s="94">
        <v>0</v>
      </c>
      <c r="Q22" s="33">
        <v>0</v>
      </c>
      <c r="R22" s="94">
        <v>0</v>
      </c>
      <c r="S22" s="33">
        <f t="shared" si="2"/>
        <v>8982.6</v>
      </c>
      <c r="T22" s="95">
        <f t="shared" si="3"/>
        <v>1846.1000000000001</v>
      </c>
      <c r="U22" s="33">
        <v>997.74</v>
      </c>
      <c r="V22" s="33">
        <v>1351.24</v>
      </c>
      <c r="W22" s="33">
        <v>3246.39</v>
      </c>
      <c r="X22" s="33">
        <v>2249.2</v>
      </c>
      <c r="Y22" s="33">
        <v>798.2</v>
      </c>
      <c r="Z22" s="33">
        <v>0</v>
      </c>
      <c r="AA22" s="94">
        <v>0</v>
      </c>
      <c r="AB22" s="114">
        <f>SUM(U22:AA22)</f>
        <v>8642.77</v>
      </c>
      <c r="AC22" s="96">
        <f t="shared" si="5"/>
        <v>11633.500000000002</v>
      </c>
      <c r="AD22" s="42">
        <f t="shared" si="6"/>
        <v>0</v>
      </c>
      <c r="AE22" s="42">
        <f t="shared" si="7"/>
        <v>0</v>
      </c>
      <c r="AF22" s="42">
        <f>'[1]Т09-09'!$I$67+'[1]Т09-09'!$I$73</f>
        <v>1690.23318</v>
      </c>
      <c r="AG22" s="12">
        <f t="shared" si="17"/>
        <v>830.52</v>
      </c>
      <c r="AH22" s="12">
        <f>B22*0.2*0.9997</f>
        <v>276.756948</v>
      </c>
      <c r="AI22" s="12">
        <f>0.85*B22*0.98509</f>
        <v>1159.0273413</v>
      </c>
      <c r="AJ22" s="12">
        <f>AI22*0.18</f>
        <v>208.624921434</v>
      </c>
      <c r="AK22" s="12">
        <f>0.83*B22*0.98981</f>
        <v>1137.17885166</v>
      </c>
      <c r="AL22" s="12">
        <f>AK22*0.18</f>
        <v>204.6921932988</v>
      </c>
      <c r="AM22" s="12">
        <f>(1.91)*B22*0.9898</f>
        <v>2616.8550156</v>
      </c>
      <c r="AN22" s="12">
        <f>AM22*0.18</f>
        <v>471.033902808</v>
      </c>
      <c r="AO22" s="12"/>
      <c r="AP22" s="12">
        <f>AO22*0.18</f>
        <v>0</v>
      </c>
      <c r="AQ22" s="97"/>
      <c r="AR22" s="97">
        <f>AQ22*0.18</f>
        <v>0</v>
      </c>
      <c r="AS22" s="38"/>
      <c r="AT22" s="38"/>
      <c r="AU22" s="38">
        <f>(AS22+AT22)*0.18</f>
        <v>0</v>
      </c>
      <c r="AV22" s="98">
        <v>349</v>
      </c>
      <c r="AW22" s="99">
        <v>1</v>
      </c>
      <c r="AX22" s="12">
        <f t="shared" si="18"/>
        <v>461.2384</v>
      </c>
      <c r="AY22" s="100"/>
      <c r="AZ22" s="101"/>
      <c r="BA22" s="101">
        <f t="shared" si="19"/>
        <v>0</v>
      </c>
      <c r="BB22" s="101">
        <f t="shared" si="15"/>
        <v>7365.9275741008005</v>
      </c>
      <c r="BC22" s="115">
        <f>'[1]Т09-09'!$O$67+'[1]Т09-09'!$O$73</f>
        <v>674.9976949561999</v>
      </c>
      <c r="BD22" s="80">
        <f t="shared" si="20"/>
        <v>6350.692089057</v>
      </c>
      <c r="BE22" s="78">
        <f t="shared" si="21"/>
        <v>5282.807910943002</v>
      </c>
      <c r="BF22" s="82">
        <f t="shared" si="22"/>
        <v>-339.8299999999999</v>
      </c>
    </row>
    <row r="23" spans="1:58" ht="12.75">
      <c r="A23" s="83" t="s">
        <v>39</v>
      </c>
      <c r="B23" s="91">
        <v>1384.2</v>
      </c>
      <c r="C23" s="92">
        <f t="shared" si="1"/>
        <v>11973.330000000002</v>
      </c>
      <c r="D23" s="93">
        <f t="shared" si="16"/>
        <v>1144.6200000000026</v>
      </c>
      <c r="E23" s="35">
        <v>1036.87</v>
      </c>
      <c r="F23" s="33">
        <v>213.02</v>
      </c>
      <c r="G23" s="33">
        <v>1404.34</v>
      </c>
      <c r="H23" s="33">
        <v>288.74</v>
      </c>
      <c r="I23" s="33">
        <v>3374.4</v>
      </c>
      <c r="J23" s="33">
        <v>693.47</v>
      </c>
      <c r="K23" s="33">
        <v>2337.48</v>
      </c>
      <c r="L23" s="33">
        <v>480.47</v>
      </c>
      <c r="M23" s="33">
        <v>829.52</v>
      </c>
      <c r="N23" s="33">
        <v>170.4</v>
      </c>
      <c r="O23" s="33">
        <v>0</v>
      </c>
      <c r="P23" s="94">
        <v>0</v>
      </c>
      <c r="Q23" s="33">
        <v>0</v>
      </c>
      <c r="R23" s="33">
        <v>0</v>
      </c>
      <c r="S23" s="33">
        <f t="shared" si="2"/>
        <v>8982.61</v>
      </c>
      <c r="T23" s="95">
        <f t="shared" si="3"/>
        <v>1846.1000000000001</v>
      </c>
      <c r="U23" s="36">
        <f>490.89+508.44</f>
        <v>999.3299999999999</v>
      </c>
      <c r="V23" s="33">
        <f>664.92+688.74</f>
        <v>1353.6599999999999</v>
      </c>
      <c r="W23" s="33">
        <f>1597.61+1654.25</f>
        <v>3251.8599999999997</v>
      </c>
      <c r="X23" s="33">
        <f>1106.62+1146.37</f>
        <v>2252.99</v>
      </c>
      <c r="Y23" s="33">
        <f>392.71+406.8</f>
        <v>799.51</v>
      </c>
      <c r="Z23" s="33">
        <v>0</v>
      </c>
      <c r="AA23" s="94">
        <v>0</v>
      </c>
      <c r="AB23" s="94">
        <f>SUM(U23:AA23)</f>
        <v>8657.349999999999</v>
      </c>
      <c r="AC23" s="96">
        <f>AB23+T23+D23</f>
        <v>11648.070000000002</v>
      </c>
      <c r="AD23" s="42">
        <f t="shared" si="6"/>
        <v>0</v>
      </c>
      <c r="AE23" s="42">
        <f t="shared" si="7"/>
        <v>0</v>
      </c>
      <c r="AF23" s="42">
        <f>'[4]Т10'!$I$71+'[4]Т10'!$I$79+'[4]Т10'!$I$113+'[4]Т10'!$I$117</f>
        <v>2401.98614</v>
      </c>
      <c r="AG23" s="12">
        <f t="shared" si="17"/>
        <v>830.52</v>
      </c>
      <c r="AH23" s="12">
        <f>B23*0.2</f>
        <v>276.84000000000003</v>
      </c>
      <c r="AI23" s="12">
        <f>0.847*B23</f>
        <v>1172.4174</v>
      </c>
      <c r="AJ23" s="12">
        <f>AI23*0.18</f>
        <v>211.035132</v>
      </c>
      <c r="AK23" s="12">
        <f>0.83*B23</f>
        <v>1148.886</v>
      </c>
      <c r="AL23" s="12">
        <f>AK23*0.18</f>
        <v>206.79948</v>
      </c>
      <c r="AM23" s="12">
        <f>(2.25/1.18)*B23</f>
        <v>2639.3644067796613</v>
      </c>
      <c r="AN23" s="12">
        <f>AM23*0.18</f>
        <v>475.08559322033904</v>
      </c>
      <c r="AO23" s="12"/>
      <c r="AP23" s="12">
        <f>AO23*0.18</f>
        <v>0</v>
      </c>
      <c r="AQ23" s="97"/>
      <c r="AR23" s="97">
        <f>AQ23*0.18</f>
        <v>0</v>
      </c>
      <c r="AS23" s="38">
        <v>630.4</v>
      </c>
      <c r="AT23" s="38"/>
      <c r="AU23" s="38">
        <f>(AS23+AT23)*0.18</f>
        <v>113.472</v>
      </c>
      <c r="AV23" s="98">
        <v>425</v>
      </c>
      <c r="AW23" s="99">
        <v>1</v>
      </c>
      <c r="AX23" s="12">
        <f t="shared" si="18"/>
        <v>561.6800000000001</v>
      </c>
      <c r="AY23" s="100"/>
      <c r="AZ23" s="119"/>
      <c r="BA23" s="101">
        <f t="shared" si="19"/>
        <v>0</v>
      </c>
      <c r="BB23" s="101">
        <f t="shared" si="15"/>
        <v>8266.500012</v>
      </c>
      <c r="BC23" s="115">
        <f>'[5]Т10'!$O$71+'[5]Т10'!$O$79+'[5]Т10'!$O$113+'[5]Т10'!$O$117</f>
        <v>989.8069780000001</v>
      </c>
      <c r="BD23" s="84">
        <f t="shared" si="20"/>
        <v>6854.32085</v>
      </c>
      <c r="BE23" s="49">
        <f>(AC23-BB23)+(AF23-BC23)</f>
        <v>4793.7491500000015</v>
      </c>
      <c r="BF23" s="49">
        <f t="shared" si="22"/>
        <v>-325.26000000000204</v>
      </c>
    </row>
    <row r="24" spans="1:58" ht="12.75">
      <c r="A24" s="11" t="s">
        <v>40</v>
      </c>
      <c r="B24" s="103">
        <v>1385.4</v>
      </c>
      <c r="C24" s="92">
        <f t="shared" si="1"/>
        <v>11983.710000000001</v>
      </c>
      <c r="D24" s="93">
        <f t="shared" si="16"/>
        <v>1145.620000000003</v>
      </c>
      <c r="E24" s="33">
        <v>1037.41</v>
      </c>
      <c r="F24" s="33">
        <v>213.56</v>
      </c>
      <c r="G24" s="33">
        <v>1405.08</v>
      </c>
      <c r="H24" s="33">
        <v>289.47</v>
      </c>
      <c r="I24" s="33">
        <v>3376.16</v>
      </c>
      <c r="J24" s="33">
        <v>695.23</v>
      </c>
      <c r="K24" s="33">
        <v>2338.71</v>
      </c>
      <c r="L24" s="33">
        <v>481.68</v>
      </c>
      <c r="M24" s="39">
        <v>829.96</v>
      </c>
      <c r="N24" s="39">
        <v>170.83</v>
      </c>
      <c r="O24" s="33">
        <v>0</v>
      </c>
      <c r="P24" s="94">
        <v>0</v>
      </c>
      <c r="Q24" s="94">
        <v>0</v>
      </c>
      <c r="R24" s="94">
        <v>0</v>
      </c>
      <c r="S24" s="33">
        <f t="shared" si="2"/>
        <v>8987.32</v>
      </c>
      <c r="T24" s="95">
        <f t="shared" si="3"/>
        <v>1850.77</v>
      </c>
      <c r="U24" s="33">
        <v>1235.63</v>
      </c>
      <c r="V24" s="33">
        <v>1673.06</v>
      </c>
      <c r="W24" s="33">
        <v>4020.6</v>
      </c>
      <c r="X24" s="33">
        <v>2785.15</v>
      </c>
      <c r="Y24" s="33">
        <v>988.51</v>
      </c>
      <c r="Z24" s="33">
        <v>0</v>
      </c>
      <c r="AA24" s="94">
        <v>0</v>
      </c>
      <c r="AB24" s="94">
        <f>SUM(U24:AA24)</f>
        <v>10702.95</v>
      </c>
      <c r="AC24" s="96">
        <f>D24+T24+AB24</f>
        <v>13699.340000000004</v>
      </c>
      <c r="AD24" s="42">
        <f t="shared" si="6"/>
        <v>0</v>
      </c>
      <c r="AE24" s="42">
        <f t="shared" si="7"/>
        <v>0</v>
      </c>
      <c r="AF24" s="42">
        <f>'[4]Т11'!$I$71+'[4]Т11'!$I$79+'[4]Т11'!$I$113+'[4]Т11'!$I$117</f>
        <v>2401.98614</v>
      </c>
      <c r="AG24" s="12">
        <f t="shared" si="17"/>
        <v>831.24</v>
      </c>
      <c r="AH24" s="12">
        <f>B24*0.2</f>
        <v>277.08000000000004</v>
      </c>
      <c r="AI24" s="12">
        <f>0.85*B24</f>
        <v>1177.5900000000001</v>
      </c>
      <c r="AJ24" s="12">
        <f>AI24*0.18</f>
        <v>211.96620000000001</v>
      </c>
      <c r="AK24" s="12">
        <f>0.83*B24</f>
        <v>1149.882</v>
      </c>
      <c r="AL24" s="12">
        <f>AK24*0.18</f>
        <v>206.97876</v>
      </c>
      <c r="AM24" s="12">
        <f>(1.91)*B24</f>
        <v>2646.114</v>
      </c>
      <c r="AN24" s="12">
        <f>AM24*0.18</f>
        <v>476.30052</v>
      </c>
      <c r="AO24" s="12"/>
      <c r="AP24" s="12">
        <f>AO24*0.18</f>
        <v>0</v>
      </c>
      <c r="AQ24" s="97"/>
      <c r="AR24" s="97">
        <f>AQ24*0.18</f>
        <v>0</v>
      </c>
      <c r="AS24" s="38">
        <v>0</v>
      </c>
      <c r="AT24" s="38"/>
      <c r="AU24" s="38">
        <f>(AS24+AT24)*0.18</f>
        <v>0</v>
      </c>
      <c r="AV24" s="98">
        <v>470</v>
      </c>
      <c r="AW24" s="99">
        <v>1</v>
      </c>
      <c r="AX24" s="12">
        <f t="shared" si="18"/>
        <v>621.152</v>
      </c>
      <c r="AY24" s="100"/>
      <c r="AZ24" s="101"/>
      <c r="BA24" s="101">
        <f t="shared" si="19"/>
        <v>0</v>
      </c>
      <c r="BB24" s="101">
        <f t="shared" si="15"/>
        <v>7598.30348</v>
      </c>
      <c r="BC24" s="102">
        <f>'[4]Т11'!$O$71+'[4]Т11'!$O$79+'[4]Т11'!$O$113+'[4]Т11'!$O$117</f>
        <v>991.2126599999999</v>
      </c>
      <c r="BD24" s="22">
        <f t="shared" si="20"/>
        <v>6187.53</v>
      </c>
      <c r="BE24" s="49">
        <f t="shared" si="21"/>
        <v>7511.810000000004</v>
      </c>
      <c r="BF24" s="49">
        <f t="shared" si="22"/>
        <v>1715.630000000001</v>
      </c>
    </row>
    <row r="25" spans="1:58" s="48" customFormat="1" ht="12.75">
      <c r="A25" s="55" t="s">
        <v>41</v>
      </c>
      <c r="B25" s="91">
        <v>1385.4</v>
      </c>
      <c r="C25" s="92">
        <f t="shared" si="1"/>
        <v>11983.710000000001</v>
      </c>
      <c r="D25" s="93">
        <f t="shared" si="16"/>
        <v>1175.9600000000023</v>
      </c>
      <c r="E25" s="33">
        <v>1033.91</v>
      </c>
      <c r="F25" s="33">
        <v>213.56</v>
      </c>
      <c r="G25" s="33">
        <v>1400.33</v>
      </c>
      <c r="H25" s="33">
        <v>289.48</v>
      </c>
      <c r="I25" s="33">
        <v>3364.77</v>
      </c>
      <c r="J25" s="33">
        <v>695.23</v>
      </c>
      <c r="K25" s="33">
        <v>2330.81</v>
      </c>
      <c r="L25" s="33">
        <v>481.68</v>
      </c>
      <c r="M25" s="39">
        <v>827.15</v>
      </c>
      <c r="N25" s="39">
        <v>170.83</v>
      </c>
      <c r="O25" s="33">
        <v>0</v>
      </c>
      <c r="P25" s="94">
        <v>0</v>
      </c>
      <c r="Q25" s="94"/>
      <c r="R25" s="94"/>
      <c r="S25" s="33">
        <f t="shared" si="2"/>
        <v>8956.97</v>
      </c>
      <c r="T25" s="95">
        <f t="shared" si="3"/>
        <v>1850.78</v>
      </c>
      <c r="U25" s="33">
        <v>1181.07</v>
      </c>
      <c r="V25" s="33">
        <v>1599.88</v>
      </c>
      <c r="W25" s="33">
        <v>3843.93</v>
      </c>
      <c r="X25" s="33">
        <v>2662.87</v>
      </c>
      <c r="Y25" s="33">
        <v>944.9</v>
      </c>
      <c r="Z25" s="33">
        <v>0</v>
      </c>
      <c r="AA25" s="94">
        <v>0</v>
      </c>
      <c r="AB25" s="94">
        <f>SUM(U25:AA25)</f>
        <v>10232.65</v>
      </c>
      <c r="AC25" s="96">
        <f>D25+T25+AB25</f>
        <v>13259.390000000003</v>
      </c>
      <c r="AD25" s="42">
        <f t="shared" si="6"/>
        <v>0</v>
      </c>
      <c r="AE25" s="42">
        <f t="shared" si="7"/>
        <v>0</v>
      </c>
      <c r="AF25" s="42">
        <f>'[4]Т12'!$I$72+'[4]Т12'!$I$80+'[4]Т12'!$I$115+'[4]Т12'!$I$119</f>
        <v>2401.98614</v>
      </c>
      <c r="AG25" s="12">
        <f t="shared" si="17"/>
        <v>831.24</v>
      </c>
      <c r="AH25" s="12">
        <f>B25*0.2</f>
        <v>277.08000000000004</v>
      </c>
      <c r="AI25" s="12">
        <f>0.85*B25</f>
        <v>1177.5900000000001</v>
      </c>
      <c r="AJ25" s="12">
        <f>AI25*0.18</f>
        <v>211.96620000000001</v>
      </c>
      <c r="AK25" s="12">
        <f>0.83*B25</f>
        <v>1149.882</v>
      </c>
      <c r="AL25" s="12">
        <f>AK25*0.18</f>
        <v>206.97876</v>
      </c>
      <c r="AM25" s="12">
        <f>(1.91)*B25</f>
        <v>2646.114</v>
      </c>
      <c r="AN25" s="12">
        <f>AM25*0.18</f>
        <v>476.30052</v>
      </c>
      <c r="AO25" s="12"/>
      <c r="AP25" s="12">
        <f>AO25*0.18</f>
        <v>0</v>
      </c>
      <c r="AQ25" s="97"/>
      <c r="AR25" s="97">
        <f>AQ25*0.18</f>
        <v>0</v>
      </c>
      <c r="AS25" s="38">
        <v>0</v>
      </c>
      <c r="AT25" s="38"/>
      <c r="AU25" s="38">
        <f>(AS25+AT25)*0.18</f>
        <v>0</v>
      </c>
      <c r="AV25" s="98">
        <v>514</v>
      </c>
      <c r="AW25" s="99">
        <v>1</v>
      </c>
      <c r="AX25" s="12">
        <f t="shared" si="18"/>
        <v>679.3024</v>
      </c>
      <c r="AY25" s="100"/>
      <c r="AZ25" s="101"/>
      <c r="BA25" s="101">
        <f t="shared" si="19"/>
        <v>0</v>
      </c>
      <c r="BB25" s="101">
        <f t="shared" si="15"/>
        <v>7656.453879999999</v>
      </c>
      <c r="BC25" s="102">
        <f>'[4]Т12'!$O$72+'[4]Т12'!$O$80+'[4]Т12'!$O$115+'[4]Т12'!$O$119</f>
        <v>991.2126599999999</v>
      </c>
      <c r="BD25" s="27">
        <f t="shared" si="20"/>
        <v>6245.680399999999</v>
      </c>
      <c r="BE25" s="49">
        <f t="shared" si="21"/>
        <v>7013.709600000004</v>
      </c>
      <c r="BF25" s="49">
        <f t="shared" si="22"/>
        <v>1275.6800000000003</v>
      </c>
    </row>
    <row r="26" spans="1:58" s="15" customFormat="1" ht="12.75">
      <c r="A26" s="13" t="s">
        <v>3</v>
      </c>
      <c r="B26" s="29"/>
      <c r="C26" s="29">
        <f>SUM(C14:C25)</f>
        <v>143700.72</v>
      </c>
      <c r="D26" s="29">
        <f aca="true" t="shared" si="23" ref="D26:BF26">SUM(D14:D25)</f>
        <v>15225.455000000018</v>
      </c>
      <c r="E26" s="29">
        <f t="shared" si="23"/>
        <v>11923.719999999998</v>
      </c>
      <c r="F26" s="29">
        <f t="shared" si="23"/>
        <v>2547.61</v>
      </c>
      <c r="G26" s="29">
        <f t="shared" si="23"/>
        <v>16133.49</v>
      </c>
      <c r="H26" s="29">
        <f t="shared" si="23"/>
        <v>3448.82</v>
      </c>
      <c r="I26" s="29">
        <f t="shared" si="23"/>
        <v>38800.090000000004</v>
      </c>
      <c r="J26" s="29">
        <f t="shared" si="23"/>
        <v>8289.24</v>
      </c>
      <c r="K26" s="29">
        <f t="shared" si="23"/>
        <v>26864.350000000002</v>
      </c>
      <c r="L26" s="29">
        <f t="shared" si="23"/>
        <v>5741.690000000001</v>
      </c>
      <c r="M26" s="29">
        <f t="shared" si="23"/>
        <v>9539.28</v>
      </c>
      <c r="N26" s="29">
        <f t="shared" si="23"/>
        <v>2037.9300000000003</v>
      </c>
      <c r="O26" s="29">
        <f t="shared" si="23"/>
        <v>0</v>
      </c>
      <c r="P26" s="29">
        <f t="shared" si="23"/>
        <v>0</v>
      </c>
      <c r="Q26" s="29">
        <f t="shared" si="23"/>
        <v>0</v>
      </c>
      <c r="R26" s="29">
        <f t="shared" si="23"/>
        <v>0</v>
      </c>
      <c r="S26" s="29">
        <f t="shared" si="23"/>
        <v>103260.93</v>
      </c>
      <c r="T26" s="29">
        <f t="shared" si="23"/>
        <v>22065.289999999997</v>
      </c>
      <c r="U26" s="29">
        <f t="shared" si="23"/>
        <v>11811.899999999998</v>
      </c>
      <c r="V26" s="29">
        <f t="shared" si="23"/>
        <v>15977.939999999999</v>
      </c>
      <c r="W26" s="29">
        <f t="shared" si="23"/>
        <v>37708.6</v>
      </c>
      <c r="X26" s="29">
        <f t="shared" si="23"/>
        <v>26608.750000000004</v>
      </c>
      <c r="Y26" s="29">
        <f t="shared" si="23"/>
        <v>9449.779999999999</v>
      </c>
      <c r="Z26" s="29">
        <f t="shared" si="23"/>
        <v>0</v>
      </c>
      <c r="AA26" s="29">
        <f t="shared" si="23"/>
        <v>0</v>
      </c>
      <c r="AB26" s="29">
        <f t="shared" si="23"/>
        <v>101556.96999999999</v>
      </c>
      <c r="AC26" s="29">
        <f t="shared" si="23"/>
        <v>138847.71500000003</v>
      </c>
      <c r="AD26" s="29">
        <f t="shared" si="23"/>
        <v>0</v>
      </c>
      <c r="AE26" s="29">
        <f t="shared" si="23"/>
        <v>0</v>
      </c>
      <c r="AF26" s="29">
        <f t="shared" si="23"/>
        <v>12276.65796</v>
      </c>
      <c r="AG26" s="29">
        <f t="shared" si="23"/>
        <v>9635.472000000002</v>
      </c>
      <c r="AH26" s="29">
        <f t="shared" si="23"/>
        <v>3225.9594504000006</v>
      </c>
      <c r="AI26" s="29">
        <f t="shared" si="23"/>
        <v>13470.7116415</v>
      </c>
      <c r="AJ26" s="29">
        <f t="shared" si="23"/>
        <v>2424.72809547</v>
      </c>
      <c r="AK26" s="29">
        <f t="shared" si="23"/>
        <v>13093.559458859998</v>
      </c>
      <c r="AL26" s="29">
        <f t="shared" si="23"/>
        <v>2356.8407025948</v>
      </c>
      <c r="AM26" s="29">
        <f t="shared" si="23"/>
        <v>30127.006861179667</v>
      </c>
      <c r="AN26" s="29">
        <f t="shared" si="23"/>
        <v>5422.8612350123385</v>
      </c>
      <c r="AO26" s="29">
        <f t="shared" si="23"/>
        <v>0</v>
      </c>
      <c r="AP26" s="29">
        <f t="shared" si="23"/>
        <v>0</v>
      </c>
      <c r="AQ26" s="85">
        <f t="shared" si="23"/>
        <v>0</v>
      </c>
      <c r="AR26" s="85">
        <f t="shared" si="23"/>
        <v>0</v>
      </c>
      <c r="AS26" s="28">
        <f t="shared" si="23"/>
        <v>21405.22</v>
      </c>
      <c r="AT26" s="28">
        <f t="shared" si="23"/>
        <v>0</v>
      </c>
      <c r="AU26" s="28">
        <f t="shared" si="23"/>
        <v>3852.9496</v>
      </c>
      <c r="AV26" s="29">
        <f t="shared" si="23"/>
        <v>4400</v>
      </c>
      <c r="AW26" s="29">
        <f t="shared" si="23"/>
        <v>12</v>
      </c>
      <c r="AX26" s="29">
        <f t="shared" si="23"/>
        <v>5815.042000000001</v>
      </c>
      <c r="AY26" s="29">
        <f t="shared" si="23"/>
        <v>0</v>
      </c>
      <c r="AZ26" s="29">
        <f t="shared" si="23"/>
        <v>0</v>
      </c>
      <c r="BA26" s="29">
        <f t="shared" si="23"/>
        <v>0</v>
      </c>
      <c r="BB26" s="29">
        <f t="shared" si="23"/>
        <v>110830.35104501681</v>
      </c>
      <c r="BC26" s="29">
        <f t="shared" si="23"/>
        <v>4997.7364749942</v>
      </c>
      <c r="BD26" s="29">
        <f t="shared" si="23"/>
        <v>103551.429560011</v>
      </c>
      <c r="BE26" s="29">
        <f t="shared" si="23"/>
        <v>35296.28543998902</v>
      </c>
      <c r="BF26" s="86">
        <f t="shared" si="23"/>
        <v>-1703.9600000000037</v>
      </c>
    </row>
    <row r="27" spans="1:58" s="15" customFormat="1" ht="12.75">
      <c r="A27" s="13"/>
      <c r="B27" s="29"/>
      <c r="C27" s="29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0"/>
      <c r="V27" s="30"/>
      <c r="W27" s="30"/>
      <c r="X27" s="30"/>
      <c r="Y27" s="30"/>
      <c r="Z27" s="30"/>
      <c r="AA27" s="30"/>
      <c r="AB27" s="30"/>
      <c r="AC27" s="30"/>
      <c r="AD27" s="41"/>
      <c r="AE27" s="41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37"/>
      <c r="AQ27" s="87"/>
      <c r="AR27" s="87"/>
      <c r="AS27" s="37"/>
      <c r="AT27" s="37"/>
      <c r="AU27" s="37"/>
      <c r="AV27" s="14"/>
      <c r="AW27" s="14"/>
      <c r="AX27" s="88"/>
      <c r="AY27" s="31"/>
      <c r="AZ27" s="31"/>
      <c r="BA27" s="31"/>
      <c r="BB27" s="31"/>
      <c r="BC27" s="31"/>
      <c r="BD27" s="31"/>
      <c r="BE27" s="31"/>
      <c r="BF27" s="89"/>
    </row>
    <row r="28" spans="1:58" s="15" customFormat="1" ht="13.5" thickBot="1">
      <c r="A28" s="16" t="s">
        <v>52</v>
      </c>
      <c r="B28" s="17"/>
      <c r="C28" s="17">
        <f>C12+C26</f>
        <v>179620.71000000002</v>
      </c>
      <c r="D28" s="17">
        <f aca="true" t="shared" si="24" ref="D28:BF28">D12+D26</f>
        <v>23871.51632630002</v>
      </c>
      <c r="E28" s="17">
        <f t="shared" si="24"/>
        <v>14758.479999999998</v>
      </c>
      <c r="F28" s="17">
        <f t="shared" si="24"/>
        <v>3154.8100000000004</v>
      </c>
      <c r="G28" s="17">
        <f t="shared" si="24"/>
        <v>19960.36</v>
      </c>
      <c r="H28" s="17">
        <f t="shared" si="24"/>
        <v>4268.59</v>
      </c>
      <c r="I28" s="17">
        <f t="shared" si="24"/>
        <v>48012.83</v>
      </c>
      <c r="J28" s="17">
        <f t="shared" si="24"/>
        <v>10262.71</v>
      </c>
      <c r="K28" s="17">
        <f t="shared" si="24"/>
        <v>33242.36</v>
      </c>
      <c r="L28" s="17">
        <f t="shared" si="24"/>
        <v>7107.9000000000015</v>
      </c>
      <c r="M28" s="17">
        <f t="shared" si="24"/>
        <v>11807.17</v>
      </c>
      <c r="N28" s="17">
        <f t="shared" si="24"/>
        <v>2523.67</v>
      </c>
      <c r="O28" s="17">
        <f t="shared" si="24"/>
        <v>0</v>
      </c>
      <c r="P28" s="17">
        <f t="shared" si="24"/>
        <v>0</v>
      </c>
      <c r="Q28" s="17">
        <f t="shared" si="24"/>
        <v>0</v>
      </c>
      <c r="R28" s="17">
        <f t="shared" si="24"/>
        <v>0</v>
      </c>
      <c r="S28" s="17">
        <f t="shared" si="24"/>
        <v>127781.2</v>
      </c>
      <c r="T28" s="17">
        <f t="shared" si="24"/>
        <v>27317.679999999997</v>
      </c>
      <c r="U28" s="17">
        <f t="shared" si="24"/>
        <v>13469.029999999999</v>
      </c>
      <c r="V28" s="17">
        <f t="shared" si="24"/>
        <v>18215.019999999997</v>
      </c>
      <c r="W28" s="17">
        <f t="shared" si="24"/>
        <v>43817.59</v>
      </c>
      <c r="X28" s="17">
        <f t="shared" si="24"/>
        <v>30337.200000000004</v>
      </c>
      <c r="Y28" s="17">
        <f t="shared" si="24"/>
        <v>10775.55</v>
      </c>
      <c r="Z28" s="17">
        <f t="shared" si="24"/>
        <v>0</v>
      </c>
      <c r="AA28" s="17">
        <f t="shared" si="24"/>
        <v>0</v>
      </c>
      <c r="AB28" s="17">
        <f t="shared" si="24"/>
        <v>116614.38999999998</v>
      </c>
      <c r="AC28" s="17">
        <f t="shared" si="24"/>
        <v>167803.58632630002</v>
      </c>
      <c r="AD28" s="17">
        <f t="shared" si="24"/>
        <v>0</v>
      </c>
      <c r="AE28" s="17">
        <f t="shared" si="24"/>
        <v>0</v>
      </c>
      <c r="AF28" s="17">
        <f t="shared" si="24"/>
        <v>12276.65796</v>
      </c>
      <c r="AG28" s="17">
        <f t="shared" si="24"/>
        <v>12127.032000000001</v>
      </c>
      <c r="AH28" s="17">
        <f t="shared" si="24"/>
        <v>4080.9797904000006</v>
      </c>
      <c r="AI28" s="17">
        <f t="shared" si="24"/>
        <v>17004.4635055</v>
      </c>
      <c r="AJ28" s="17">
        <f>AJ12+AJ26</f>
        <v>3060.80343099</v>
      </c>
      <c r="AK28" s="17">
        <f t="shared" si="24"/>
        <v>17205.7286379</v>
      </c>
      <c r="AL28" s="17">
        <f t="shared" si="24"/>
        <v>3097.0311548219997</v>
      </c>
      <c r="AM28" s="17">
        <f t="shared" si="24"/>
        <v>37679.16371883967</v>
      </c>
      <c r="AN28" s="17">
        <f t="shared" si="24"/>
        <v>6782.2494693911385</v>
      </c>
      <c r="AO28" s="17">
        <f t="shared" si="24"/>
        <v>0</v>
      </c>
      <c r="AP28" s="17">
        <f t="shared" si="24"/>
        <v>0</v>
      </c>
      <c r="AQ28" s="90">
        <f t="shared" si="24"/>
        <v>0</v>
      </c>
      <c r="AR28" s="90">
        <f t="shared" si="24"/>
        <v>0</v>
      </c>
      <c r="AS28" s="25">
        <f t="shared" si="24"/>
        <v>43808.14</v>
      </c>
      <c r="AT28" s="25">
        <f t="shared" si="24"/>
        <v>0</v>
      </c>
      <c r="AU28" s="25">
        <f t="shared" si="24"/>
        <v>7885.4752</v>
      </c>
      <c r="AV28" s="17"/>
      <c r="AW28" s="17"/>
      <c r="AX28" s="17">
        <f t="shared" si="24"/>
        <v>5815.042000000001</v>
      </c>
      <c r="AY28" s="17">
        <f t="shared" si="24"/>
        <v>0</v>
      </c>
      <c r="AZ28" s="17">
        <f t="shared" si="24"/>
        <v>0</v>
      </c>
      <c r="BA28" s="17">
        <f t="shared" si="24"/>
        <v>0</v>
      </c>
      <c r="BB28" s="17">
        <f t="shared" si="24"/>
        <v>158546.10890784283</v>
      </c>
      <c r="BC28" s="17">
        <f t="shared" si="24"/>
        <v>4997.7364749942</v>
      </c>
      <c r="BD28" s="17">
        <f t="shared" si="24"/>
        <v>151267.187422837</v>
      </c>
      <c r="BE28" s="17">
        <f t="shared" si="24"/>
        <v>16536.39890346302</v>
      </c>
      <c r="BF28" s="17">
        <f t="shared" si="24"/>
        <v>-11166.810000000001</v>
      </c>
    </row>
    <row r="29" spans="1:58" ht="15" customHeight="1">
      <c r="A29" s="7" t="s">
        <v>91</v>
      </c>
      <c r="B29" s="60"/>
      <c r="C29" s="6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64"/>
      <c r="Q29" s="65"/>
      <c r="R29" s="65"/>
      <c r="S29" s="65"/>
      <c r="T29" s="65"/>
      <c r="U29" s="66"/>
      <c r="V29" s="66"/>
      <c r="W29" s="66"/>
      <c r="X29" s="66"/>
      <c r="Y29" s="66"/>
      <c r="Z29" s="66"/>
      <c r="AA29" s="67"/>
      <c r="AB29" s="67"/>
      <c r="AC29" s="68"/>
      <c r="AD29" s="69"/>
      <c r="AE29" s="69"/>
      <c r="AF29" s="21"/>
      <c r="AG29" s="21"/>
      <c r="AH29" s="21"/>
      <c r="AI29" s="21"/>
      <c r="AJ29" s="21"/>
      <c r="AK29" s="21"/>
      <c r="AL29" s="21"/>
      <c r="AM29" s="21"/>
      <c r="AN29" s="70"/>
      <c r="AO29" s="70"/>
      <c r="AP29" s="70"/>
      <c r="AQ29" s="71"/>
      <c r="AR29" s="72"/>
      <c r="AS29" s="73"/>
      <c r="AT29" s="73"/>
      <c r="AU29" s="74"/>
      <c r="AV29" s="21"/>
      <c r="AW29" s="21"/>
      <c r="AX29" s="22"/>
      <c r="AY29" s="1"/>
      <c r="AZ29" s="1"/>
      <c r="BA29" s="1"/>
      <c r="BB29" s="1"/>
      <c r="BC29" s="1"/>
      <c r="BD29" s="1"/>
      <c r="BE29" s="1"/>
      <c r="BF29" s="53"/>
    </row>
    <row r="30" spans="1:58" ht="12.75">
      <c r="A30" s="11" t="s">
        <v>43</v>
      </c>
      <c r="B30" s="91">
        <v>1385.4</v>
      </c>
      <c r="C30" s="92">
        <f aca="true" t="shared" si="25" ref="C30:C41">B30*8.65</f>
        <v>11983.710000000001</v>
      </c>
      <c r="D30" s="120">
        <f>C30-E30-F30-G30-H30-I30-J30-K30-L30-M30-N30</f>
        <v>1145.620000000003</v>
      </c>
      <c r="E30" s="33">
        <v>1037.41</v>
      </c>
      <c r="F30" s="33">
        <v>213.56</v>
      </c>
      <c r="G30" s="33">
        <v>1405.08</v>
      </c>
      <c r="H30" s="33">
        <v>289.47</v>
      </c>
      <c r="I30" s="33">
        <v>3376.16</v>
      </c>
      <c r="J30" s="33">
        <v>695.23</v>
      </c>
      <c r="K30" s="33">
        <v>2338.71</v>
      </c>
      <c r="L30" s="33">
        <v>481.68</v>
      </c>
      <c r="M30" s="39">
        <v>829.96</v>
      </c>
      <c r="N30" s="39">
        <v>170.83</v>
      </c>
      <c r="O30" s="33">
        <v>0</v>
      </c>
      <c r="P30" s="94">
        <v>0</v>
      </c>
      <c r="Q30" s="94"/>
      <c r="R30" s="94"/>
      <c r="S30" s="33">
        <f aca="true" t="shared" si="26" ref="S30:S41">E30+G30+I30+K30+M30+O30+Q30</f>
        <v>8987.32</v>
      </c>
      <c r="T30" s="95">
        <f aca="true" t="shared" si="27" ref="T30:T41">P30+N30+L30+J30+H30+F30+R30</f>
        <v>1850.77</v>
      </c>
      <c r="U30" s="33">
        <v>609.61</v>
      </c>
      <c r="V30" s="33">
        <v>825.62</v>
      </c>
      <c r="W30" s="33">
        <v>1983.82</v>
      </c>
      <c r="X30" s="33">
        <v>1374.17</v>
      </c>
      <c r="Y30" s="33">
        <v>487.7</v>
      </c>
      <c r="Z30" s="33">
        <v>0</v>
      </c>
      <c r="AA30" s="94">
        <v>0</v>
      </c>
      <c r="AB30" s="94">
        <f>SUM(U30:AA30)</f>
        <v>5280.92</v>
      </c>
      <c r="AC30" s="96">
        <f aca="true" t="shared" si="28" ref="AC30:AC41">D30+T30+AB30</f>
        <v>8277.310000000003</v>
      </c>
      <c r="AD30" s="42">
        <f aca="true" t="shared" si="29" ref="AD30:AD41">P30+Z30</f>
        <v>0</v>
      </c>
      <c r="AE30" s="42">
        <f aca="true" t="shared" si="30" ref="AE30:AE41">R30+AA30</f>
        <v>0</v>
      </c>
      <c r="AF30" s="42">
        <f>'[6]Т01-10'!$I$69+'[6]Т01-10'!$I$77+'[6]Т01-10'!$I$112+'[6]Т01-10'!$I$116</f>
        <v>2401.98614</v>
      </c>
      <c r="AG30" s="12">
        <f aca="true" t="shared" si="31" ref="AG30:AG41">0.6*B30</f>
        <v>831.24</v>
      </c>
      <c r="AH30" s="12">
        <f aca="true" t="shared" si="32" ref="AH30:AH41">B30*0.2</f>
        <v>277.08000000000004</v>
      </c>
      <c r="AI30" s="12">
        <f aca="true" t="shared" si="33" ref="AI30:AI41">1*B30</f>
        <v>1385.4</v>
      </c>
      <c r="AJ30" s="12">
        <v>0</v>
      </c>
      <c r="AK30" s="12">
        <f aca="true" t="shared" si="34" ref="AK30:AK41">0.98*B30</f>
        <v>1357.692</v>
      </c>
      <c r="AL30" s="12">
        <v>0</v>
      </c>
      <c r="AM30" s="12">
        <f aca="true" t="shared" si="35" ref="AM30:AM41">2.25*B30</f>
        <v>3117.15</v>
      </c>
      <c r="AN30" s="12">
        <v>0</v>
      </c>
      <c r="AO30" s="12"/>
      <c r="AP30" s="12">
        <v>0</v>
      </c>
      <c r="AQ30" s="97"/>
      <c r="AR30" s="97"/>
      <c r="AS30" s="38">
        <v>0</v>
      </c>
      <c r="AT30" s="38"/>
      <c r="AU30" s="38">
        <f aca="true" t="shared" si="36" ref="AU30:AU41">AT30*0.18</f>
        <v>0</v>
      </c>
      <c r="AV30" s="98">
        <v>508</v>
      </c>
      <c r="AW30" s="99">
        <v>1</v>
      </c>
      <c r="AX30" s="12">
        <f aca="true" t="shared" si="37" ref="AX30:AX41">AV30*AW30*1.4</f>
        <v>711.1999999999999</v>
      </c>
      <c r="AY30" s="100"/>
      <c r="AZ30" s="119"/>
      <c r="BA30" s="101">
        <f aca="true" t="shared" si="38" ref="BA30:BA41">AZ30*0.18</f>
        <v>0</v>
      </c>
      <c r="BB30" s="101">
        <f aca="true" t="shared" si="39" ref="BB30:BB41">SUM(AG30:BA30)-AV30-AW30</f>
        <v>7679.762</v>
      </c>
      <c r="BC30" s="102">
        <f>'[6]Т03-10'!$M$70+'[6]Т03-10'!$M$78+'[6]Т03-10'!$M$113+'[6]Т03-10'!$M$117</f>
        <v>990.039</v>
      </c>
      <c r="BD30" s="75">
        <f>BB30-(AF30-BC30)</f>
        <v>6267.8148599999995</v>
      </c>
      <c r="BE30" s="49">
        <f>(AC30-BB30)+(AF30-BC30)</f>
        <v>2009.4951400000034</v>
      </c>
      <c r="BF30" s="49">
        <f>AB30-S30</f>
        <v>-3706.3999999999996</v>
      </c>
    </row>
    <row r="31" spans="1:58" ht="12.75">
      <c r="A31" s="11" t="s">
        <v>44</v>
      </c>
      <c r="B31" s="103">
        <v>1385.4</v>
      </c>
      <c r="C31" s="92">
        <f t="shared" si="25"/>
        <v>11983.710000000001</v>
      </c>
      <c r="D31" s="93">
        <f aca="true" t="shared" si="40" ref="D31:D41">C31-E31-F31-G31-H31-I31-J31-K31-L31-M31-N31</f>
        <v>1145.620000000003</v>
      </c>
      <c r="E31" s="35">
        <v>1037.41</v>
      </c>
      <c r="F31" s="33">
        <v>213.56</v>
      </c>
      <c r="G31" s="33">
        <v>1405.08</v>
      </c>
      <c r="H31" s="33">
        <v>289.47</v>
      </c>
      <c r="I31" s="33">
        <v>3376.16</v>
      </c>
      <c r="J31" s="33">
        <v>695.23</v>
      </c>
      <c r="K31" s="33">
        <v>2338.71</v>
      </c>
      <c r="L31" s="33">
        <v>481.68</v>
      </c>
      <c r="M31" s="39">
        <v>829.96</v>
      </c>
      <c r="N31" s="39">
        <v>170.83</v>
      </c>
      <c r="O31" s="33">
        <v>0</v>
      </c>
      <c r="P31" s="94">
        <v>0</v>
      </c>
      <c r="Q31" s="94">
        <v>0</v>
      </c>
      <c r="R31" s="94">
        <v>0</v>
      </c>
      <c r="S31" s="33">
        <f t="shared" si="26"/>
        <v>8987.32</v>
      </c>
      <c r="T31" s="95">
        <f t="shared" si="27"/>
        <v>1850.77</v>
      </c>
      <c r="U31" s="33">
        <v>1053.85</v>
      </c>
      <c r="V31" s="33">
        <v>1427.18</v>
      </c>
      <c r="W31" s="33">
        <v>3429.45</v>
      </c>
      <c r="X31" s="33">
        <v>2375.62</v>
      </c>
      <c r="Y31" s="33">
        <v>843.09</v>
      </c>
      <c r="Z31" s="33">
        <v>0</v>
      </c>
      <c r="AA31" s="94">
        <v>0</v>
      </c>
      <c r="AB31" s="94">
        <f>SUM(U31:AA31)</f>
        <v>9129.189999999999</v>
      </c>
      <c r="AC31" s="96">
        <f t="shared" si="28"/>
        <v>12125.580000000002</v>
      </c>
      <c r="AD31" s="42">
        <f t="shared" si="29"/>
        <v>0</v>
      </c>
      <c r="AE31" s="42">
        <f t="shared" si="30"/>
        <v>0</v>
      </c>
      <c r="AF31" s="42">
        <f>'[6]Т01-10'!$I$69+'[6]Т01-10'!$I$77+'[6]Т01-10'!$I$112+'[6]Т01-10'!$I$116</f>
        <v>2401.98614</v>
      </c>
      <c r="AG31" s="12">
        <f t="shared" si="31"/>
        <v>831.24</v>
      </c>
      <c r="AH31" s="12">
        <f t="shared" si="32"/>
        <v>277.08000000000004</v>
      </c>
      <c r="AI31" s="12">
        <f t="shared" si="33"/>
        <v>1385.4</v>
      </c>
      <c r="AJ31" s="12">
        <v>0</v>
      </c>
      <c r="AK31" s="12">
        <f t="shared" si="34"/>
        <v>1357.692</v>
      </c>
      <c r="AL31" s="12">
        <v>0</v>
      </c>
      <c r="AM31" s="12">
        <f t="shared" si="35"/>
        <v>3117.15</v>
      </c>
      <c r="AN31" s="12">
        <v>0</v>
      </c>
      <c r="AO31" s="12">
        <f>389.6*5.4</f>
        <v>2103.84</v>
      </c>
      <c r="AP31" s="12"/>
      <c r="AQ31" s="97"/>
      <c r="AR31" s="97"/>
      <c r="AS31" s="38"/>
      <c r="AT31" s="38"/>
      <c r="AU31" s="38">
        <f t="shared" si="36"/>
        <v>0</v>
      </c>
      <c r="AV31" s="98">
        <v>407</v>
      </c>
      <c r="AW31" s="99">
        <v>1</v>
      </c>
      <c r="AX31" s="12">
        <f t="shared" si="37"/>
        <v>569.8</v>
      </c>
      <c r="AY31" s="100"/>
      <c r="AZ31" s="101"/>
      <c r="BA31" s="101">
        <f t="shared" si="38"/>
        <v>0</v>
      </c>
      <c r="BB31" s="101">
        <f t="shared" si="39"/>
        <v>9642.202</v>
      </c>
      <c r="BC31" s="102">
        <f>'[6]Т03-10'!$M$70+'[6]Т03-10'!$M$78+'[6]Т03-10'!$M$113+'[6]Т03-10'!$M$117</f>
        <v>990.039</v>
      </c>
      <c r="BD31" s="75">
        <f aca="true" t="shared" si="41" ref="BD31:BD41">BB31-(AF31-BC31)</f>
        <v>8230.25486</v>
      </c>
      <c r="BE31" s="49">
        <f aca="true" t="shared" si="42" ref="BE31:BE41">(AC31-BB31)+(AF31-BC31)</f>
        <v>3895.3251400000026</v>
      </c>
      <c r="BF31" s="49">
        <f aca="true" t="shared" si="43" ref="BF31:BF41">AB31-S31</f>
        <v>141.86999999999898</v>
      </c>
    </row>
    <row r="32" spans="1:58" ht="13.5" thickBot="1">
      <c r="A32" s="76" t="s">
        <v>45</v>
      </c>
      <c r="B32" s="91">
        <v>1385.4</v>
      </c>
      <c r="C32" s="92">
        <f t="shared" si="25"/>
        <v>11983.710000000001</v>
      </c>
      <c r="D32" s="93">
        <f t="shared" si="40"/>
        <v>1145.6300000000033</v>
      </c>
      <c r="E32" s="33">
        <v>1037.41</v>
      </c>
      <c r="F32" s="33">
        <v>213.56</v>
      </c>
      <c r="G32" s="33">
        <v>1405.07</v>
      </c>
      <c r="H32" s="33">
        <v>289.48</v>
      </c>
      <c r="I32" s="33">
        <v>3376.16</v>
      </c>
      <c r="J32" s="33">
        <v>695.23</v>
      </c>
      <c r="K32" s="33">
        <v>2338.7</v>
      </c>
      <c r="L32" s="33">
        <v>481.68</v>
      </c>
      <c r="M32" s="39">
        <v>829.96</v>
      </c>
      <c r="N32" s="39">
        <v>170.83</v>
      </c>
      <c r="O32" s="33">
        <v>0</v>
      </c>
      <c r="P32" s="94">
        <v>0</v>
      </c>
      <c r="Q32" s="94">
        <v>0</v>
      </c>
      <c r="R32" s="94">
        <v>0</v>
      </c>
      <c r="S32" s="33">
        <f t="shared" si="26"/>
        <v>8987.3</v>
      </c>
      <c r="T32" s="95">
        <f t="shared" si="27"/>
        <v>1850.78</v>
      </c>
      <c r="U32" s="33">
        <v>1205.46</v>
      </c>
      <c r="V32" s="33">
        <v>1632.86</v>
      </c>
      <c r="W32" s="33">
        <v>3923.29</v>
      </c>
      <c r="X32" s="33">
        <v>2717.82</v>
      </c>
      <c r="Y32" s="33">
        <v>964.4</v>
      </c>
      <c r="Z32" s="33">
        <v>0</v>
      </c>
      <c r="AA32" s="94">
        <v>0</v>
      </c>
      <c r="AB32" s="94">
        <f>SUM(U32:AA32)</f>
        <v>10443.83</v>
      </c>
      <c r="AC32" s="96">
        <f t="shared" si="28"/>
        <v>13440.240000000003</v>
      </c>
      <c r="AD32" s="42">
        <f t="shared" si="29"/>
        <v>0</v>
      </c>
      <c r="AE32" s="42">
        <f t="shared" si="30"/>
        <v>0</v>
      </c>
      <c r="AF32" s="42">
        <f>'[6]Т01-10'!$I$69+'[6]Т01-10'!$I$77+'[6]Т01-10'!$I$112+'[6]Т01-10'!$I$116</f>
        <v>2401.98614</v>
      </c>
      <c r="AG32" s="12">
        <f t="shared" si="31"/>
        <v>831.24</v>
      </c>
      <c r="AH32" s="12">
        <f t="shared" si="32"/>
        <v>277.08000000000004</v>
      </c>
      <c r="AI32" s="12">
        <f t="shared" si="33"/>
        <v>1385.4</v>
      </c>
      <c r="AJ32" s="12">
        <v>0</v>
      </c>
      <c r="AK32" s="12">
        <f t="shared" si="34"/>
        <v>1357.692</v>
      </c>
      <c r="AL32" s="12">
        <v>0</v>
      </c>
      <c r="AM32" s="12">
        <f t="shared" si="35"/>
        <v>3117.15</v>
      </c>
      <c r="AN32" s="12">
        <v>0</v>
      </c>
      <c r="AO32" s="12"/>
      <c r="AP32" s="12"/>
      <c r="AQ32" s="97"/>
      <c r="AR32" s="97"/>
      <c r="AS32" s="38"/>
      <c r="AT32" s="38"/>
      <c r="AU32" s="38">
        <f t="shared" si="36"/>
        <v>0</v>
      </c>
      <c r="AV32" s="98">
        <v>383</v>
      </c>
      <c r="AW32" s="99">
        <v>1</v>
      </c>
      <c r="AX32" s="12">
        <f t="shared" si="37"/>
        <v>536.1999999999999</v>
      </c>
      <c r="AY32" s="100"/>
      <c r="AZ32" s="101"/>
      <c r="BA32" s="101">
        <f t="shared" si="38"/>
        <v>0</v>
      </c>
      <c r="BB32" s="101">
        <f t="shared" si="39"/>
        <v>7504.762</v>
      </c>
      <c r="BC32" s="102">
        <f>'[6]Т03-10'!$M$70+'[6]Т03-10'!$M$78+'[6]Т03-10'!$M$113+'[6]Т03-10'!$M$117</f>
        <v>990.039</v>
      </c>
      <c r="BD32" s="75">
        <f t="shared" si="41"/>
        <v>6092.8148599999995</v>
      </c>
      <c r="BE32" s="49">
        <f t="shared" si="42"/>
        <v>7347.425140000004</v>
      </c>
      <c r="BF32" s="49">
        <f t="shared" si="43"/>
        <v>1456.5300000000007</v>
      </c>
    </row>
    <row r="33" spans="1:58" ht="12.75">
      <c r="A33" s="79" t="s">
        <v>46</v>
      </c>
      <c r="B33" s="91">
        <v>1385.4</v>
      </c>
      <c r="C33" s="92">
        <f t="shared" si="25"/>
        <v>11983.710000000001</v>
      </c>
      <c r="D33" s="93">
        <f t="shared" si="40"/>
        <v>1145.620000000003</v>
      </c>
      <c r="E33" s="33">
        <v>1037.41</v>
      </c>
      <c r="F33" s="33">
        <v>213.56</v>
      </c>
      <c r="G33" s="33">
        <v>1405.08</v>
      </c>
      <c r="H33" s="33">
        <v>289.47</v>
      </c>
      <c r="I33" s="33">
        <v>3376.16</v>
      </c>
      <c r="J33" s="33">
        <v>695.23</v>
      </c>
      <c r="K33" s="33">
        <v>2338.71</v>
      </c>
      <c r="L33" s="33">
        <v>481.68</v>
      </c>
      <c r="M33" s="39">
        <v>829.96</v>
      </c>
      <c r="N33" s="39">
        <v>170.83</v>
      </c>
      <c r="O33" s="33">
        <v>0</v>
      </c>
      <c r="P33" s="94">
        <v>0</v>
      </c>
      <c r="Q33" s="94"/>
      <c r="R33" s="94"/>
      <c r="S33" s="33">
        <f t="shared" si="26"/>
        <v>8987.32</v>
      </c>
      <c r="T33" s="95">
        <f t="shared" si="27"/>
        <v>1850.77</v>
      </c>
      <c r="U33" s="33">
        <v>910.59</v>
      </c>
      <c r="V33" s="33">
        <v>1229.22</v>
      </c>
      <c r="W33" s="33">
        <v>2948.87</v>
      </c>
      <c r="X33" s="33">
        <v>2048.7</v>
      </c>
      <c r="Y33" s="33">
        <v>728.44</v>
      </c>
      <c r="Z33" s="33">
        <v>0</v>
      </c>
      <c r="AA33" s="94">
        <v>0</v>
      </c>
      <c r="AB33" s="94">
        <f>SUM(U33:AA33)</f>
        <v>7865.82</v>
      </c>
      <c r="AC33" s="96">
        <f t="shared" si="28"/>
        <v>10862.210000000003</v>
      </c>
      <c r="AD33" s="42">
        <f t="shared" si="29"/>
        <v>0</v>
      </c>
      <c r="AE33" s="42">
        <f t="shared" si="30"/>
        <v>0</v>
      </c>
      <c r="AF33" s="42">
        <f>'[3]Т04-10'!$I$70+'[3]Т04-10'!$I$78+'[3]Т04-10'!$I$113+'[3]Т04-10'!$I$117</f>
        <v>2401.98614</v>
      </c>
      <c r="AG33" s="12">
        <f t="shared" si="31"/>
        <v>831.24</v>
      </c>
      <c r="AH33" s="12">
        <f t="shared" si="32"/>
        <v>277.08000000000004</v>
      </c>
      <c r="AI33" s="12">
        <f t="shared" si="33"/>
        <v>1385.4</v>
      </c>
      <c r="AJ33" s="12">
        <v>0</v>
      </c>
      <c r="AK33" s="12">
        <f t="shared" si="34"/>
        <v>1357.692</v>
      </c>
      <c r="AL33" s="12">
        <v>0</v>
      </c>
      <c r="AM33" s="12">
        <f t="shared" si="35"/>
        <v>3117.15</v>
      </c>
      <c r="AN33" s="12">
        <v>0</v>
      </c>
      <c r="AO33" s="12"/>
      <c r="AP33" s="12"/>
      <c r="AQ33" s="97"/>
      <c r="AR33" s="97"/>
      <c r="AS33" s="38">
        <v>1346</v>
      </c>
      <c r="AT33" s="38">
        <f>67+40</f>
        <v>107</v>
      </c>
      <c r="AU33" s="38"/>
      <c r="AV33" s="98">
        <v>307</v>
      </c>
      <c r="AW33" s="99">
        <v>1</v>
      </c>
      <c r="AX33" s="12">
        <f t="shared" si="37"/>
        <v>429.79999999999995</v>
      </c>
      <c r="AY33" s="100"/>
      <c r="AZ33" s="101"/>
      <c r="BA33" s="101">
        <f t="shared" si="38"/>
        <v>0</v>
      </c>
      <c r="BB33" s="101">
        <f t="shared" si="39"/>
        <v>8851.362</v>
      </c>
      <c r="BC33" s="102">
        <f>'[3]Т04-10'!$M$70+'[3]Т04-10'!$M$78+'[3]Т04-10'!$M$113+'[3]Т04-10'!$M$117</f>
        <v>990.039</v>
      </c>
      <c r="BD33" s="75">
        <f t="shared" si="41"/>
        <v>7439.414859999999</v>
      </c>
      <c r="BE33" s="49">
        <f t="shared" si="42"/>
        <v>3422.795140000004</v>
      </c>
      <c r="BF33" s="49">
        <f t="shared" si="43"/>
        <v>-1121.5</v>
      </c>
    </row>
    <row r="34" spans="1:58" ht="12.75">
      <c r="A34" s="11" t="s">
        <v>47</v>
      </c>
      <c r="B34" s="91">
        <v>1385</v>
      </c>
      <c r="C34" s="92">
        <f t="shared" si="25"/>
        <v>11980.25</v>
      </c>
      <c r="D34" s="93">
        <f t="shared" si="40"/>
        <v>1145.56</v>
      </c>
      <c r="E34" s="33">
        <v>1037.07</v>
      </c>
      <c r="F34" s="33">
        <v>213.52</v>
      </c>
      <c r="G34" s="33">
        <v>1404.61</v>
      </c>
      <c r="H34" s="33">
        <v>289.4</v>
      </c>
      <c r="I34" s="33">
        <v>3375.04</v>
      </c>
      <c r="J34" s="33">
        <v>695.07</v>
      </c>
      <c r="K34" s="33">
        <v>2337.92</v>
      </c>
      <c r="L34" s="33">
        <v>481.59</v>
      </c>
      <c r="M34" s="39">
        <v>829.68</v>
      </c>
      <c r="N34" s="39">
        <v>170.79</v>
      </c>
      <c r="O34" s="33">
        <v>0</v>
      </c>
      <c r="P34" s="94">
        <v>0</v>
      </c>
      <c r="Q34" s="94"/>
      <c r="R34" s="94"/>
      <c r="S34" s="33">
        <f t="shared" si="26"/>
        <v>8984.32</v>
      </c>
      <c r="T34" s="95">
        <f t="shared" si="27"/>
        <v>1850.37</v>
      </c>
      <c r="U34" s="104">
        <v>822.42</v>
      </c>
      <c r="V34" s="104">
        <v>1114.24</v>
      </c>
      <c r="W34" s="104">
        <v>2676.82</v>
      </c>
      <c r="X34" s="104">
        <v>1854.4</v>
      </c>
      <c r="Y34" s="104">
        <v>657.95</v>
      </c>
      <c r="Z34" s="104">
        <v>0</v>
      </c>
      <c r="AA34" s="105">
        <v>0</v>
      </c>
      <c r="AB34" s="94">
        <f aca="true" t="shared" si="44" ref="AB34:AB41">SUM(U34:AA34)</f>
        <v>7125.829999999999</v>
      </c>
      <c r="AC34" s="96">
        <f t="shared" si="28"/>
        <v>10121.759999999998</v>
      </c>
      <c r="AD34" s="42">
        <f t="shared" si="29"/>
        <v>0</v>
      </c>
      <c r="AE34" s="42">
        <f t="shared" si="30"/>
        <v>0</v>
      </c>
      <c r="AF34" s="42">
        <f>'[3]Т04-10'!$I$70+'[3]Т04-10'!$I$78+'[3]Т04-10'!$I$113+'[3]Т04-10'!$I$117</f>
        <v>2401.98614</v>
      </c>
      <c r="AG34" s="12">
        <f t="shared" si="31"/>
        <v>831</v>
      </c>
      <c r="AH34" s="12">
        <f t="shared" si="32"/>
        <v>277</v>
      </c>
      <c r="AI34" s="12">
        <f t="shared" si="33"/>
        <v>1385</v>
      </c>
      <c r="AJ34" s="12">
        <v>0</v>
      </c>
      <c r="AK34" s="12">
        <f t="shared" si="34"/>
        <v>1357.3</v>
      </c>
      <c r="AL34" s="12">
        <v>0</v>
      </c>
      <c r="AM34" s="12">
        <f t="shared" si="35"/>
        <v>3116.25</v>
      </c>
      <c r="AN34" s="12">
        <v>0</v>
      </c>
      <c r="AO34" s="12"/>
      <c r="AP34" s="12"/>
      <c r="AQ34" s="97"/>
      <c r="AR34" s="97"/>
      <c r="AS34" s="38">
        <v>580</v>
      </c>
      <c r="AT34" s="38">
        <v>766.27</v>
      </c>
      <c r="AU34" s="38"/>
      <c r="AV34" s="98">
        <v>263</v>
      </c>
      <c r="AW34" s="99">
        <v>1</v>
      </c>
      <c r="AX34" s="12">
        <f t="shared" si="37"/>
        <v>368.2</v>
      </c>
      <c r="AY34" s="100"/>
      <c r="AZ34" s="101"/>
      <c r="BA34" s="101">
        <f t="shared" si="38"/>
        <v>0</v>
      </c>
      <c r="BB34" s="101">
        <f t="shared" si="39"/>
        <v>8681.02</v>
      </c>
      <c r="BC34" s="102">
        <f>'[3]Т04-10'!$M$70+'[3]Т04-10'!$M$78+'[3]Т04-10'!$M$113+'[3]Т04-10'!$M$117</f>
        <v>990.039</v>
      </c>
      <c r="BD34" s="75">
        <f t="shared" si="41"/>
        <v>7269.07286</v>
      </c>
      <c r="BE34" s="49">
        <f t="shared" si="42"/>
        <v>2852.687139999998</v>
      </c>
      <c r="BF34" s="49">
        <f t="shared" si="43"/>
        <v>-1858.4900000000007</v>
      </c>
    </row>
    <row r="35" spans="1:58" ht="13.5" thickBot="1">
      <c r="A35" s="76" t="s">
        <v>48</v>
      </c>
      <c r="B35" s="91">
        <v>1385</v>
      </c>
      <c r="C35" s="92">
        <f t="shared" si="25"/>
        <v>11980.25</v>
      </c>
      <c r="D35" s="93">
        <f t="shared" si="40"/>
        <v>1145.5700000000002</v>
      </c>
      <c r="E35" s="33">
        <v>1037.08</v>
      </c>
      <c r="F35" s="33">
        <v>213.52</v>
      </c>
      <c r="G35" s="33">
        <v>1404.59</v>
      </c>
      <c r="H35" s="33">
        <v>289.4</v>
      </c>
      <c r="I35" s="33">
        <v>3375.04</v>
      </c>
      <c r="J35" s="33">
        <v>695.07</v>
      </c>
      <c r="K35" s="33">
        <v>2337.91</v>
      </c>
      <c r="L35" s="33">
        <v>481.59</v>
      </c>
      <c r="M35" s="39">
        <v>829.69</v>
      </c>
      <c r="N35" s="39">
        <v>170.79</v>
      </c>
      <c r="O35" s="33">
        <v>0</v>
      </c>
      <c r="P35" s="94">
        <v>0</v>
      </c>
      <c r="Q35" s="33">
        <v>0</v>
      </c>
      <c r="R35" s="94">
        <v>0</v>
      </c>
      <c r="S35" s="33">
        <f t="shared" si="26"/>
        <v>8984.31</v>
      </c>
      <c r="T35" s="95">
        <f t="shared" si="27"/>
        <v>1850.37</v>
      </c>
      <c r="U35" s="33">
        <v>894.8</v>
      </c>
      <c r="V35" s="33">
        <v>1212.26</v>
      </c>
      <c r="W35" s="33">
        <v>2912.37</v>
      </c>
      <c r="X35" s="33">
        <v>2017.55</v>
      </c>
      <c r="Y35" s="33">
        <v>715.88</v>
      </c>
      <c r="Z35" s="33">
        <v>0</v>
      </c>
      <c r="AA35" s="94">
        <v>0</v>
      </c>
      <c r="AB35" s="94">
        <f t="shared" si="44"/>
        <v>7752.860000000001</v>
      </c>
      <c r="AC35" s="96">
        <f t="shared" si="28"/>
        <v>10748.800000000001</v>
      </c>
      <c r="AD35" s="42">
        <f t="shared" si="29"/>
        <v>0</v>
      </c>
      <c r="AE35" s="42">
        <f t="shared" si="30"/>
        <v>0</v>
      </c>
      <c r="AF35" s="42">
        <f>'[3]Т04-10'!$I$70+'[3]Т04-10'!$I$78+'[3]Т04-10'!$I$113+'[3]Т04-10'!$I$117</f>
        <v>2401.98614</v>
      </c>
      <c r="AG35" s="12">
        <f t="shared" si="31"/>
        <v>831</v>
      </c>
      <c r="AH35" s="12">
        <f t="shared" si="32"/>
        <v>277</v>
      </c>
      <c r="AI35" s="12">
        <f t="shared" si="33"/>
        <v>1385</v>
      </c>
      <c r="AJ35" s="12">
        <v>0</v>
      </c>
      <c r="AK35" s="12">
        <f t="shared" si="34"/>
        <v>1357.3</v>
      </c>
      <c r="AL35" s="12">
        <v>0</v>
      </c>
      <c r="AM35" s="12">
        <f t="shared" si="35"/>
        <v>3116.25</v>
      </c>
      <c r="AN35" s="12">
        <v>0</v>
      </c>
      <c r="AO35" s="12"/>
      <c r="AP35" s="12"/>
      <c r="AQ35" s="97"/>
      <c r="AR35" s="97"/>
      <c r="AS35" s="38">
        <v>9246</v>
      </c>
      <c r="AT35" s="38"/>
      <c r="AU35" s="38">
        <f t="shared" si="36"/>
        <v>0</v>
      </c>
      <c r="AV35" s="98">
        <v>233</v>
      </c>
      <c r="AW35" s="99">
        <v>1</v>
      </c>
      <c r="AX35" s="12">
        <f t="shared" si="37"/>
        <v>326.2</v>
      </c>
      <c r="AY35" s="100"/>
      <c r="AZ35" s="101"/>
      <c r="BA35" s="101">
        <f t="shared" si="38"/>
        <v>0</v>
      </c>
      <c r="BB35" s="101">
        <f t="shared" si="39"/>
        <v>16538.75</v>
      </c>
      <c r="BC35" s="102">
        <f>'[3]Т06-10'!$M$68+'[3]Т06-10'!$M$76+'[3]Т06-10'!$M$110+'[3]Т06-10'!$M$114</f>
        <v>990.039</v>
      </c>
      <c r="BD35" s="75">
        <f t="shared" si="41"/>
        <v>15126.80286</v>
      </c>
      <c r="BE35" s="49">
        <f t="shared" si="42"/>
        <v>-4378.002859999999</v>
      </c>
      <c r="BF35" s="49">
        <f t="shared" si="43"/>
        <v>-1231.449999999999</v>
      </c>
    </row>
    <row r="36" spans="1:58" ht="12.75">
      <c r="A36" s="79" t="s">
        <v>49</v>
      </c>
      <c r="B36" s="91">
        <v>1385</v>
      </c>
      <c r="C36" s="92">
        <f t="shared" si="25"/>
        <v>11980.25</v>
      </c>
      <c r="D36" s="93">
        <f t="shared" si="40"/>
        <v>1131.0400000000013</v>
      </c>
      <c r="E36" s="35">
        <v>1252.3</v>
      </c>
      <c r="F36" s="33">
        <v>0</v>
      </c>
      <c r="G36" s="33">
        <v>1696.23</v>
      </c>
      <c r="H36" s="33">
        <v>0</v>
      </c>
      <c r="I36" s="33">
        <v>4075.58</v>
      </c>
      <c r="J36" s="33">
        <v>0</v>
      </c>
      <c r="K36" s="33">
        <v>2823.27</v>
      </c>
      <c r="L36" s="33">
        <v>0</v>
      </c>
      <c r="M36" s="39">
        <v>1001.83</v>
      </c>
      <c r="N36" s="39">
        <v>0</v>
      </c>
      <c r="O36" s="33">
        <v>0</v>
      </c>
      <c r="P36" s="94">
        <v>0</v>
      </c>
      <c r="Q36" s="94"/>
      <c r="R36" s="94"/>
      <c r="S36" s="33">
        <f t="shared" si="26"/>
        <v>10849.21</v>
      </c>
      <c r="T36" s="95">
        <f t="shared" si="27"/>
        <v>0</v>
      </c>
      <c r="U36" s="35">
        <v>923.07</v>
      </c>
      <c r="V36" s="33">
        <v>1249.77</v>
      </c>
      <c r="W36" s="33">
        <v>3003.44</v>
      </c>
      <c r="X36" s="33">
        <v>2080.39</v>
      </c>
      <c r="Y36" s="33">
        <v>738.42</v>
      </c>
      <c r="Z36" s="33">
        <v>0</v>
      </c>
      <c r="AA36" s="94">
        <v>0</v>
      </c>
      <c r="AB36" s="94">
        <f t="shared" si="44"/>
        <v>7995.09</v>
      </c>
      <c r="AC36" s="96">
        <f t="shared" si="28"/>
        <v>9126.130000000001</v>
      </c>
      <c r="AD36" s="42">
        <f t="shared" si="29"/>
        <v>0</v>
      </c>
      <c r="AE36" s="42">
        <f t="shared" si="30"/>
        <v>0</v>
      </c>
      <c r="AF36" s="42">
        <f>'[2]Т07-10'!$I$67+'[2]Т07-10'!$I$75+'[2]Т07-10'!$I$109+'[2]Т07-10'!$I$113</f>
        <v>2401.98614</v>
      </c>
      <c r="AG36" s="12">
        <f t="shared" si="31"/>
        <v>831</v>
      </c>
      <c r="AH36" s="12">
        <f t="shared" si="32"/>
        <v>277</v>
      </c>
      <c r="AI36" s="12">
        <f t="shared" si="33"/>
        <v>1385</v>
      </c>
      <c r="AJ36" s="12">
        <v>0</v>
      </c>
      <c r="AK36" s="12">
        <f t="shared" si="34"/>
        <v>1357.3</v>
      </c>
      <c r="AL36" s="12">
        <v>0</v>
      </c>
      <c r="AM36" s="12">
        <f t="shared" si="35"/>
        <v>3116.25</v>
      </c>
      <c r="AN36" s="12">
        <v>0</v>
      </c>
      <c r="AO36" s="12"/>
      <c r="AP36" s="12"/>
      <c r="AQ36" s="97"/>
      <c r="AR36" s="97"/>
      <c r="AS36" s="38"/>
      <c r="AT36" s="38"/>
      <c r="AU36" s="38">
        <f t="shared" si="36"/>
        <v>0</v>
      </c>
      <c r="AV36" s="98">
        <v>248</v>
      </c>
      <c r="AW36" s="99">
        <v>1</v>
      </c>
      <c r="AX36" s="12">
        <f t="shared" si="37"/>
        <v>347.2</v>
      </c>
      <c r="AY36" s="100"/>
      <c r="AZ36" s="101"/>
      <c r="BA36" s="101">
        <f t="shared" si="38"/>
        <v>0</v>
      </c>
      <c r="BB36" s="101">
        <f t="shared" si="39"/>
        <v>7313.75</v>
      </c>
      <c r="BC36" s="102">
        <f>'[3]Т06-10'!$M$68+'[3]Т06-10'!$M$76+'[3]Т06-10'!$M$110+'[3]Т06-10'!$M$114</f>
        <v>990.039</v>
      </c>
      <c r="BD36" s="75">
        <f t="shared" si="41"/>
        <v>5901.80286</v>
      </c>
      <c r="BE36" s="49">
        <f t="shared" si="42"/>
        <v>3224.3271400000012</v>
      </c>
      <c r="BF36" s="49">
        <f t="shared" si="43"/>
        <v>-2854.119999999999</v>
      </c>
    </row>
    <row r="37" spans="1:58" ht="12.75">
      <c r="A37" s="11" t="s">
        <v>50</v>
      </c>
      <c r="B37" s="91">
        <v>1385</v>
      </c>
      <c r="C37" s="92">
        <f t="shared" si="25"/>
        <v>11980.25</v>
      </c>
      <c r="D37" s="93">
        <f t="shared" si="40"/>
        <v>1131.0400000000013</v>
      </c>
      <c r="E37" s="35">
        <v>1252.3</v>
      </c>
      <c r="F37" s="33">
        <v>0</v>
      </c>
      <c r="G37" s="33">
        <v>1696.23</v>
      </c>
      <c r="H37" s="33">
        <v>0</v>
      </c>
      <c r="I37" s="33">
        <v>4075.58</v>
      </c>
      <c r="J37" s="33">
        <v>0</v>
      </c>
      <c r="K37" s="33">
        <v>2823.27</v>
      </c>
      <c r="L37" s="33">
        <v>0</v>
      </c>
      <c r="M37" s="39">
        <v>1001.83</v>
      </c>
      <c r="N37" s="39">
        <v>0</v>
      </c>
      <c r="O37" s="33">
        <v>0</v>
      </c>
      <c r="P37" s="94">
        <v>0</v>
      </c>
      <c r="Q37" s="94"/>
      <c r="R37" s="94"/>
      <c r="S37" s="33">
        <f t="shared" si="26"/>
        <v>10849.21</v>
      </c>
      <c r="T37" s="95">
        <f t="shared" si="27"/>
        <v>0</v>
      </c>
      <c r="U37" s="104">
        <v>1273.6</v>
      </c>
      <c r="V37" s="104">
        <v>1725.32</v>
      </c>
      <c r="W37" s="104">
        <v>5145.23</v>
      </c>
      <c r="X37" s="104">
        <v>2871.63</v>
      </c>
      <c r="Y37" s="104">
        <v>1018.89</v>
      </c>
      <c r="Z37" s="104">
        <v>0</v>
      </c>
      <c r="AA37" s="105">
        <v>0</v>
      </c>
      <c r="AB37" s="94">
        <f t="shared" si="44"/>
        <v>12034.669999999998</v>
      </c>
      <c r="AC37" s="96">
        <f t="shared" si="28"/>
        <v>13165.71</v>
      </c>
      <c r="AD37" s="42">
        <f t="shared" si="29"/>
        <v>0</v>
      </c>
      <c r="AE37" s="42">
        <f t="shared" si="30"/>
        <v>0</v>
      </c>
      <c r="AF37" s="42">
        <f>'[2]Т07-10'!$I$67+'[2]Т07-10'!$I$75+'[2]Т07-10'!$I$109+'[2]Т07-10'!$I$113</f>
        <v>2401.98614</v>
      </c>
      <c r="AG37" s="12">
        <f t="shared" si="31"/>
        <v>831</v>
      </c>
      <c r="AH37" s="12">
        <f t="shared" si="32"/>
        <v>277</v>
      </c>
      <c r="AI37" s="12">
        <f t="shared" si="33"/>
        <v>1385</v>
      </c>
      <c r="AJ37" s="12">
        <v>0</v>
      </c>
      <c r="AK37" s="12">
        <f t="shared" si="34"/>
        <v>1357.3</v>
      </c>
      <c r="AL37" s="12">
        <v>0</v>
      </c>
      <c r="AM37" s="12">
        <f t="shared" si="35"/>
        <v>3116.25</v>
      </c>
      <c r="AN37" s="12">
        <v>0</v>
      </c>
      <c r="AO37" s="12"/>
      <c r="AP37" s="12"/>
      <c r="AQ37" s="97"/>
      <c r="AR37" s="97"/>
      <c r="AS37" s="38">
        <v>3377</v>
      </c>
      <c r="AT37" s="38">
        <f>47.8+210</f>
        <v>257.8</v>
      </c>
      <c r="AU37" s="38"/>
      <c r="AV37" s="98">
        <v>293</v>
      </c>
      <c r="AW37" s="99">
        <v>1</v>
      </c>
      <c r="AX37" s="12">
        <f t="shared" si="37"/>
        <v>410.2</v>
      </c>
      <c r="AY37" s="100"/>
      <c r="AZ37" s="101"/>
      <c r="BA37" s="101">
        <f t="shared" si="38"/>
        <v>0</v>
      </c>
      <c r="BB37" s="101">
        <f t="shared" si="39"/>
        <v>11011.55</v>
      </c>
      <c r="BC37" s="102">
        <f>'[3]Т06-10'!$M$68+'[3]Т06-10'!$M$76+'[3]Т06-10'!$M$110+'[3]Т06-10'!$M$114</f>
        <v>990.039</v>
      </c>
      <c r="BD37" s="75">
        <f t="shared" si="41"/>
        <v>9599.602859999999</v>
      </c>
      <c r="BE37" s="49">
        <f t="shared" si="42"/>
        <v>3566.10714</v>
      </c>
      <c r="BF37" s="49">
        <f t="shared" si="43"/>
        <v>1185.4599999999991</v>
      </c>
    </row>
    <row r="38" spans="1:58" ht="13.5" thickBot="1">
      <c r="A38" s="76" t="s">
        <v>51</v>
      </c>
      <c r="B38" s="91">
        <v>1385</v>
      </c>
      <c r="C38" s="92">
        <f t="shared" si="25"/>
        <v>11980.25</v>
      </c>
      <c r="D38" s="93">
        <f t="shared" si="40"/>
        <v>1131.0500000000015</v>
      </c>
      <c r="E38" s="33">
        <v>1252.3</v>
      </c>
      <c r="F38" s="33">
        <v>0</v>
      </c>
      <c r="G38" s="33">
        <v>1696.22</v>
      </c>
      <c r="H38" s="33">
        <v>0</v>
      </c>
      <c r="I38" s="33">
        <v>4075.58</v>
      </c>
      <c r="J38" s="33">
        <v>0</v>
      </c>
      <c r="K38" s="33">
        <v>2823.27</v>
      </c>
      <c r="L38" s="33">
        <v>0</v>
      </c>
      <c r="M38" s="39">
        <v>1001.83</v>
      </c>
      <c r="N38" s="39">
        <v>0</v>
      </c>
      <c r="O38" s="33">
        <v>0</v>
      </c>
      <c r="P38" s="94">
        <v>0</v>
      </c>
      <c r="Q38" s="94"/>
      <c r="R38" s="94"/>
      <c r="S38" s="33">
        <f t="shared" si="26"/>
        <v>10849.2</v>
      </c>
      <c r="T38" s="95">
        <f t="shared" si="27"/>
        <v>0</v>
      </c>
      <c r="U38" s="33">
        <v>1252.21</v>
      </c>
      <c r="V38" s="33">
        <v>1696.56</v>
      </c>
      <c r="W38" s="33">
        <v>3905.21</v>
      </c>
      <c r="X38" s="33">
        <v>2823.44</v>
      </c>
      <c r="Y38" s="33">
        <v>1001.78</v>
      </c>
      <c r="Z38" s="33">
        <v>0</v>
      </c>
      <c r="AA38" s="94">
        <v>0</v>
      </c>
      <c r="AB38" s="94">
        <f t="shared" si="44"/>
        <v>10679.2</v>
      </c>
      <c r="AC38" s="96">
        <f t="shared" si="28"/>
        <v>11810.250000000002</v>
      </c>
      <c r="AD38" s="42">
        <f t="shared" si="29"/>
        <v>0</v>
      </c>
      <c r="AE38" s="42">
        <f t="shared" si="30"/>
        <v>0</v>
      </c>
      <c r="AF38" s="42">
        <f>'[2]Т07-10'!$I$67+'[2]Т07-10'!$I$75+'[2]Т07-10'!$I$109+'[2]Т07-10'!$I$113</f>
        <v>2401.98614</v>
      </c>
      <c r="AG38" s="12">
        <f t="shared" si="31"/>
        <v>831</v>
      </c>
      <c r="AH38" s="12">
        <f t="shared" si="32"/>
        <v>277</v>
      </c>
      <c r="AI38" s="12">
        <f t="shared" si="33"/>
        <v>1385</v>
      </c>
      <c r="AJ38" s="12">
        <v>0</v>
      </c>
      <c r="AK38" s="12">
        <f t="shared" si="34"/>
        <v>1357.3</v>
      </c>
      <c r="AL38" s="12">
        <v>0</v>
      </c>
      <c r="AM38" s="12">
        <f t="shared" si="35"/>
        <v>3116.25</v>
      </c>
      <c r="AN38" s="12">
        <v>0</v>
      </c>
      <c r="AO38" s="12"/>
      <c r="AP38" s="12"/>
      <c r="AQ38" s="97"/>
      <c r="AR38" s="97"/>
      <c r="AS38" s="38"/>
      <c r="AT38" s="38"/>
      <c r="AU38" s="106">
        <f t="shared" si="36"/>
        <v>0</v>
      </c>
      <c r="AV38" s="98">
        <v>349</v>
      </c>
      <c r="AW38" s="99">
        <v>1</v>
      </c>
      <c r="AX38" s="12">
        <f t="shared" si="37"/>
        <v>488.59999999999997</v>
      </c>
      <c r="AY38" s="100"/>
      <c r="AZ38" s="101"/>
      <c r="BA38" s="101">
        <f t="shared" si="38"/>
        <v>0</v>
      </c>
      <c r="BB38" s="101">
        <f t="shared" si="39"/>
        <v>7455.150000000001</v>
      </c>
      <c r="BC38" s="102">
        <f>'[3]Т06-10'!$M$68+'[3]Т06-10'!$M$76+'[3]Т06-10'!$M$110+'[3]Т06-10'!$M$114</f>
        <v>990.039</v>
      </c>
      <c r="BD38" s="75">
        <f t="shared" si="41"/>
        <v>6043.20286</v>
      </c>
      <c r="BE38" s="49">
        <f t="shared" si="42"/>
        <v>5767.0471400000015</v>
      </c>
      <c r="BF38" s="49">
        <f t="shared" si="43"/>
        <v>-170</v>
      </c>
    </row>
    <row r="39" spans="1:58" ht="12.75">
      <c r="A39" s="83" t="s">
        <v>39</v>
      </c>
      <c r="B39" s="91">
        <v>1385</v>
      </c>
      <c r="C39" s="92">
        <f t="shared" si="25"/>
        <v>11980.25</v>
      </c>
      <c r="D39" s="93">
        <f t="shared" si="40"/>
        <v>1131.0400000000013</v>
      </c>
      <c r="E39" s="34">
        <v>1252.3</v>
      </c>
      <c r="F39" s="34">
        <v>0</v>
      </c>
      <c r="G39" s="34">
        <v>1696.23</v>
      </c>
      <c r="H39" s="34">
        <v>0</v>
      </c>
      <c r="I39" s="34">
        <v>4075.58</v>
      </c>
      <c r="J39" s="34">
        <v>0</v>
      </c>
      <c r="K39" s="34">
        <v>2823.27</v>
      </c>
      <c r="L39" s="34">
        <v>0</v>
      </c>
      <c r="M39" s="40">
        <v>1001.83</v>
      </c>
      <c r="N39" s="40">
        <v>0</v>
      </c>
      <c r="O39" s="34">
        <v>0</v>
      </c>
      <c r="P39" s="107">
        <v>0</v>
      </c>
      <c r="Q39" s="107"/>
      <c r="R39" s="107"/>
      <c r="S39" s="33">
        <f t="shared" si="26"/>
        <v>10849.21</v>
      </c>
      <c r="T39" s="95">
        <f t="shared" si="27"/>
        <v>0</v>
      </c>
      <c r="U39" s="33">
        <v>1109.57</v>
      </c>
      <c r="V39" s="33">
        <v>1502.86</v>
      </c>
      <c r="W39" s="33">
        <v>3610.99</v>
      </c>
      <c r="X39" s="33">
        <v>2501.47</v>
      </c>
      <c r="Y39" s="33">
        <v>887.62</v>
      </c>
      <c r="Z39" s="33">
        <v>0</v>
      </c>
      <c r="AA39" s="94">
        <v>0</v>
      </c>
      <c r="AB39" s="94">
        <f t="shared" si="44"/>
        <v>9612.51</v>
      </c>
      <c r="AC39" s="96">
        <f t="shared" si="28"/>
        <v>10743.550000000001</v>
      </c>
      <c r="AD39" s="42">
        <f t="shared" si="29"/>
        <v>0</v>
      </c>
      <c r="AE39" s="42">
        <f t="shared" si="30"/>
        <v>0</v>
      </c>
      <c r="AF39" s="42">
        <f>'[2]Т10-10'!$I$67+'[2]Т10-10'!$I$75+'[2]Т10-10'!$I$110+'[2]Т10-10'!$I$114+100</f>
        <v>2501.98614</v>
      </c>
      <c r="AG39" s="12">
        <f t="shared" si="31"/>
        <v>831</v>
      </c>
      <c r="AH39" s="12">
        <f t="shared" si="32"/>
        <v>277</v>
      </c>
      <c r="AI39" s="12">
        <f t="shared" si="33"/>
        <v>1385</v>
      </c>
      <c r="AJ39" s="12">
        <v>0</v>
      </c>
      <c r="AK39" s="12">
        <f t="shared" si="34"/>
        <v>1357.3</v>
      </c>
      <c r="AL39" s="12">
        <v>0</v>
      </c>
      <c r="AM39" s="12">
        <f t="shared" si="35"/>
        <v>3116.25</v>
      </c>
      <c r="AN39" s="12">
        <v>0</v>
      </c>
      <c r="AO39" s="12"/>
      <c r="AP39" s="12"/>
      <c r="AQ39" s="97"/>
      <c r="AR39" s="97"/>
      <c r="AS39" s="38"/>
      <c r="AT39" s="38">
        <f>120+170</f>
        <v>290</v>
      </c>
      <c r="AU39" s="38"/>
      <c r="AV39" s="98">
        <v>425</v>
      </c>
      <c r="AW39" s="99">
        <v>1</v>
      </c>
      <c r="AX39" s="12">
        <f t="shared" si="37"/>
        <v>595</v>
      </c>
      <c r="AY39" s="100"/>
      <c r="AZ39" s="101"/>
      <c r="BA39" s="101">
        <f t="shared" si="38"/>
        <v>0</v>
      </c>
      <c r="BB39" s="101">
        <f t="shared" si="39"/>
        <v>7851.549999999999</v>
      </c>
      <c r="BC39" s="102">
        <f>'[2]Т10-10'!$M$67+'[2]Т10-10'!$M$75+'[2]Т10-10'!$M$110+'[2]Т10-10'!$M$114+25</f>
        <v>1015.039</v>
      </c>
      <c r="BD39" s="75">
        <f t="shared" si="41"/>
        <v>6364.602859999999</v>
      </c>
      <c r="BE39" s="49">
        <f t="shared" si="42"/>
        <v>4378.947140000002</v>
      </c>
      <c r="BF39" s="49">
        <f t="shared" si="43"/>
        <v>-1236.699999999999</v>
      </c>
    </row>
    <row r="40" spans="1:58" ht="12.75">
      <c r="A40" s="11" t="s">
        <v>40</v>
      </c>
      <c r="B40" s="91">
        <v>1385</v>
      </c>
      <c r="C40" s="92">
        <f t="shared" si="25"/>
        <v>11980.25</v>
      </c>
      <c r="D40" s="93">
        <f t="shared" si="40"/>
        <v>1131.0400000000013</v>
      </c>
      <c r="E40" s="33">
        <v>1252.3</v>
      </c>
      <c r="F40" s="33">
        <v>0</v>
      </c>
      <c r="G40" s="33">
        <v>1696.23</v>
      </c>
      <c r="H40" s="33">
        <v>0</v>
      </c>
      <c r="I40" s="33">
        <v>4075.58</v>
      </c>
      <c r="J40" s="33">
        <v>0</v>
      </c>
      <c r="K40" s="33">
        <v>2823.27</v>
      </c>
      <c r="L40" s="33">
        <v>0</v>
      </c>
      <c r="M40" s="39">
        <v>1001.83</v>
      </c>
      <c r="N40" s="39">
        <v>0</v>
      </c>
      <c r="O40" s="33">
        <v>0</v>
      </c>
      <c r="P40" s="94">
        <v>0</v>
      </c>
      <c r="Q40" s="94"/>
      <c r="R40" s="94"/>
      <c r="S40" s="33">
        <f t="shared" si="26"/>
        <v>10849.21</v>
      </c>
      <c r="T40" s="95">
        <f t="shared" si="27"/>
        <v>0</v>
      </c>
      <c r="U40" s="35">
        <v>1167.53</v>
      </c>
      <c r="V40" s="33">
        <v>1581.6</v>
      </c>
      <c r="W40" s="33">
        <v>3769.35</v>
      </c>
      <c r="X40" s="33">
        <v>2632.35</v>
      </c>
      <c r="Y40" s="33">
        <v>934.04</v>
      </c>
      <c r="Z40" s="33">
        <v>0</v>
      </c>
      <c r="AA40" s="94">
        <v>0</v>
      </c>
      <c r="AB40" s="94">
        <f t="shared" si="44"/>
        <v>10084.869999999999</v>
      </c>
      <c r="AC40" s="96">
        <f t="shared" si="28"/>
        <v>11215.91</v>
      </c>
      <c r="AD40" s="42">
        <f t="shared" si="29"/>
        <v>0</v>
      </c>
      <c r="AE40" s="42">
        <f t="shared" si="30"/>
        <v>0</v>
      </c>
      <c r="AF40" s="42">
        <f>'[2]Т11'!$I$67+'[2]Т11'!$I$75+'[2]Т11'!$I$109+'[2]Т11'!$I$113+100</f>
        <v>2501.98614</v>
      </c>
      <c r="AG40" s="12">
        <f t="shared" si="31"/>
        <v>831</v>
      </c>
      <c r="AH40" s="12">
        <f t="shared" si="32"/>
        <v>277</v>
      </c>
      <c r="AI40" s="12">
        <f t="shared" si="33"/>
        <v>1385</v>
      </c>
      <c r="AJ40" s="12">
        <v>0</v>
      </c>
      <c r="AK40" s="12">
        <f t="shared" si="34"/>
        <v>1357.3</v>
      </c>
      <c r="AL40" s="12">
        <v>0</v>
      </c>
      <c r="AM40" s="12">
        <f t="shared" si="35"/>
        <v>3116.25</v>
      </c>
      <c r="AN40" s="12">
        <v>0</v>
      </c>
      <c r="AO40" s="12"/>
      <c r="AP40" s="12"/>
      <c r="AQ40" s="97"/>
      <c r="AR40" s="97"/>
      <c r="AS40" s="38"/>
      <c r="AT40" s="38"/>
      <c r="AU40" s="38">
        <f t="shared" si="36"/>
        <v>0</v>
      </c>
      <c r="AV40" s="98">
        <v>470</v>
      </c>
      <c r="AW40" s="99">
        <v>1</v>
      </c>
      <c r="AX40" s="12">
        <f t="shared" si="37"/>
        <v>658</v>
      </c>
      <c r="AY40" s="100"/>
      <c r="AZ40" s="101"/>
      <c r="BA40" s="101">
        <f t="shared" si="38"/>
        <v>0</v>
      </c>
      <c r="BB40" s="101">
        <f t="shared" si="39"/>
        <v>7624.55</v>
      </c>
      <c r="BC40" s="102">
        <f>'[2]Т11'!$M$67+'[2]Т11'!$M$75+'[2]Т11'!$M$109+'[2]Т11'!$M$113+25</f>
        <v>1015.039</v>
      </c>
      <c r="BD40" s="75">
        <f t="shared" si="41"/>
        <v>6137.60286</v>
      </c>
      <c r="BE40" s="49">
        <f t="shared" si="42"/>
        <v>5078.30714</v>
      </c>
      <c r="BF40" s="49">
        <f t="shared" si="43"/>
        <v>-764.3400000000001</v>
      </c>
    </row>
    <row r="41" spans="1:58" s="48" customFormat="1" ht="12.75">
      <c r="A41" s="55" t="s">
        <v>41</v>
      </c>
      <c r="B41" s="91">
        <v>1385</v>
      </c>
      <c r="C41" s="92">
        <f t="shared" si="25"/>
        <v>11980.25</v>
      </c>
      <c r="D41" s="93">
        <f t="shared" si="40"/>
        <v>1131.070000000001</v>
      </c>
      <c r="E41" s="33">
        <v>1252.3</v>
      </c>
      <c r="F41" s="33">
        <v>0</v>
      </c>
      <c r="G41" s="33">
        <v>1696.22</v>
      </c>
      <c r="H41" s="33">
        <v>0</v>
      </c>
      <c r="I41" s="33">
        <v>4075.58</v>
      </c>
      <c r="J41" s="33">
        <v>0</v>
      </c>
      <c r="K41" s="33">
        <v>2823.26</v>
      </c>
      <c r="L41" s="33">
        <v>0</v>
      </c>
      <c r="M41" s="39">
        <v>1001.82</v>
      </c>
      <c r="N41" s="39">
        <v>0</v>
      </c>
      <c r="O41" s="33">
        <v>0</v>
      </c>
      <c r="P41" s="94">
        <v>0</v>
      </c>
      <c r="Q41" s="94"/>
      <c r="R41" s="94"/>
      <c r="S41" s="33">
        <f t="shared" si="26"/>
        <v>10849.18</v>
      </c>
      <c r="T41" s="95">
        <f t="shared" si="27"/>
        <v>0</v>
      </c>
      <c r="U41" s="33">
        <v>1500.6</v>
      </c>
      <c r="V41" s="33">
        <v>2032.38</v>
      </c>
      <c r="W41" s="33">
        <v>4749.72</v>
      </c>
      <c r="X41" s="33">
        <v>3382.84</v>
      </c>
      <c r="Y41" s="33">
        <v>1200.44</v>
      </c>
      <c r="Z41" s="33">
        <v>0</v>
      </c>
      <c r="AA41" s="94">
        <v>0</v>
      </c>
      <c r="AB41" s="94">
        <f t="shared" si="44"/>
        <v>12865.980000000001</v>
      </c>
      <c r="AC41" s="96">
        <f t="shared" si="28"/>
        <v>13997.050000000003</v>
      </c>
      <c r="AD41" s="42">
        <f t="shared" si="29"/>
        <v>0</v>
      </c>
      <c r="AE41" s="42">
        <f t="shared" si="30"/>
        <v>0</v>
      </c>
      <c r="AF41" s="42">
        <f>'[2]Т11'!$I$67+'[2]Т11'!$I$75+'[2]Т11'!$I$109+'[2]Т11'!$I$113+100</f>
        <v>2501.98614</v>
      </c>
      <c r="AG41" s="12">
        <f t="shared" si="31"/>
        <v>831</v>
      </c>
      <c r="AH41" s="12">
        <f t="shared" si="32"/>
        <v>277</v>
      </c>
      <c r="AI41" s="12">
        <f t="shared" si="33"/>
        <v>1385</v>
      </c>
      <c r="AJ41" s="12">
        <v>0</v>
      </c>
      <c r="AK41" s="12">
        <f t="shared" si="34"/>
        <v>1357.3</v>
      </c>
      <c r="AL41" s="12">
        <v>0</v>
      </c>
      <c r="AM41" s="12">
        <f t="shared" si="35"/>
        <v>3116.25</v>
      </c>
      <c r="AN41" s="12">
        <v>0</v>
      </c>
      <c r="AO41" s="12"/>
      <c r="AP41" s="12"/>
      <c r="AQ41" s="97"/>
      <c r="AR41" s="97"/>
      <c r="AS41" s="38"/>
      <c r="AT41" s="38"/>
      <c r="AU41" s="38">
        <f t="shared" si="36"/>
        <v>0</v>
      </c>
      <c r="AV41" s="98">
        <v>514</v>
      </c>
      <c r="AW41" s="99">
        <v>1</v>
      </c>
      <c r="AX41" s="12">
        <f t="shared" si="37"/>
        <v>719.5999999999999</v>
      </c>
      <c r="AY41" s="100"/>
      <c r="AZ41" s="101"/>
      <c r="BA41" s="101">
        <f t="shared" si="38"/>
        <v>0</v>
      </c>
      <c r="BB41" s="101">
        <f t="shared" si="39"/>
        <v>7686.15</v>
      </c>
      <c r="BC41" s="102">
        <f>'[2]Т11'!$M$67+'[2]Т11'!$M$75+'[2]Т11'!$M$109+'[2]Т11'!$M$113+25</f>
        <v>1015.039</v>
      </c>
      <c r="BD41" s="75">
        <f t="shared" si="41"/>
        <v>6199.202859999999</v>
      </c>
      <c r="BE41" s="49">
        <f t="shared" si="42"/>
        <v>7797.8471400000035</v>
      </c>
      <c r="BF41" s="49">
        <f t="shared" si="43"/>
        <v>2016.800000000001</v>
      </c>
    </row>
    <row r="42" spans="1:58" s="15" customFormat="1" ht="12.75">
      <c r="A42" s="13" t="s">
        <v>3</v>
      </c>
      <c r="B42" s="29"/>
      <c r="C42" s="29">
        <f>SUM(C30:C41)</f>
        <v>143776.84</v>
      </c>
      <c r="D42" s="29">
        <f aca="true" t="shared" si="45" ref="D42:BF42">SUM(D30:D41)</f>
        <v>13659.900000000018</v>
      </c>
      <c r="E42" s="29">
        <f t="shared" si="45"/>
        <v>13737.589999999997</v>
      </c>
      <c r="F42" s="29">
        <f t="shared" si="45"/>
        <v>1281.28</v>
      </c>
      <c r="G42" s="29">
        <f t="shared" si="45"/>
        <v>18606.87</v>
      </c>
      <c r="H42" s="29">
        <f t="shared" si="45"/>
        <v>1736.69</v>
      </c>
      <c r="I42" s="29">
        <f t="shared" si="45"/>
        <v>44708.20000000001</v>
      </c>
      <c r="J42" s="29">
        <f t="shared" si="45"/>
        <v>4171.06</v>
      </c>
      <c r="K42" s="29">
        <f t="shared" si="45"/>
        <v>30970.270000000004</v>
      </c>
      <c r="L42" s="29">
        <f t="shared" si="45"/>
        <v>2889.9</v>
      </c>
      <c r="M42" s="29">
        <f t="shared" si="45"/>
        <v>10990.18</v>
      </c>
      <c r="N42" s="29">
        <f t="shared" si="45"/>
        <v>1024.9</v>
      </c>
      <c r="O42" s="29">
        <f t="shared" si="45"/>
        <v>0</v>
      </c>
      <c r="P42" s="29">
        <f t="shared" si="45"/>
        <v>0</v>
      </c>
      <c r="Q42" s="29">
        <f t="shared" si="45"/>
        <v>0</v>
      </c>
      <c r="R42" s="29">
        <f t="shared" si="45"/>
        <v>0</v>
      </c>
      <c r="S42" s="29">
        <f t="shared" si="45"/>
        <v>119013.10999999999</v>
      </c>
      <c r="T42" s="29">
        <f t="shared" si="45"/>
        <v>11103.829999999998</v>
      </c>
      <c r="U42" s="29">
        <f t="shared" si="45"/>
        <v>12723.310000000001</v>
      </c>
      <c r="V42" s="29">
        <f t="shared" si="45"/>
        <v>17229.87</v>
      </c>
      <c r="W42" s="29">
        <f t="shared" si="45"/>
        <v>42058.56</v>
      </c>
      <c r="X42" s="29">
        <f t="shared" si="45"/>
        <v>28680.379999999997</v>
      </c>
      <c r="Y42" s="29">
        <f t="shared" si="45"/>
        <v>10178.65</v>
      </c>
      <c r="Z42" s="29">
        <f t="shared" si="45"/>
        <v>0</v>
      </c>
      <c r="AA42" s="29">
        <f t="shared" si="45"/>
        <v>0</v>
      </c>
      <c r="AB42" s="29">
        <f t="shared" si="45"/>
        <v>110870.76999999997</v>
      </c>
      <c r="AC42" s="29">
        <f t="shared" si="45"/>
        <v>135634.50000000003</v>
      </c>
      <c r="AD42" s="29">
        <f t="shared" si="45"/>
        <v>0</v>
      </c>
      <c r="AE42" s="29">
        <f t="shared" si="45"/>
        <v>0</v>
      </c>
      <c r="AF42" s="29">
        <f t="shared" si="45"/>
        <v>29123.833680000007</v>
      </c>
      <c r="AG42" s="29">
        <f t="shared" si="45"/>
        <v>9972.96</v>
      </c>
      <c r="AH42" s="29">
        <f t="shared" si="45"/>
        <v>3324.32</v>
      </c>
      <c r="AI42" s="29">
        <f t="shared" si="45"/>
        <v>16621.6</v>
      </c>
      <c r="AJ42" s="29">
        <f t="shared" si="45"/>
        <v>0</v>
      </c>
      <c r="AK42" s="29">
        <f t="shared" si="45"/>
        <v>16289.167999999996</v>
      </c>
      <c r="AL42" s="29">
        <f t="shared" si="45"/>
        <v>0</v>
      </c>
      <c r="AM42" s="29">
        <f t="shared" si="45"/>
        <v>37398.6</v>
      </c>
      <c r="AN42" s="29">
        <f t="shared" si="45"/>
        <v>0</v>
      </c>
      <c r="AO42" s="29">
        <f t="shared" si="45"/>
        <v>2103.84</v>
      </c>
      <c r="AP42" s="29">
        <f t="shared" si="45"/>
        <v>0</v>
      </c>
      <c r="AQ42" s="85">
        <f t="shared" si="45"/>
        <v>0</v>
      </c>
      <c r="AR42" s="85">
        <f t="shared" si="45"/>
        <v>0</v>
      </c>
      <c r="AS42" s="28">
        <f t="shared" si="45"/>
        <v>14549</v>
      </c>
      <c r="AT42" s="28">
        <f t="shared" si="45"/>
        <v>1421.07</v>
      </c>
      <c r="AU42" s="28">
        <f t="shared" si="45"/>
        <v>0</v>
      </c>
      <c r="AV42" s="29">
        <f t="shared" si="45"/>
        <v>4400</v>
      </c>
      <c r="AW42" s="29">
        <f t="shared" si="45"/>
        <v>12</v>
      </c>
      <c r="AX42" s="29">
        <f t="shared" si="45"/>
        <v>6160</v>
      </c>
      <c r="AY42" s="29">
        <f t="shared" si="45"/>
        <v>0</v>
      </c>
      <c r="AZ42" s="29">
        <f t="shared" si="45"/>
        <v>0</v>
      </c>
      <c r="BA42" s="29">
        <f t="shared" si="45"/>
        <v>0</v>
      </c>
      <c r="BB42" s="29">
        <f t="shared" si="45"/>
        <v>107840.55799999999</v>
      </c>
      <c r="BC42" s="29">
        <f t="shared" si="45"/>
        <v>11955.468</v>
      </c>
      <c r="BD42" s="29">
        <f t="shared" si="45"/>
        <v>90672.19232</v>
      </c>
      <c r="BE42" s="29">
        <f t="shared" si="45"/>
        <v>44962.30768000003</v>
      </c>
      <c r="BF42" s="86">
        <f t="shared" si="45"/>
        <v>-8142.3399999999965</v>
      </c>
    </row>
    <row r="43" spans="1:58" s="15" customFormat="1" ht="12.75">
      <c r="A43" s="13"/>
      <c r="B43" s="29"/>
      <c r="C43" s="29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30"/>
      <c r="V43" s="30"/>
      <c r="W43" s="30"/>
      <c r="X43" s="30"/>
      <c r="Y43" s="30"/>
      <c r="Z43" s="30"/>
      <c r="AA43" s="30"/>
      <c r="AB43" s="30"/>
      <c r="AC43" s="30"/>
      <c r="AD43" s="41"/>
      <c r="AE43" s="41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37"/>
      <c r="AQ43" s="87"/>
      <c r="AR43" s="87"/>
      <c r="AS43" s="37"/>
      <c r="AT43" s="37"/>
      <c r="AU43" s="37"/>
      <c r="AV43" s="14"/>
      <c r="AW43" s="14"/>
      <c r="AX43" s="88"/>
      <c r="AY43" s="31"/>
      <c r="AZ43" s="31"/>
      <c r="BA43" s="31"/>
      <c r="BB43" s="31"/>
      <c r="BC43" s="31"/>
      <c r="BD43" s="31"/>
      <c r="BE43" s="31"/>
      <c r="BF43" s="89"/>
    </row>
    <row r="44" spans="1:58" s="15" customFormat="1" ht="13.5" thickBot="1">
      <c r="A44" s="16" t="s">
        <v>52</v>
      </c>
      <c r="B44" s="17"/>
      <c r="C44" s="17">
        <f>C28+C42</f>
        <v>323397.55000000005</v>
      </c>
      <c r="D44" s="17">
        <f aca="true" t="shared" si="46" ref="D44:BF44">D28+D42</f>
        <v>37531.41632630004</v>
      </c>
      <c r="E44" s="17">
        <f t="shared" si="46"/>
        <v>28496.069999999992</v>
      </c>
      <c r="F44" s="17">
        <f t="shared" si="46"/>
        <v>4436.09</v>
      </c>
      <c r="G44" s="17">
        <f t="shared" si="46"/>
        <v>38567.229999999996</v>
      </c>
      <c r="H44" s="17">
        <f t="shared" si="46"/>
        <v>6005.280000000001</v>
      </c>
      <c r="I44" s="17">
        <f t="shared" si="46"/>
        <v>92721.03000000001</v>
      </c>
      <c r="J44" s="17">
        <f t="shared" si="46"/>
        <v>14433.77</v>
      </c>
      <c r="K44" s="17">
        <f t="shared" si="46"/>
        <v>64212.630000000005</v>
      </c>
      <c r="L44" s="17">
        <f t="shared" si="46"/>
        <v>9997.800000000001</v>
      </c>
      <c r="M44" s="17">
        <f t="shared" si="46"/>
        <v>22797.35</v>
      </c>
      <c r="N44" s="17">
        <f t="shared" si="46"/>
        <v>3548.57</v>
      </c>
      <c r="O44" s="17">
        <f t="shared" si="46"/>
        <v>0</v>
      </c>
      <c r="P44" s="17">
        <f t="shared" si="46"/>
        <v>0</v>
      </c>
      <c r="Q44" s="17">
        <f t="shared" si="46"/>
        <v>0</v>
      </c>
      <c r="R44" s="17">
        <f t="shared" si="46"/>
        <v>0</v>
      </c>
      <c r="S44" s="17">
        <f t="shared" si="46"/>
        <v>246794.31</v>
      </c>
      <c r="T44" s="17">
        <f t="shared" si="46"/>
        <v>38421.509999999995</v>
      </c>
      <c r="U44" s="17">
        <f t="shared" si="46"/>
        <v>26192.34</v>
      </c>
      <c r="V44" s="17">
        <f t="shared" si="46"/>
        <v>35444.89</v>
      </c>
      <c r="W44" s="17">
        <f t="shared" si="46"/>
        <v>85876.15</v>
      </c>
      <c r="X44" s="17">
        <f t="shared" si="46"/>
        <v>59017.58</v>
      </c>
      <c r="Y44" s="17">
        <f t="shared" si="46"/>
        <v>20954.199999999997</v>
      </c>
      <c r="Z44" s="17">
        <f t="shared" si="46"/>
        <v>0</v>
      </c>
      <c r="AA44" s="17">
        <f t="shared" si="46"/>
        <v>0</v>
      </c>
      <c r="AB44" s="17">
        <f t="shared" si="46"/>
        <v>227485.15999999997</v>
      </c>
      <c r="AC44" s="17">
        <f t="shared" si="46"/>
        <v>303438.08632630005</v>
      </c>
      <c r="AD44" s="17">
        <f t="shared" si="46"/>
        <v>0</v>
      </c>
      <c r="AE44" s="17">
        <f t="shared" si="46"/>
        <v>0</v>
      </c>
      <c r="AF44" s="17">
        <f t="shared" si="46"/>
        <v>41400.49164000001</v>
      </c>
      <c r="AG44" s="17">
        <f t="shared" si="46"/>
        <v>22099.992</v>
      </c>
      <c r="AH44" s="17">
        <f t="shared" si="46"/>
        <v>7405.2997904</v>
      </c>
      <c r="AI44" s="17">
        <f t="shared" si="46"/>
        <v>33626.0635055</v>
      </c>
      <c r="AJ44" s="17">
        <f t="shared" si="46"/>
        <v>3060.80343099</v>
      </c>
      <c r="AK44" s="17">
        <f t="shared" si="46"/>
        <v>33494.8966379</v>
      </c>
      <c r="AL44" s="17">
        <f t="shared" si="46"/>
        <v>3097.0311548219997</v>
      </c>
      <c r="AM44" s="17">
        <f t="shared" si="46"/>
        <v>75077.76371883968</v>
      </c>
      <c r="AN44" s="17">
        <f t="shared" si="46"/>
        <v>6782.2494693911385</v>
      </c>
      <c r="AO44" s="17">
        <f t="shared" si="46"/>
        <v>2103.84</v>
      </c>
      <c r="AP44" s="17">
        <f t="shared" si="46"/>
        <v>0</v>
      </c>
      <c r="AQ44" s="90">
        <f t="shared" si="46"/>
        <v>0</v>
      </c>
      <c r="AR44" s="90">
        <f t="shared" si="46"/>
        <v>0</v>
      </c>
      <c r="AS44" s="25">
        <f t="shared" si="46"/>
        <v>58357.14</v>
      </c>
      <c r="AT44" s="25">
        <f t="shared" si="46"/>
        <v>1421.07</v>
      </c>
      <c r="AU44" s="25">
        <f t="shared" si="46"/>
        <v>7885.4752</v>
      </c>
      <c r="AV44" s="17"/>
      <c r="AW44" s="17"/>
      <c r="AX44" s="17">
        <f t="shared" si="46"/>
        <v>11975.042000000001</v>
      </c>
      <c r="AY44" s="17">
        <f t="shared" si="46"/>
        <v>0</v>
      </c>
      <c r="AZ44" s="17">
        <f t="shared" si="46"/>
        <v>0</v>
      </c>
      <c r="BA44" s="17">
        <f t="shared" si="46"/>
        <v>0</v>
      </c>
      <c r="BB44" s="17">
        <f t="shared" si="46"/>
        <v>266386.66690784285</v>
      </c>
      <c r="BC44" s="17">
        <f t="shared" si="46"/>
        <v>16953.2044749942</v>
      </c>
      <c r="BD44" s="17">
        <f t="shared" si="46"/>
        <v>241939.37974283702</v>
      </c>
      <c r="BE44" s="17">
        <f t="shared" si="46"/>
        <v>61498.70658346305</v>
      </c>
      <c r="BF44" s="17">
        <f t="shared" si="46"/>
        <v>-19309.149999999998</v>
      </c>
    </row>
  </sheetData>
  <sheetProtection/>
  <mergeCells count="67">
    <mergeCell ref="BA5:BA6"/>
    <mergeCell ref="BB5:BB6"/>
    <mergeCell ref="BC3:BD3"/>
    <mergeCell ref="BE3:BE6"/>
    <mergeCell ref="BF3:BF6"/>
    <mergeCell ref="BC4:BC6"/>
    <mergeCell ref="BD4:BD6"/>
    <mergeCell ref="AR5:AR6"/>
    <mergeCell ref="E3:F4"/>
    <mergeCell ref="G3:H4"/>
    <mergeCell ref="I3:J4"/>
    <mergeCell ref="K3:L4"/>
    <mergeCell ref="M3:N4"/>
    <mergeCell ref="O3:P4"/>
    <mergeCell ref="Q3:R4"/>
    <mergeCell ref="AH5:AH6"/>
    <mergeCell ref="AI5:AI6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N5:N6"/>
    <mergeCell ref="AQ5:AQ6"/>
    <mergeCell ref="I5:I6"/>
    <mergeCell ref="J5:J6"/>
    <mergeCell ref="K5:K6"/>
    <mergeCell ref="P5:P6"/>
    <mergeCell ref="Q5:Q6"/>
    <mergeCell ref="R5:R6"/>
    <mergeCell ref="L5:L6"/>
    <mergeCell ref="M5:M6"/>
    <mergeCell ref="AJ5:AJ6"/>
    <mergeCell ref="AE3:AE6"/>
    <mergeCell ref="T5:T6"/>
    <mergeCell ref="U5:U6"/>
    <mergeCell ref="AP5:AP6"/>
    <mergeCell ref="AK5:AK6"/>
    <mergeCell ref="AL5:AL6"/>
    <mergeCell ref="AM5:AM6"/>
    <mergeCell ref="AG3:BB4"/>
    <mergeCell ref="AT5:AT6"/>
    <mergeCell ref="AV5:AX5"/>
    <mergeCell ref="AO5:AO6"/>
    <mergeCell ref="AD3:AD6"/>
    <mergeCell ref="AY5:AY6"/>
    <mergeCell ref="O5:O6"/>
    <mergeCell ref="AB5:AB6"/>
    <mergeCell ref="AG5:AG6"/>
    <mergeCell ref="AF3:AF6"/>
    <mergeCell ref="S3:T4"/>
    <mergeCell ref="U3:AB4"/>
    <mergeCell ref="AC3:AC6"/>
    <mergeCell ref="AZ5:AZ6"/>
    <mergeCell ref="AS5:AS6"/>
    <mergeCell ref="S5:S6"/>
    <mergeCell ref="Z5:Z6"/>
    <mergeCell ref="AA5:AA6"/>
    <mergeCell ref="V5:V6"/>
    <mergeCell ref="W5:W6"/>
    <mergeCell ref="X5:X6"/>
    <mergeCell ref="Y5:Y6"/>
    <mergeCell ref="AN5:A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D22">
      <selection activeCell="J48" sqref="J48:N48"/>
    </sheetView>
  </sheetViews>
  <sheetFormatPr defaultColWidth="9.00390625" defaultRowHeight="12.75"/>
  <cols>
    <col min="1" max="1" width="9.375" style="265" customWidth="1"/>
    <col min="2" max="2" width="8.375" style="265" customWidth="1"/>
    <col min="3" max="3" width="9.875" style="265" customWidth="1"/>
    <col min="4" max="4" width="8.875" style="265" customWidth="1"/>
    <col min="5" max="5" width="10.125" style="265" bestFit="1" customWidth="1"/>
    <col min="6" max="6" width="9.875" style="265" customWidth="1"/>
    <col min="7" max="7" width="10.00390625" style="265" customWidth="1"/>
    <col min="8" max="8" width="10.125" style="265" customWidth="1"/>
    <col min="9" max="9" width="9.125" style="265" customWidth="1"/>
    <col min="10" max="10" width="9.25390625" style="265" customWidth="1"/>
    <col min="11" max="11" width="9.125" style="265" customWidth="1"/>
    <col min="12" max="13" width="10.125" style="265" customWidth="1"/>
    <col min="14" max="14" width="9.125" style="265" customWidth="1"/>
    <col min="15" max="15" width="10.375" style="265" customWidth="1"/>
    <col min="16" max="16" width="10.25390625" style="265" customWidth="1"/>
    <col min="17" max="17" width="10.75390625" style="265" customWidth="1"/>
    <col min="18" max="18" width="11.75390625" style="265" customWidth="1"/>
    <col min="19" max="16384" width="9.125" style="265" customWidth="1"/>
  </cols>
  <sheetData>
    <row r="1" spans="2:8" ht="20.25" customHeight="1">
      <c r="B1" s="457" t="s">
        <v>53</v>
      </c>
      <c r="C1" s="457"/>
      <c r="D1" s="457"/>
      <c r="E1" s="457"/>
      <c r="F1" s="457"/>
      <c r="G1" s="457"/>
      <c r="H1" s="457"/>
    </row>
    <row r="2" spans="2:8" ht="21" customHeight="1">
      <c r="B2" s="457" t="s">
        <v>54</v>
      </c>
      <c r="C2" s="457"/>
      <c r="D2" s="457"/>
      <c r="E2" s="457"/>
      <c r="F2" s="457"/>
      <c r="G2" s="457"/>
      <c r="H2" s="457"/>
    </row>
    <row r="5" spans="1:17" ht="12.75">
      <c r="A5" s="459" t="s">
        <v>75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</row>
    <row r="6" spans="1:17" ht="12.75">
      <c r="A6" s="460" t="s">
        <v>93</v>
      </c>
      <c r="B6" s="460"/>
      <c r="C6" s="460"/>
      <c r="D6" s="460"/>
      <c r="E6" s="460"/>
      <c r="F6" s="460"/>
      <c r="G6" s="460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7.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1:6" ht="12.75" thickBot="1">
      <c r="A8" s="458" t="s">
        <v>55</v>
      </c>
      <c r="B8" s="458"/>
      <c r="C8" s="458"/>
      <c r="D8" s="458"/>
      <c r="E8" s="458">
        <v>8.65</v>
      </c>
      <c r="F8" s="458"/>
    </row>
    <row r="9" spans="1:18" ht="12.75" customHeight="1">
      <c r="A9" s="431" t="s">
        <v>56</v>
      </c>
      <c r="B9" s="434" t="s">
        <v>0</v>
      </c>
      <c r="C9" s="451" t="s">
        <v>57</v>
      </c>
      <c r="D9" s="454" t="s">
        <v>123</v>
      </c>
      <c r="E9" s="443" t="s">
        <v>58</v>
      </c>
      <c r="F9" s="444"/>
      <c r="G9" s="447" t="s">
        <v>59</v>
      </c>
      <c r="H9" s="448"/>
      <c r="I9" s="416" t="s">
        <v>122</v>
      </c>
      <c r="J9" s="422" t="s">
        <v>8</v>
      </c>
      <c r="K9" s="423"/>
      <c r="L9" s="423"/>
      <c r="M9" s="423"/>
      <c r="N9" s="423"/>
      <c r="O9" s="424"/>
      <c r="P9" s="419" t="s">
        <v>76</v>
      </c>
      <c r="Q9" s="428" t="s">
        <v>60</v>
      </c>
      <c r="R9" s="428" t="s">
        <v>10</v>
      </c>
    </row>
    <row r="10" spans="1:18" ht="12">
      <c r="A10" s="432"/>
      <c r="B10" s="435"/>
      <c r="C10" s="452"/>
      <c r="D10" s="455"/>
      <c r="E10" s="445"/>
      <c r="F10" s="446"/>
      <c r="G10" s="449"/>
      <c r="H10" s="450"/>
      <c r="I10" s="417"/>
      <c r="J10" s="425"/>
      <c r="K10" s="426"/>
      <c r="L10" s="426"/>
      <c r="M10" s="426"/>
      <c r="N10" s="426"/>
      <c r="O10" s="427"/>
      <c r="P10" s="420"/>
      <c r="Q10" s="429"/>
      <c r="R10" s="429"/>
    </row>
    <row r="11" spans="1:18" ht="26.25" customHeight="1">
      <c r="A11" s="432"/>
      <c r="B11" s="435"/>
      <c r="C11" s="452"/>
      <c r="D11" s="455"/>
      <c r="E11" s="437" t="s">
        <v>61</v>
      </c>
      <c r="F11" s="438"/>
      <c r="G11" s="269" t="s">
        <v>62</v>
      </c>
      <c r="H11" s="411" t="s">
        <v>5</v>
      </c>
      <c r="I11" s="417"/>
      <c r="J11" s="439" t="s">
        <v>63</v>
      </c>
      <c r="K11" s="441" t="s">
        <v>30</v>
      </c>
      <c r="L11" s="441" t="s">
        <v>64</v>
      </c>
      <c r="M11" s="441" t="s">
        <v>35</v>
      </c>
      <c r="N11" s="441" t="s">
        <v>65</v>
      </c>
      <c r="O11" s="411" t="s">
        <v>37</v>
      </c>
      <c r="P11" s="420"/>
      <c r="Q11" s="429"/>
      <c r="R11" s="429"/>
    </row>
    <row r="12" spans="1:18" ht="54" customHeight="1" thickBot="1">
      <c r="A12" s="433"/>
      <c r="B12" s="436"/>
      <c r="C12" s="453"/>
      <c r="D12" s="456"/>
      <c r="E12" s="270" t="s">
        <v>66</v>
      </c>
      <c r="F12" s="271" t="s">
        <v>19</v>
      </c>
      <c r="G12" s="272" t="s">
        <v>67</v>
      </c>
      <c r="H12" s="412"/>
      <c r="I12" s="418"/>
      <c r="J12" s="440"/>
      <c r="K12" s="442"/>
      <c r="L12" s="442"/>
      <c r="M12" s="442"/>
      <c r="N12" s="442"/>
      <c r="O12" s="412"/>
      <c r="P12" s="421"/>
      <c r="Q12" s="430"/>
      <c r="R12" s="430"/>
    </row>
    <row r="13" spans="1:18" ht="12.75" thickBot="1">
      <c r="A13" s="273">
        <v>1</v>
      </c>
      <c r="B13" s="274">
        <v>2</v>
      </c>
      <c r="C13" s="273">
        <v>3</v>
      </c>
      <c r="D13" s="274">
        <v>4</v>
      </c>
      <c r="E13" s="273">
        <v>5</v>
      </c>
      <c r="F13" s="274">
        <v>6</v>
      </c>
      <c r="G13" s="273">
        <v>7</v>
      </c>
      <c r="H13" s="274">
        <v>8</v>
      </c>
      <c r="I13" s="273">
        <v>9</v>
      </c>
      <c r="J13" s="274">
        <v>10</v>
      </c>
      <c r="K13" s="273">
        <v>11</v>
      </c>
      <c r="L13" s="274">
        <v>12</v>
      </c>
      <c r="M13" s="273">
        <v>13</v>
      </c>
      <c r="N13" s="274">
        <v>14</v>
      </c>
      <c r="O13" s="273">
        <v>15</v>
      </c>
      <c r="P13" s="274">
        <v>16</v>
      </c>
      <c r="Q13" s="273">
        <v>17</v>
      </c>
      <c r="R13" s="275">
        <v>18</v>
      </c>
    </row>
    <row r="14" spans="1:18" ht="12">
      <c r="A14" s="276" t="s">
        <v>38</v>
      </c>
      <c r="B14" s="277"/>
      <c r="C14" s="267"/>
      <c r="D14" s="276"/>
      <c r="E14" s="277"/>
      <c r="F14" s="278"/>
      <c r="G14" s="276"/>
      <c r="H14" s="278"/>
      <c r="I14" s="279"/>
      <c r="J14" s="276"/>
      <c r="K14" s="277"/>
      <c r="L14" s="277"/>
      <c r="M14" s="277"/>
      <c r="N14" s="277"/>
      <c r="O14" s="278"/>
      <c r="P14" s="268"/>
      <c r="Q14" s="280"/>
      <c r="R14" s="281"/>
    </row>
    <row r="15" spans="1:18" ht="12">
      <c r="A15" s="282" t="s">
        <v>39</v>
      </c>
      <c r="B15" s="283">
        <f>Лист1!B9</f>
        <v>1384.2</v>
      </c>
      <c r="C15" s="284">
        <f>B15*8.65</f>
        <v>11973.330000000002</v>
      </c>
      <c r="D15" s="285">
        <f>Лист1!D9</f>
        <v>2884.1357304000007</v>
      </c>
      <c r="E15" s="286">
        <f>Лист1!S9</f>
        <v>8987.08</v>
      </c>
      <c r="F15" s="287">
        <f>Лист1!T9</f>
        <v>1779.14</v>
      </c>
      <c r="G15" s="288">
        <f>Лист1!AB9</f>
        <v>106.7</v>
      </c>
      <c r="H15" s="287">
        <f>Лист1!AC9</f>
        <v>4769.9757304</v>
      </c>
      <c r="I15" s="289">
        <f>Лист1!AD9</f>
        <v>0</v>
      </c>
      <c r="J15" s="288">
        <f>Лист1!AG9</f>
        <v>830.52</v>
      </c>
      <c r="K15" s="286">
        <f>Лист1!AI9+Лист1!AJ9</f>
        <v>1391.2926408</v>
      </c>
      <c r="L15" s="286">
        <f>Лист1!AH9+Лист1!AK9+Лист1!AL9+Лист1!AM9+Лист1!AN9+Лист1!AO9+Лист1!AP9</f>
        <v>4885.38592902</v>
      </c>
      <c r="M15" s="290">
        <f>Лист1!AS9+Лист1!AT9+Лист1!AU9</f>
        <v>2987.6656000000003</v>
      </c>
      <c r="N15" s="290">
        <f>Лист1!AX9</f>
        <v>0</v>
      </c>
      <c r="O15" s="287">
        <f>Лист1!BB9</f>
        <v>10094.86416982</v>
      </c>
      <c r="P15" s="291">
        <f>Лист1!BC9</f>
        <v>0</v>
      </c>
      <c r="Q15" s="292">
        <f>Лист1!BE9</f>
        <v>-5324.88843942</v>
      </c>
      <c r="R15" s="292">
        <f>Лист1!BF9</f>
        <v>-8880.38</v>
      </c>
    </row>
    <row r="16" spans="1:18" ht="12">
      <c r="A16" s="282" t="s">
        <v>40</v>
      </c>
      <c r="B16" s="283">
        <f>Лист1!B10</f>
        <v>1384.2</v>
      </c>
      <c r="C16" s="284">
        <f aca="true" t="shared" si="0" ref="C16:C31">B16*8.65</f>
        <v>11973.330000000002</v>
      </c>
      <c r="D16" s="285">
        <f>Лист1!D10</f>
        <v>2884.1357304000007</v>
      </c>
      <c r="E16" s="286">
        <f>Лист1!S10</f>
        <v>8739.61</v>
      </c>
      <c r="F16" s="287">
        <f>Лист1!T10</f>
        <v>1698.67</v>
      </c>
      <c r="G16" s="288">
        <f>Лист1!AB10</f>
        <v>6523.75</v>
      </c>
      <c r="H16" s="287">
        <f>Лист1!AC10</f>
        <v>11106.555730400001</v>
      </c>
      <c r="I16" s="289">
        <f>Лист1!AD10</f>
        <v>0</v>
      </c>
      <c r="J16" s="288">
        <f>Лист1!AG10</f>
        <v>830.52</v>
      </c>
      <c r="K16" s="286">
        <f>Лист1!AI10+Лист1!AJ10</f>
        <v>1391.2926408</v>
      </c>
      <c r="L16" s="286">
        <f>Лист1!AH10+Лист1!AK10+Лист1!AL10+Лист1!AM10+Лист1!AN10+Лист1!AO10+Лист1!AP10</f>
        <v>4870.64143062</v>
      </c>
      <c r="M16" s="290">
        <f>Лист1!AS10+Лист1!AT10+Лист1!AU10</f>
        <v>23447.78</v>
      </c>
      <c r="N16" s="290">
        <f>Лист1!AX10</f>
        <v>0</v>
      </c>
      <c r="O16" s="287">
        <f>Лист1!BB10</f>
        <v>30540.23407142</v>
      </c>
      <c r="P16" s="291">
        <f>Лист1!BC10</f>
        <v>0</v>
      </c>
      <c r="Q16" s="292">
        <f>Лист1!BE10</f>
        <v>-19433.67834102</v>
      </c>
      <c r="R16" s="292">
        <f>Лист1!BF10</f>
        <v>-2215.8600000000006</v>
      </c>
    </row>
    <row r="17" spans="1:20" ht="12.75" thickBot="1">
      <c r="A17" s="293" t="s">
        <v>41</v>
      </c>
      <c r="B17" s="283">
        <f>Лист1!B11</f>
        <v>1384.2</v>
      </c>
      <c r="C17" s="294">
        <f t="shared" si="0"/>
        <v>11973.330000000002</v>
      </c>
      <c r="D17" s="285">
        <f>Лист1!D11</f>
        <v>2877.7898655000004</v>
      </c>
      <c r="E17" s="286">
        <f>Лист1!S11</f>
        <v>6793.579999999999</v>
      </c>
      <c r="F17" s="287">
        <f>Лист1!T11</f>
        <v>1774.5800000000002</v>
      </c>
      <c r="G17" s="288">
        <f>Лист1!AB11</f>
        <v>8426.97</v>
      </c>
      <c r="H17" s="287">
        <f>Лист1!AC11</f>
        <v>13079.3398655</v>
      </c>
      <c r="I17" s="289">
        <f>Лист1!AD11</f>
        <v>0</v>
      </c>
      <c r="J17" s="288">
        <f>Лист1!AG11</f>
        <v>830.52</v>
      </c>
      <c r="K17" s="286">
        <f>Лист1!AI11+Лист1!AJ11</f>
        <v>1387.24191792</v>
      </c>
      <c r="L17" s="286">
        <f>Лист1!AH11+Лист1!AK11+Лист1!AL11+Лист1!AM11+Лист1!AN11+Лист1!AO11+Лист1!AP11</f>
        <v>4862.897703666</v>
      </c>
      <c r="M17" s="290">
        <f>Лист1!AS11+Лист1!AT11+Лист1!AU11</f>
        <v>0</v>
      </c>
      <c r="N17" s="290">
        <f>Лист1!AX11</f>
        <v>0</v>
      </c>
      <c r="O17" s="287">
        <f>Лист1!BB11</f>
        <v>7080.659621586001</v>
      </c>
      <c r="P17" s="291">
        <f>Лист1!BC11</f>
        <v>0</v>
      </c>
      <c r="Q17" s="292">
        <f>Лист1!BE11</f>
        <v>5998.680243913999</v>
      </c>
      <c r="R17" s="292">
        <f>Лист1!BF11</f>
        <v>1633.3900000000003</v>
      </c>
      <c r="S17" s="295"/>
      <c r="T17" s="295"/>
    </row>
    <row r="18" spans="1:20" s="304" customFormat="1" ht="12.75" thickBot="1">
      <c r="A18" s="296" t="s">
        <v>3</v>
      </c>
      <c r="B18" s="297"/>
      <c r="C18" s="298">
        <f>SUM(C15:C17)</f>
        <v>35919.990000000005</v>
      </c>
      <c r="D18" s="299">
        <f aca="true" t="shared" si="1" ref="D18:J18">SUM(D15:D17)</f>
        <v>8646.061326300001</v>
      </c>
      <c r="E18" s="298">
        <f t="shared" si="1"/>
        <v>24520.27</v>
      </c>
      <c r="F18" s="300">
        <f t="shared" si="1"/>
        <v>5252.39</v>
      </c>
      <c r="G18" s="299">
        <f t="shared" si="1"/>
        <v>15057.419999999998</v>
      </c>
      <c r="H18" s="300">
        <f t="shared" si="1"/>
        <v>28955.871326300003</v>
      </c>
      <c r="I18" s="300">
        <f t="shared" si="1"/>
        <v>0</v>
      </c>
      <c r="J18" s="299">
        <f t="shared" si="1"/>
        <v>2491.56</v>
      </c>
      <c r="K18" s="298">
        <f aca="true" t="shared" si="2" ref="K18:R18">SUM(K15:K17)</f>
        <v>4169.82719952</v>
      </c>
      <c r="L18" s="298">
        <f t="shared" si="2"/>
        <v>14618.925063306</v>
      </c>
      <c r="M18" s="298">
        <f t="shared" si="2"/>
        <v>26435.4456</v>
      </c>
      <c r="N18" s="298">
        <f t="shared" si="2"/>
        <v>0</v>
      </c>
      <c r="O18" s="300">
        <f t="shared" si="2"/>
        <v>47715.75786282601</v>
      </c>
      <c r="P18" s="300">
        <f t="shared" si="2"/>
        <v>0</v>
      </c>
      <c r="Q18" s="301">
        <f t="shared" si="2"/>
        <v>-18759.886536526</v>
      </c>
      <c r="R18" s="301">
        <f t="shared" si="2"/>
        <v>-9462.849999999999</v>
      </c>
      <c r="S18" s="302"/>
      <c r="T18" s="303"/>
    </row>
    <row r="19" spans="1:20" ht="12">
      <c r="A19" s="276" t="s">
        <v>42</v>
      </c>
      <c r="B19" s="305"/>
      <c r="C19" s="306"/>
      <c r="D19" s="307"/>
      <c r="E19" s="308"/>
      <c r="F19" s="309"/>
      <c r="G19" s="310"/>
      <c r="H19" s="309"/>
      <c r="I19" s="311"/>
      <c r="J19" s="310"/>
      <c r="K19" s="286"/>
      <c r="L19" s="286"/>
      <c r="M19" s="290"/>
      <c r="N19" s="312"/>
      <c r="O19" s="287"/>
      <c r="P19" s="291"/>
      <c r="Q19" s="292"/>
      <c r="R19" s="292"/>
      <c r="S19" s="295"/>
      <c r="T19" s="295"/>
    </row>
    <row r="20" spans="1:20" ht="12">
      <c r="A20" s="282" t="s">
        <v>43</v>
      </c>
      <c r="B20" s="283">
        <f>Лист1!B14</f>
        <v>1384.2</v>
      </c>
      <c r="C20" s="284">
        <f t="shared" si="0"/>
        <v>11973.330000000002</v>
      </c>
      <c r="D20" s="285">
        <f>Лист1!D14</f>
        <v>1496.6662500000002</v>
      </c>
      <c r="E20" s="286">
        <f>Лист1!S14</f>
        <v>8052.390000000001</v>
      </c>
      <c r="F20" s="287">
        <f>Лист1!T14</f>
        <v>1774.5900000000001</v>
      </c>
      <c r="G20" s="288">
        <f>Лист1!AB14</f>
        <v>6546.2699999999995</v>
      </c>
      <c r="H20" s="287">
        <f>Лист1!AC14</f>
        <v>9817.526249999999</v>
      </c>
      <c r="I20" s="289">
        <f>Лист1!AF14</f>
        <v>0</v>
      </c>
      <c r="J20" s="288">
        <f>Лист1!AG14</f>
        <v>747.468</v>
      </c>
      <c r="K20" s="286">
        <f>Лист1!AI14+Лист1!AJ14</f>
        <v>1203.6781042</v>
      </c>
      <c r="L20" s="286">
        <f>Лист1!AH14+Лист1!AK14+Лист1!AL14+Лист1!AM14+Лист1!AN14+Лист1!AO14+Лист1!AP14</f>
        <v>4133.857350636</v>
      </c>
      <c r="M20" s="290">
        <f>Лист1!AS14+Лист1!AT14+Лист1!AU14</f>
        <v>2950.01</v>
      </c>
      <c r="N20" s="290">
        <f>Лист1!AX14</f>
        <v>0</v>
      </c>
      <c r="O20" s="287">
        <f>Лист1!BB14</f>
        <v>9035.013454836</v>
      </c>
      <c r="P20" s="291">
        <f>Лист1!BC14</f>
        <v>0</v>
      </c>
      <c r="Q20" s="292">
        <f>Лист1!BE14</f>
        <v>782.5127951639988</v>
      </c>
      <c r="R20" s="292">
        <f>Лист1!BF14</f>
        <v>-1506.1200000000017</v>
      </c>
      <c r="S20" s="295"/>
      <c r="T20" s="295"/>
    </row>
    <row r="21" spans="1:20" ht="12">
      <c r="A21" s="282" t="s">
        <v>44</v>
      </c>
      <c r="B21" s="283">
        <f>Лист1!B15</f>
        <v>1384.2</v>
      </c>
      <c r="C21" s="284">
        <f t="shared" si="0"/>
        <v>11973.330000000002</v>
      </c>
      <c r="D21" s="285">
        <f>Лист1!D15</f>
        <v>1496.6662500000002</v>
      </c>
      <c r="E21" s="286">
        <f>Лист1!S15</f>
        <v>7939.929999999999</v>
      </c>
      <c r="F21" s="287">
        <f>Лист1!T15</f>
        <v>1774.5900000000001</v>
      </c>
      <c r="G21" s="288">
        <f>Лист1!AB15</f>
        <v>7131.880000000001</v>
      </c>
      <c r="H21" s="287">
        <f>Лист1!AC15</f>
        <v>10403.136250000001</v>
      </c>
      <c r="I21" s="289">
        <f>Лист1!AF15</f>
        <v>0</v>
      </c>
      <c r="J21" s="288">
        <f>Лист1!AG15</f>
        <v>747.468</v>
      </c>
      <c r="K21" s="286">
        <f>Лист1!AI15+Лист1!AJ15</f>
        <v>1203.7017042</v>
      </c>
      <c r="L21" s="286">
        <f>Лист1!AH15+Лист1!AK15+Лист1!AL15+Лист1!AM15+Лист1!AN15+Лист1!AO15+Лист1!AP15</f>
        <v>4139.825052096</v>
      </c>
      <c r="M21" s="290">
        <f>Лист1!AS15+Лист1!AT15+Лист1!AU15</f>
        <v>3422</v>
      </c>
      <c r="N21" s="290">
        <f>Лист1!AX15</f>
        <v>0</v>
      </c>
      <c r="O21" s="287">
        <f>Лист1!BB15</f>
        <v>9512.994756296</v>
      </c>
      <c r="P21" s="291">
        <f>Лист1!BC15</f>
        <v>0</v>
      </c>
      <c r="Q21" s="292">
        <f>Лист1!BE15</f>
        <v>890.1414937040008</v>
      </c>
      <c r="R21" s="292">
        <f>Лист1!BF15</f>
        <v>-808.0499999999984</v>
      </c>
      <c r="S21" s="295"/>
      <c r="T21" s="295"/>
    </row>
    <row r="22" spans="1:20" ht="12">
      <c r="A22" s="282" t="s">
        <v>45</v>
      </c>
      <c r="B22" s="283">
        <f>Лист1!B16</f>
        <v>1384.2</v>
      </c>
      <c r="C22" s="284">
        <f t="shared" si="0"/>
        <v>11973.330000000002</v>
      </c>
      <c r="D22" s="285">
        <f>Лист1!D16</f>
        <v>1496.6662500000002</v>
      </c>
      <c r="E22" s="286">
        <f>Лист1!S16</f>
        <v>7647.599999999999</v>
      </c>
      <c r="F22" s="287">
        <f>Лист1!T16</f>
        <v>1774.5800000000002</v>
      </c>
      <c r="G22" s="288">
        <f>Лист1!AB16</f>
        <v>8371.53</v>
      </c>
      <c r="H22" s="287">
        <f>Лист1!AC16</f>
        <v>11642.77625</v>
      </c>
      <c r="I22" s="289">
        <f>Лист1!AF16</f>
        <v>0</v>
      </c>
      <c r="J22" s="288">
        <f>Лист1!AG16</f>
        <v>747.468</v>
      </c>
      <c r="K22" s="286">
        <f>Лист1!AI16+Лист1!AJ16</f>
        <v>1204.3958805</v>
      </c>
      <c r="L22" s="286">
        <f>Лист1!AH16+Лист1!AK16+Лист1!AL16+Лист1!AM16+Лист1!AN16+Лист1!AO16+Лист1!AP16</f>
        <v>4002.119437716</v>
      </c>
      <c r="M22" s="290">
        <f>Лист1!AS16+Лист1!AT16+Лист1!AU16</f>
        <v>939.28</v>
      </c>
      <c r="N22" s="290">
        <f>Лист1!AX16</f>
        <v>0</v>
      </c>
      <c r="O22" s="287">
        <f>Лист1!BB16</f>
        <v>6893.263318216001</v>
      </c>
      <c r="P22" s="291">
        <f>Лист1!BC16</f>
        <v>0</v>
      </c>
      <c r="Q22" s="292">
        <f>Лист1!BE16</f>
        <v>4749.512931784</v>
      </c>
      <c r="R22" s="292">
        <f>Лист1!BF16</f>
        <v>723.9300000000012</v>
      </c>
      <c r="S22" s="295"/>
      <c r="T22" s="295"/>
    </row>
    <row r="23" spans="1:20" ht="12">
      <c r="A23" s="282" t="s">
        <v>46</v>
      </c>
      <c r="B23" s="283">
        <f>Лист1!B17</f>
        <v>1384.2</v>
      </c>
      <c r="C23" s="284">
        <f t="shared" si="0"/>
        <v>11973.330000000002</v>
      </c>
      <c r="D23" s="285">
        <f>Лист1!D17</f>
        <v>1496.6662500000002</v>
      </c>
      <c r="E23" s="286">
        <f>Лист1!S17</f>
        <v>8019.34</v>
      </c>
      <c r="F23" s="287">
        <f>Лист1!T17</f>
        <v>1774.5900000000001</v>
      </c>
      <c r="G23" s="288">
        <f>Лист1!AB17</f>
        <v>7865.82</v>
      </c>
      <c r="H23" s="287">
        <f>Лист1!AC17</f>
        <v>11137.07625</v>
      </c>
      <c r="I23" s="289">
        <f>Лист1!AF17</f>
        <v>0</v>
      </c>
      <c r="J23" s="288">
        <f>Лист1!AG17</f>
        <v>747.468</v>
      </c>
      <c r="K23" s="286">
        <f>Лист1!AI17+Лист1!AJ17</f>
        <v>1240.35421284</v>
      </c>
      <c r="L23" s="286">
        <f>Лист1!AH17+Лист1!AK17+Лист1!AL17+Лист1!AM17+Лист1!AN17+Лист1!AO17+Лист1!AP17</f>
        <v>4058.8251009120004</v>
      </c>
      <c r="M23" s="290">
        <f>Лист1!AS17+Лист1!AT17+Лист1!AU17</f>
        <v>13421.5796</v>
      </c>
      <c r="N23" s="290">
        <f>Лист1!AX17</f>
        <v>2121.17</v>
      </c>
      <c r="O23" s="287">
        <f>Лист1!BB17</f>
        <v>21589.396913751996</v>
      </c>
      <c r="P23" s="291">
        <f>Лист1!BC17</f>
        <v>0</v>
      </c>
      <c r="Q23" s="292">
        <f>Лист1!BE17</f>
        <v>-10452.320663751996</v>
      </c>
      <c r="R23" s="292">
        <f>Лист1!BF17</f>
        <v>-153.52000000000044</v>
      </c>
      <c r="S23" s="295"/>
      <c r="T23" s="295"/>
    </row>
    <row r="24" spans="1:20" ht="12">
      <c r="A24" s="282" t="s">
        <v>47</v>
      </c>
      <c r="B24" s="283">
        <f>Лист1!B18</f>
        <v>1384.2</v>
      </c>
      <c r="C24" s="284">
        <f t="shared" si="0"/>
        <v>11973.330000000002</v>
      </c>
      <c r="D24" s="285">
        <f>Лист1!D18</f>
        <v>1179.2000000000007</v>
      </c>
      <c r="E24" s="286">
        <f>Лист1!S18</f>
        <v>8827.52</v>
      </c>
      <c r="F24" s="287">
        <f>Лист1!T18</f>
        <v>1966.6100000000001</v>
      </c>
      <c r="G24" s="288">
        <f>Лист1!AB18</f>
        <v>6573.19</v>
      </c>
      <c r="H24" s="287">
        <f>Лист1!AC18</f>
        <v>9719</v>
      </c>
      <c r="I24" s="289">
        <f>Лист1!AF18</f>
        <v>0</v>
      </c>
      <c r="J24" s="288">
        <f>Лист1!AG18</f>
        <v>830.52</v>
      </c>
      <c r="K24" s="286">
        <f>Лист1!AI18+Лист1!AJ18</f>
        <v>1388.3526</v>
      </c>
      <c r="L24" s="286">
        <f>Лист1!AH18+Лист1!AK18+Лист1!AL18+Лист1!AM18+Лист1!AN18+Лист1!AO18+Лист1!AP18</f>
        <v>4755.00384</v>
      </c>
      <c r="M24" s="290">
        <f>Лист1!AS18+Лист1!AT18+Лист1!AU18</f>
        <v>3781.428</v>
      </c>
      <c r="N24" s="290">
        <f>Лист1!AX18</f>
        <v>347.5808</v>
      </c>
      <c r="O24" s="287">
        <f>Лист1!BB18</f>
        <v>11102.88524</v>
      </c>
      <c r="P24" s="291">
        <f>Лист1!BC18</f>
        <v>0</v>
      </c>
      <c r="Q24" s="292">
        <f>Лист1!BE18</f>
        <v>-1383.8852399999996</v>
      </c>
      <c r="R24" s="292">
        <f>Лист1!BF18</f>
        <v>-2254.330000000001</v>
      </c>
      <c r="S24" s="295"/>
      <c r="T24" s="295"/>
    </row>
    <row r="25" spans="1:20" ht="12">
      <c r="A25" s="282" t="s">
        <v>48</v>
      </c>
      <c r="B25" s="283">
        <f>Лист1!B19</f>
        <v>1384.2</v>
      </c>
      <c r="C25" s="284">
        <f t="shared" si="0"/>
        <v>11973.330000000002</v>
      </c>
      <c r="D25" s="285">
        <f>Лист1!D19</f>
        <v>1159.5200000000023</v>
      </c>
      <c r="E25" s="286">
        <f>Лист1!S19</f>
        <v>8899.43</v>
      </c>
      <c r="F25" s="287">
        <f>Лист1!T19</f>
        <v>1914.38</v>
      </c>
      <c r="G25" s="288">
        <f>Лист1!AB19</f>
        <v>7403.179999999999</v>
      </c>
      <c r="H25" s="287">
        <f>Лист1!AC19</f>
        <v>10477.080000000002</v>
      </c>
      <c r="I25" s="289">
        <f>Лист1!AF19</f>
        <v>0</v>
      </c>
      <c r="J25" s="288">
        <f>Лист1!AG19</f>
        <v>830.52</v>
      </c>
      <c r="K25" s="286">
        <f>Лист1!AI19+Лист1!AJ19</f>
        <v>1388.3526</v>
      </c>
      <c r="L25" s="286">
        <f>Лист1!AH19+Лист1!AK19+Лист1!AL19+Лист1!AM19+Лист1!AN19+Лист1!AO19+Лист1!AP19</f>
        <v>4755.128418</v>
      </c>
      <c r="M25" s="290">
        <f>Лист1!AS19+Лист1!AT19+Лист1!AU19</f>
        <v>0</v>
      </c>
      <c r="N25" s="290">
        <f>Лист1!AX19</f>
        <v>307.93280000000004</v>
      </c>
      <c r="O25" s="287">
        <f>Лист1!BB19</f>
        <v>7281.933818000001</v>
      </c>
      <c r="P25" s="291">
        <f>Лист1!BC19</f>
        <v>0</v>
      </c>
      <c r="Q25" s="292">
        <f>Лист1!BE19</f>
        <v>3195.1461820000004</v>
      </c>
      <c r="R25" s="292">
        <f>Лист1!BF19</f>
        <v>-1496.250000000001</v>
      </c>
      <c r="S25" s="295"/>
      <c r="T25" s="295"/>
    </row>
    <row r="26" spans="1:20" ht="12">
      <c r="A26" s="282" t="s">
        <v>49</v>
      </c>
      <c r="B26" s="283">
        <f>Лист1!B20</f>
        <v>1384.2</v>
      </c>
      <c r="C26" s="284">
        <f t="shared" si="0"/>
        <v>11973.330000000002</v>
      </c>
      <c r="D26" s="285">
        <f>Лист1!D20</f>
        <v>1144.6200000000026</v>
      </c>
      <c r="E26" s="286">
        <f>Лист1!S20</f>
        <v>8982.61</v>
      </c>
      <c r="F26" s="287">
        <f>Лист1!T20</f>
        <v>1846.1000000000001</v>
      </c>
      <c r="G26" s="288">
        <f>Лист1!AB20</f>
        <v>9877.41</v>
      </c>
      <c r="H26" s="287">
        <f>Лист1!AC20</f>
        <v>12868.130000000003</v>
      </c>
      <c r="I26" s="289">
        <f>Лист1!AF20</f>
        <v>1690.23318</v>
      </c>
      <c r="J26" s="288">
        <f>Лист1!AG20</f>
        <v>830.52</v>
      </c>
      <c r="K26" s="286">
        <f>Лист1!AI20+Лист1!AJ20</f>
        <v>1368.49915782</v>
      </c>
      <c r="L26" s="286">
        <f>Лист1!AH20+Лист1!AK20+Лист1!AL20+Лист1!AM20+Лист1!AN20+Лист1!AO20+Лист1!AP20</f>
        <v>4708.13012172</v>
      </c>
      <c r="M26" s="290">
        <f>Лист1!AS20+Лист1!AT20+Лист1!AU20</f>
        <v>0</v>
      </c>
      <c r="N26" s="290">
        <f>Лист1!AX20</f>
        <v>327.75680000000006</v>
      </c>
      <c r="O26" s="287">
        <f>Лист1!BB20</f>
        <v>7234.90607954</v>
      </c>
      <c r="P26" s="291">
        <f>Лист1!BC20</f>
        <v>675.40668226</v>
      </c>
      <c r="Q26" s="292">
        <f>Лист1!BE20</f>
        <v>6648.050418200002</v>
      </c>
      <c r="R26" s="292">
        <f>Лист1!BF20</f>
        <v>894.7999999999993</v>
      </c>
      <c r="S26" s="295"/>
      <c r="T26" s="295"/>
    </row>
    <row r="27" spans="1:20" ht="12">
      <c r="A27" s="282" t="s">
        <v>50</v>
      </c>
      <c r="B27" s="283">
        <f>Лист1!B21</f>
        <v>1384.2</v>
      </c>
      <c r="C27" s="284">
        <f t="shared" si="0"/>
        <v>11973.330000000002</v>
      </c>
      <c r="D27" s="285">
        <f>Лист1!D21</f>
        <v>1144.6200000000026</v>
      </c>
      <c r="E27" s="286">
        <f>Лист1!S21</f>
        <v>8982.61</v>
      </c>
      <c r="F27" s="287">
        <f>Лист1!T21</f>
        <v>1846.1000000000001</v>
      </c>
      <c r="G27" s="288">
        <f>Лист1!AB21</f>
        <v>9551.97</v>
      </c>
      <c r="H27" s="287">
        <f>Лист1!AC21</f>
        <v>12542.690000000002</v>
      </c>
      <c r="I27" s="289">
        <f>Лист1!AF21</f>
        <v>1690.23318</v>
      </c>
      <c r="J27" s="288">
        <f>Лист1!AG21</f>
        <v>830.52</v>
      </c>
      <c r="K27" s="286">
        <f>Лист1!AI21+Лист1!AJ21</f>
        <v>1367.888282676</v>
      </c>
      <c r="L27" s="286">
        <f>Лист1!AH21+Лист1!AK21+Лист1!AL21+Лист1!AM21+Лист1!AN21+Лист1!AO21+Лист1!AP21</f>
        <v>4707.1354356</v>
      </c>
      <c r="M27" s="290">
        <f>Лист1!AS21+Лист1!AT21+Лист1!AU21</f>
        <v>0</v>
      </c>
      <c r="N27" s="290">
        <f>Лист1!AX21</f>
        <v>387.22880000000004</v>
      </c>
      <c r="O27" s="287">
        <f>Лист1!BB21</f>
        <v>7292.7725182760005</v>
      </c>
      <c r="P27" s="291">
        <f>Лист1!BC21</f>
        <v>675.099799778</v>
      </c>
      <c r="Q27" s="292">
        <f>Лист1!BE21</f>
        <v>6265.0508619460015</v>
      </c>
      <c r="R27" s="292">
        <f>Лист1!BF21</f>
        <v>569.3599999999988</v>
      </c>
      <c r="S27" s="295"/>
      <c r="T27" s="295"/>
    </row>
    <row r="28" spans="1:20" ht="12">
      <c r="A28" s="282" t="s">
        <v>51</v>
      </c>
      <c r="B28" s="283">
        <f>Лист1!B22</f>
        <v>1384.2</v>
      </c>
      <c r="C28" s="284">
        <f t="shared" si="0"/>
        <v>11973.330000000002</v>
      </c>
      <c r="D28" s="285">
        <f>Лист1!D22</f>
        <v>1144.630000000001</v>
      </c>
      <c r="E28" s="286">
        <f>Лист1!S22</f>
        <v>8982.6</v>
      </c>
      <c r="F28" s="287">
        <f>Лист1!T22</f>
        <v>1846.1000000000001</v>
      </c>
      <c r="G28" s="288">
        <f>Лист1!AB22</f>
        <v>8642.77</v>
      </c>
      <c r="H28" s="287">
        <f>Лист1!AC22</f>
        <v>11633.500000000002</v>
      </c>
      <c r="I28" s="289">
        <f>Лист1!AF22</f>
        <v>1690.23318</v>
      </c>
      <c r="J28" s="288">
        <f>Лист1!AG22</f>
        <v>830.52</v>
      </c>
      <c r="K28" s="286">
        <f>Лист1!AI22+Лист1!AJ22</f>
        <v>1367.652262734</v>
      </c>
      <c r="L28" s="286">
        <f>Лист1!AH22+Лист1!AK22+Лист1!AL22+Лист1!AM22+Лист1!AN22+Лист1!AO22+Лист1!AP22</f>
        <v>4706.5169113668</v>
      </c>
      <c r="M28" s="290">
        <f>Лист1!AS22+Лист1!AT22+Лист1!AU22</f>
        <v>0</v>
      </c>
      <c r="N28" s="290">
        <f>Лист1!AX22</f>
        <v>461.2384</v>
      </c>
      <c r="O28" s="287">
        <f>Лист1!BB22</f>
        <v>7365.9275741008005</v>
      </c>
      <c r="P28" s="291">
        <f>Лист1!BC22</f>
        <v>674.9976949561999</v>
      </c>
      <c r="Q28" s="292">
        <f>Лист1!BE22</f>
        <v>5282.807910943002</v>
      </c>
      <c r="R28" s="292">
        <f>Лист1!BF22</f>
        <v>-339.8299999999999</v>
      </c>
      <c r="S28" s="295"/>
      <c r="T28" s="295"/>
    </row>
    <row r="29" spans="1:20" ht="12">
      <c r="A29" s="282" t="s">
        <v>39</v>
      </c>
      <c r="B29" s="283">
        <f>Лист1!B23</f>
        <v>1384.2</v>
      </c>
      <c r="C29" s="284">
        <f>B29*8.65</f>
        <v>11973.330000000002</v>
      </c>
      <c r="D29" s="285">
        <f>Лист1!D23</f>
        <v>1144.6200000000026</v>
      </c>
      <c r="E29" s="286">
        <f>Лист1!S23</f>
        <v>8982.61</v>
      </c>
      <c r="F29" s="287">
        <f>Лист1!T23</f>
        <v>1846.1000000000001</v>
      </c>
      <c r="G29" s="288">
        <f>Лист1!AB23</f>
        <v>8657.349999999999</v>
      </c>
      <c r="H29" s="287">
        <f>Лист1!AC23</f>
        <v>11648.070000000002</v>
      </c>
      <c r="I29" s="289">
        <f>Лист1!AF23</f>
        <v>2401.98614</v>
      </c>
      <c r="J29" s="288">
        <f>Лист1!AG23</f>
        <v>830.52</v>
      </c>
      <c r="K29" s="286">
        <f>Лист1!AI23+Лист1!AJ23</f>
        <v>1383.452532</v>
      </c>
      <c r="L29" s="286">
        <f>Лист1!AH23+Лист1!AK23+Лист1!AL23+Лист1!AM23+Лист1!AN23+Лист1!AO23+Лист1!AP23</f>
        <v>4746.975480000001</v>
      </c>
      <c r="M29" s="290">
        <f>Лист1!AS23+Лист1!AT23+Лист1!AU23</f>
        <v>743.872</v>
      </c>
      <c r="N29" s="290">
        <f>Лист1!AX23</f>
        <v>561.6800000000001</v>
      </c>
      <c r="O29" s="287">
        <f>Лист1!BB23</f>
        <v>8266.500012</v>
      </c>
      <c r="P29" s="291">
        <f>Лист1!BC23</f>
        <v>989.8069780000001</v>
      </c>
      <c r="Q29" s="292">
        <f>Лист1!BE23</f>
        <v>4793.7491500000015</v>
      </c>
      <c r="R29" s="292">
        <f>Лист1!BF23</f>
        <v>-325.26000000000204</v>
      </c>
      <c r="S29" s="295"/>
      <c r="T29" s="295"/>
    </row>
    <row r="30" spans="1:20" ht="12">
      <c r="A30" s="282" t="s">
        <v>40</v>
      </c>
      <c r="B30" s="283">
        <f>Лист1!B24</f>
        <v>1385.4</v>
      </c>
      <c r="C30" s="284">
        <f t="shared" si="0"/>
        <v>11983.710000000001</v>
      </c>
      <c r="D30" s="285">
        <f>Лист1!D24</f>
        <v>1145.620000000003</v>
      </c>
      <c r="E30" s="286">
        <f>Лист1!S24</f>
        <v>8987.32</v>
      </c>
      <c r="F30" s="287">
        <f>Лист1!T24</f>
        <v>1850.77</v>
      </c>
      <c r="G30" s="288">
        <f>Лист1!AB24</f>
        <v>10702.95</v>
      </c>
      <c r="H30" s="287">
        <f>Лист1!AC24</f>
        <v>13699.340000000004</v>
      </c>
      <c r="I30" s="289">
        <f>Лист1!AF24</f>
        <v>2401.98614</v>
      </c>
      <c r="J30" s="288">
        <f>Лист1!AG24</f>
        <v>831.24</v>
      </c>
      <c r="K30" s="286">
        <f>Лист1!AI24+Лист1!AJ24</f>
        <v>1389.5562000000002</v>
      </c>
      <c r="L30" s="286">
        <f>Лист1!AH24+Лист1!AK24+Лист1!AL24+Лист1!AM24+Лист1!AN24+Лист1!AO24+Лист1!AP24</f>
        <v>4756.35528</v>
      </c>
      <c r="M30" s="290">
        <f>Лист1!AS24+Лист1!AT24+Лист1!AU24</f>
        <v>0</v>
      </c>
      <c r="N30" s="290">
        <f>Лист1!AX24</f>
        <v>621.152</v>
      </c>
      <c r="O30" s="287">
        <f>Лист1!BB24</f>
        <v>7598.30348</v>
      </c>
      <c r="P30" s="291">
        <f>Лист1!BC24</f>
        <v>991.2126599999999</v>
      </c>
      <c r="Q30" s="292">
        <f>Лист1!BE24</f>
        <v>7511.810000000004</v>
      </c>
      <c r="R30" s="292">
        <f>Лист1!BF24</f>
        <v>1715.630000000001</v>
      </c>
      <c r="S30" s="295"/>
      <c r="T30" s="295"/>
    </row>
    <row r="31" spans="1:20" ht="12.75" thickBot="1">
      <c r="A31" s="293" t="s">
        <v>41</v>
      </c>
      <c r="B31" s="283">
        <f>Лист1!B25</f>
        <v>1385.4</v>
      </c>
      <c r="C31" s="294">
        <f t="shared" si="0"/>
        <v>11983.710000000001</v>
      </c>
      <c r="D31" s="285">
        <f>Лист1!D25</f>
        <v>1175.9600000000023</v>
      </c>
      <c r="E31" s="286">
        <f>Лист1!S25</f>
        <v>8956.97</v>
      </c>
      <c r="F31" s="287">
        <f>Лист1!T25</f>
        <v>1850.78</v>
      </c>
      <c r="G31" s="288">
        <f>Лист1!AB25</f>
        <v>10232.65</v>
      </c>
      <c r="H31" s="287">
        <f>Лист1!AC25</f>
        <v>13259.390000000003</v>
      </c>
      <c r="I31" s="289">
        <f>Лист1!AF25</f>
        <v>2401.98614</v>
      </c>
      <c r="J31" s="288">
        <f>Лист1!AG25</f>
        <v>831.24</v>
      </c>
      <c r="K31" s="286">
        <f>Лист1!AI25+Лист1!AJ25</f>
        <v>1389.5562000000002</v>
      </c>
      <c r="L31" s="286">
        <f>Лист1!AH25+Лист1!AK25+Лист1!AL25+Лист1!AM25+Лист1!AN25+Лист1!AO25+Лист1!AP25</f>
        <v>4756.35528</v>
      </c>
      <c r="M31" s="290">
        <f>Лист1!AS25+Лист1!AT25+Лист1!AU25</f>
        <v>0</v>
      </c>
      <c r="N31" s="290">
        <f>Лист1!AX25</f>
        <v>679.3024</v>
      </c>
      <c r="O31" s="287">
        <f>Лист1!BB25</f>
        <v>7656.453879999999</v>
      </c>
      <c r="P31" s="291">
        <f>Лист1!BC25</f>
        <v>991.2126599999999</v>
      </c>
      <c r="Q31" s="292">
        <f>Лист1!BE25</f>
        <v>7013.709600000004</v>
      </c>
      <c r="R31" s="292">
        <f>Лист1!BF25</f>
        <v>1275.6800000000003</v>
      </c>
      <c r="S31" s="295"/>
      <c r="T31" s="295"/>
    </row>
    <row r="32" spans="1:20" s="304" customFormat="1" ht="12.75" thickBot="1">
      <c r="A32" s="296" t="s">
        <v>3</v>
      </c>
      <c r="B32" s="297"/>
      <c r="C32" s="298">
        <f aca="true" t="shared" si="3" ref="C32:R32">SUM(C20:C31)</f>
        <v>143700.72</v>
      </c>
      <c r="D32" s="299">
        <f t="shared" si="3"/>
        <v>15225.455000000018</v>
      </c>
      <c r="E32" s="298">
        <f t="shared" si="3"/>
        <v>103260.93</v>
      </c>
      <c r="F32" s="300">
        <f t="shared" si="3"/>
        <v>22065.289999999997</v>
      </c>
      <c r="G32" s="299">
        <f t="shared" si="3"/>
        <v>101556.96999999999</v>
      </c>
      <c r="H32" s="300">
        <f t="shared" si="3"/>
        <v>138847.71500000003</v>
      </c>
      <c r="I32" s="300">
        <f t="shared" si="3"/>
        <v>12276.65796</v>
      </c>
      <c r="J32" s="299">
        <f t="shared" si="3"/>
        <v>9635.472000000002</v>
      </c>
      <c r="K32" s="298">
        <f t="shared" si="3"/>
        <v>15895.439736970002</v>
      </c>
      <c r="L32" s="298">
        <f t="shared" si="3"/>
        <v>54226.227708046805</v>
      </c>
      <c r="M32" s="298">
        <f t="shared" si="3"/>
        <v>25258.169599999997</v>
      </c>
      <c r="N32" s="298">
        <f t="shared" si="3"/>
        <v>5815.042000000001</v>
      </c>
      <c r="O32" s="300">
        <f t="shared" si="3"/>
        <v>110830.35104501681</v>
      </c>
      <c r="P32" s="300">
        <f>Лист1!BC26</f>
        <v>4997.7364749942</v>
      </c>
      <c r="Q32" s="301">
        <f t="shared" si="3"/>
        <v>35296.28543998902</v>
      </c>
      <c r="R32" s="301">
        <f t="shared" si="3"/>
        <v>-1703.9600000000037</v>
      </c>
      <c r="S32" s="303"/>
      <c r="T32" s="303"/>
    </row>
    <row r="33" spans="1:20" ht="12.75" thickBot="1">
      <c r="A33" s="413" t="s">
        <v>68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313"/>
      <c r="S33" s="295"/>
      <c r="T33" s="295"/>
    </row>
    <row r="34" spans="1:20" s="304" customFormat="1" ht="12.75" thickBot="1">
      <c r="A34" s="314" t="s">
        <v>52</v>
      </c>
      <c r="B34" s="315"/>
      <c r="C34" s="316">
        <f>C18+C32</f>
        <v>179620.71000000002</v>
      </c>
      <c r="D34" s="317">
        <f aca="true" t="shared" si="4" ref="D34:R34">D18+D32</f>
        <v>23871.51632630002</v>
      </c>
      <c r="E34" s="315">
        <f t="shared" si="4"/>
        <v>127781.2</v>
      </c>
      <c r="F34" s="316">
        <f t="shared" si="4"/>
        <v>27317.679999999997</v>
      </c>
      <c r="G34" s="317">
        <f t="shared" si="4"/>
        <v>116614.38999999998</v>
      </c>
      <c r="H34" s="316">
        <f t="shared" si="4"/>
        <v>167803.58632630002</v>
      </c>
      <c r="I34" s="316">
        <f t="shared" si="4"/>
        <v>12276.65796</v>
      </c>
      <c r="J34" s="317">
        <f t="shared" si="4"/>
        <v>12127.032000000001</v>
      </c>
      <c r="K34" s="315">
        <f t="shared" si="4"/>
        <v>20065.266936490003</v>
      </c>
      <c r="L34" s="315">
        <f t="shared" si="4"/>
        <v>68845.1527713528</v>
      </c>
      <c r="M34" s="315">
        <f t="shared" si="4"/>
        <v>51693.6152</v>
      </c>
      <c r="N34" s="315">
        <f t="shared" si="4"/>
        <v>5815.042000000001</v>
      </c>
      <c r="O34" s="318">
        <f t="shared" si="4"/>
        <v>158546.10890784283</v>
      </c>
      <c r="P34" s="318">
        <f>Лист1!BC28</f>
        <v>4997.7364749942</v>
      </c>
      <c r="Q34" s="319">
        <f>Q18+Q32</f>
        <v>16536.39890346302</v>
      </c>
      <c r="R34" s="319">
        <f t="shared" si="4"/>
        <v>-11166.810000000001</v>
      </c>
      <c r="S34" s="320"/>
      <c r="T34" s="303"/>
    </row>
    <row r="35" spans="1:20" ht="12">
      <c r="A35" s="276" t="s">
        <v>91</v>
      </c>
      <c r="B35" s="305"/>
      <c r="C35" s="306"/>
      <c r="D35" s="307"/>
      <c r="E35" s="308"/>
      <c r="F35" s="309"/>
      <c r="G35" s="310"/>
      <c r="H35" s="309"/>
      <c r="I35" s="311"/>
      <c r="J35" s="310"/>
      <c r="K35" s="286"/>
      <c r="L35" s="286"/>
      <c r="M35" s="290"/>
      <c r="N35" s="312"/>
      <c r="O35" s="287"/>
      <c r="P35" s="291"/>
      <c r="Q35" s="292"/>
      <c r="R35" s="292"/>
      <c r="S35" s="295"/>
      <c r="T35" s="295"/>
    </row>
    <row r="36" spans="1:20" ht="12">
      <c r="A36" s="282" t="s">
        <v>43</v>
      </c>
      <c r="B36" s="283">
        <f>Лист1!B30</f>
        <v>1385.4</v>
      </c>
      <c r="C36" s="284">
        <f aca="true" t="shared" si="5" ref="C36:C47">B36*8.65</f>
        <v>11983.710000000001</v>
      </c>
      <c r="D36" s="285">
        <f>Лист1!D30</f>
        <v>1145.620000000003</v>
      </c>
      <c r="E36" s="286">
        <f>Лист1!S30</f>
        <v>8987.32</v>
      </c>
      <c r="F36" s="287">
        <f>Лист1!T30</f>
        <v>1850.77</v>
      </c>
      <c r="G36" s="288">
        <f>Лист1!AB30</f>
        <v>5280.92</v>
      </c>
      <c r="H36" s="287">
        <f>Лист1!AC30</f>
        <v>8277.310000000003</v>
      </c>
      <c r="I36" s="289">
        <f>Лист1!AF30</f>
        <v>2401.98614</v>
      </c>
      <c r="J36" s="288">
        <f>Лист1!AG30</f>
        <v>831.24</v>
      </c>
      <c r="K36" s="286">
        <f>Лист1!AI30+Лист1!AJ30</f>
        <v>1385.4</v>
      </c>
      <c r="L36" s="286">
        <f>Лист1!AH30+Лист1!AK30+Лист1!AL30+Лист1!AM30+Лист1!AN30+Лист1!AO30+Лист1!AP30</f>
        <v>4751.9220000000005</v>
      </c>
      <c r="M36" s="290">
        <f>Лист1!AS30+Лист1!AT30+Лист1!AU30</f>
        <v>0</v>
      </c>
      <c r="N36" s="290">
        <f>Лист1!AX30</f>
        <v>711.1999999999999</v>
      </c>
      <c r="O36" s="287">
        <f>Лист1!BB30</f>
        <v>7679.762</v>
      </c>
      <c r="P36" s="291">
        <f>Лист1!BC30</f>
        <v>990.039</v>
      </c>
      <c r="Q36" s="292">
        <f>Лист1!BE30</f>
        <v>2009.4951400000034</v>
      </c>
      <c r="R36" s="292">
        <f>Лист1!BF30</f>
        <v>-3706.3999999999996</v>
      </c>
      <c r="S36" s="295"/>
      <c r="T36" s="295"/>
    </row>
    <row r="37" spans="1:20" ht="12">
      <c r="A37" s="282" t="s">
        <v>44</v>
      </c>
      <c r="B37" s="283">
        <f>Лист1!B31</f>
        <v>1385.4</v>
      </c>
      <c r="C37" s="284">
        <f t="shared" si="5"/>
        <v>11983.710000000001</v>
      </c>
      <c r="D37" s="285">
        <f>Лист1!D31</f>
        <v>1145.620000000003</v>
      </c>
      <c r="E37" s="286">
        <f>Лист1!S31</f>
        <v>8987.32</v>
      </c>
      <c r="F37" s="287">
        <f>Лист1!T31</f>
        <v>1850.77</v>
      </c>
      <c r="G37" s="288">
        <f>Лист1!AB31</f>
        <v>9129.189999999999</v>
      </c>
      <c r="H37" s="287">
        <f>Лист1!AC31</f>
        <v>12125.580000000002</v>
      </c>
      <c r="I37" s="289">
        <f>Лист1!AF31</f>
        <v>2401.98614</v>
      </c>
      <c r="J37" s="288">
        <f>Лист1!AG31</f>
        <v>831.24</v>
      </c>
      <c r="K37" s="286">
        <f>Лист1!AI31+Лист1!AJ31</f>
        <v>1385.4</v>
      </c>
      <c r="L37" s="286">
        <f>Лист1!AH31+Лист1!AK31+Лист1!AL31+Лист1!AM31+Лист1!AN31+Лист1!AO31+Лист1!AP31</f>
        <v>6855.762000000001</v>
      </c>
      <c r="M37" s="290">
        <f>Лист1!AS31+Лист1!AT31+Лист1!AU31</f>
        <v>0</v>
      </c>
      <c r="N37" s="290">
        <f>Лист1!AX31</f>
        <v>569.8</v>
      </c>
      <c r="O37" s="287">
        <f>Лист1!BB31</f>
        <v>9642.202</v>
      </c>
      <c r="P37" s="291">
        <f>Лист1!BC31</f>
        <v>990.039</v>
      </c>
      <c r="Q37" s="292">
        <f>Лист1!BE31</f>
        <v>3895.3251400000026</v>
      </c>
      <c r="R37" s="292">
        <f>Лист1!BF31</f>
        <v>141.86999999999898</v>
      </c>
      <c r="S37" s="295"/>
      <c r="T37" s="295"/>
    </row>
    <row r="38" spans="1:20" ht="12">
      <c r="A38" s="282" t="s">
        <v>45</v>
      </c>
      <c r="B38" s="283">
        <f>Лист1!B32</f>
        <v>1385.4</v>
      </c>
      <c r="C38" s="284">
        <f t="shared" si="5"/>
        <v>11983.710000000001</v>
      </c>
      <c r="D38" s="285">
        <f>Лист1!D32</f>
        <v>1145.6300000000033</v>
      </c>
      <c r="E38" s="286">
        <f>Лист1!S32</f>
        <v>8987.3</v>
      </c>
      <c r="F38" s="287">
        <f>Лист1!T32</f>
        <v>1850.78</v>
      </c>
      <c r="G38" s="288">
        <f>Лист1!AB32</f>
        <v>10443.83</v>
      </c>
      <c r="H38" s="287">
        <f>Лист1!AC32</f>
        <v>13440.240000000003</v>
      </c>
      <c r="I38" s="289">
        <f>Лист1!AF32</f>
        <v>2401.98614</v>
      </c>
      <c r="J38" s="288">
        <f>Лист1!AG32</f>
        <v>831.24</v>
      </c>
      <c r="K38" s="286">
        <f>Лист1!AI32+Лист1!AJ32</f>
        <v>1385.4</v>
      </c>
      <c r="L38" s="286">
        <f>Лист1!AH32+Лист1!AK32+Лист1!AL32+Лист1!AM32+Лист1!AN32+Лист1!AO32+Лист1!AP32</f>
        <v>4751.9220000000005</v>
      </c>
      <c r="M38" s="290">
        <f>Лист1!AS32+Лист1!AT32+Лист1!AU32</f>
        <v>0</v>
      </c>
      <c r="N38" s="290">
        <f>Лист1!AX32</f>
        <v>536.1999999999999</v>
      </c>
      <c r="O38" s="287">
        <f>Лист1!BB32</f>
        <v>7504.762</v>
      </c>
      <c r="P38" s="291">
        <f>Лист1!BC32</f>
        <v>990.039</v>
      </c>
      <c r="Q38" s="292">
        <f>Лист1!BE32</f>
        <v>7347.425140000004</v>
      </c>
      <c r="R38" s="292">
        <f>Лист1!BF32</f>
        <v>1456.5300000000007</v>
      </c>
      <c r="S38" s="295"/>
      <c r="T38" s="295"/>
    </row>
    <row r="39" spans="1:20" ht="12">
      <c r="A39" s="282" t="s">
        <v>46</v>
      </c>
      <c r="B39" s="283">
        <f>Лист1!B33</f>
        <v>1385.4</v>
      </c>
      <c r="C39" s="284">
        <f t="shared" si="5"/>
        <v>11983.710000000001</v>
      </c>
      <c r="D39" s="285">
        <f>Лист1!D33</f>
        <v>1145.620000000003</v>
      </c>
      <c r="E39" s="286">
        <f>Лист1!S33</f>
        <v>8987.32</v>
      </c>
      <c r="F39" s="287">
        <f>Лист1!T33</f>
        <v>1850.77</v>
      </c>
      <c r="G39" s="288">
        <f>Лист1!AB33</f>
        <v>7865.82</v>
      </c>
      <c r="H39" s="287">
        <f>Лист1!AC33</f>
        <v>10862.210000000003</v>
      </c>
      <c r="I39" s="289">
        <f>Лист1!AF33</f>
        <v>2401.98614</v>
      </c>
      <c r="J39" s="288">
        <f>Лист1!AG33</f>
        <v>831.24</v>
      </c>
      <c r="K39" s="286">
        <f>Лист1!AI33+Лист1!AJ33</f>
        <v>1385.4</v>
      </c>
      <c r="L39" s="286">
        <f>Лист1!AH33+Лист1!AK33+Лист1!AL33+Лист1!AM33+Лист1!AN33+Лист1!AO33+Лист1!AP33</f>
        <v>4751.9220000000005</v>
      </c>
      <c r="M39" s="290">
        <f>Лист1!AS33+Лист1!AT33+Лист1!AU33</f>
        <v>1453</v>
      </c>
      <c r="N39" s="290">
        <f>Лист1!AX33</f>
        <v>429.79999999999995</v>
      </c>
      <c r="O39" s="287">
        <f>Лист1!BB33</f>
        <v>8851.362</v>
      </c>
      <c r="P39" s="291">
        <f>Лист1!BC33</f>
        <v>990.039</v>
      </c>
      <c r="Q39" s="292">
        <f>Лист1!BE33</f>
        <v>3422.795140000004</v>
      </c>
      <c r="R39" s="292">
        <f>Лист1!BF33</f>
        <v>-1121.5</v>
      </c>
      <c r="S39" s="295"/>
      <c r="T39" s="295"/>
    </row>
    <row r="40" spans="1:20" ht="12">
      <c r="A40" s="282" t="s">
        <v>47</v>
      </c>
      <c r="B40" s="283">
        <f>Лист1!B34</f>
        <v>1385</v>
      </c>
      <c r="C40" s="284">
        <f t="shared" si="5"/>
        <v>11980.25</v>
      </c>
      <c r="D40" s="285">
        <f>Лист1!D34</f>
        <v>1145.56</v>
      </c>
      <c r="E40" s="286">
        <f>Лист1!S34</f>
        <v>8984.32</v>
      </c>
      <c r="F40" s="287">
        <f>Лист1!T34</f>
        <v>1850.37</v>
      </c>
      <c r="G40" s="288">
        <f>Лист1!AB34</f>
        <v>7125.829999999999</v>
      </c>
      <c r="H40" s="287">
        <f>Лист1!AC34</f>
        <v>10121.759999999998</v>
      </c>
      <c r="I40" s="289">
        <f>Лист1!AF34</f>
        <v>2401.98614</v>
      </c>
      <c r="J40" s="288">
        <f>Лист1!AG34</f>
        <v>831</v>
      </c>
      <c r="K40" s="286">
        <f>Лист1!AI34+Лист1!AJ34</f>
        <v>1385</v>
      </c>
      <c r="L40" s="286">
        <f>Лист1!AH34+Лист1!AK34+Лист1!AL34+Лист1!AM34+Лист1!AN34+Лист1!AO34+Лист1!AP34</f>
        <v>4750.55</v>
      </c>
      <c r="M40" s="290">
        <f>Лист1!AS34+Лист1!AT34+Лист1!AU34</f>
        <v>1346.27</v>
      </c>
      <c r="N40" s="290">
        <f>Лист1!AX34</f>
        <v>368.2</v>
      </c>
      <c r="O40" s="287">
        <f>Лист1!BB34</f>
        <v>8681.02</v>
      </c>
      <c r="P40" s="291">
        <f>Лист1!BC34</f>
        <v>990.039</v>
      </c>
      <c r="Q40" s="292">
        <f>Лист1!BE34</f>
        <v>2852.687139999998</v>
      </c>
      <c r="R40" s="292">
        <f>Лист1!BF34</f>
        <v>-1858.4900000000007</v>
      </c>
      <c r="S40" s="295"/>
      <c r="T40" s="295"/>
    </row>
    <row r="41" spans="1:20" ht="12">
      <c r="A41" s="282" t="s">
        <v>48</v>
      </c>
      <c r="B41" s="283">
        <f>Лист1!B35</f>
        <v>1385</v>
      </c>
      <c r="C41" s="284">
        <f t="shared" si="5"/>
        <v>11980.25</v>
      </c>
      <c r="D41" s="285">
        <f>Лист1!D35</f>
        <v>1145.5700000000002</v>
      </c>
      <c r="E41" s="286">
        <f>Лист1!S35</f>
        <v>8984.31</v>
      </c>
      <c r="F41" s="287">
        <f>Лист1!T35</f>
        <v>1850.37</v>
      </c>
      <c r="G41" s="288">
        <f>Лист1!AB35</f>
        <v>7752.860000000001</v>
      </c>
      <c r="H41" s="287">
        <f>Лист1!AC35</f>
        <v>10748.800000000001</v>
      </c>
      <c r="I41" s="289">
        <f>Лист1!AF35</f>
        <v>2401.98614</v>
      </c>
      <c r="J41" s="288">
        <f>Лист1!AG35</f>
        <v>831</v>
      </c>
      <c r="K41" s="286">
        <f>Лист1!AI35+Лист1!AJ35</f>
        <v>1385</v>
      </c>
      <c r="L41" s="286">
        <f>Лист1!AH35+Лист1!AK35+Лист1!AL35+Лист1!AM35+Лист1!AN35+Лист1!AO35+Лист1!AP35</f>
        <v>4750.55</v>
      </c>
      <c r="M41" s="290">
        <f>Лист1!AS35+Лист1!AT35+Лист1!AU35</f>
        <v>9246</v>
      </c>
      <c r="N41" s="290">
        <f>Лист1!AX35</f>
        <v>326.2</v>
      </c>
      <c r="O41" s="287">
        <f>Лист1!BB35</f>
        <v>16538.75</v>
      </c>
      <c r="P41" s="291">
        <f>Лист1!BC35</f>
        <v>990.039</v>
      </c>
      <c r="Q41" s="292">
        <f>Лист1!BE35</f>
        <v>-4378.002859999999</v>
      </c>
      <c r="R41" s="292">
        <f>Лист1!BF35</f>
        <v>-1231.449999999999</v>
      </c>
      <c r="S41" s="295"/>
      <c r="T41" s="295"/>
    </row>
    <row r="42" spans="1:20" ht="12">
      <c r="A42" s="282" t="s">
        <v>49</v>
      </c>
      <c r="B42" s="283">
        <f>Лист1!B36</f>
        <v>1385</v>
      </c>
      <c r="C42" s="284">
        <f t="shared" si="5"/>
        <v>11980.25</v>
      </c>
      <c r="D42" s="285">
        <f>Лист1!D36</f>
        <v>1131.0400000000013</v>
      </c>
      <c r="E42" s="286">
        <f>Лист1!S36</f>
        <v>10849.21</v>
      </c>
      <c r="F42" s="287">
        <f>Лист1!T36</f>
        <v>0</v>
      </c>
      <c r="G42" s="288">
        <f>Лист1!AB36</f>
        <v>7995.09</v>
      </c>
      <c r="H42" s="287">
        <f>Лист1!AC36</f>
        <v>9126.130000000001</v>
      </c>
      <c r="I42" s="289">
        <f>Лист1!AF36</f>
        <v>2401.98614</v>
      </c>
      <c r="J42" s="288">
        <f>Лист1!AG36</f>
        <v>831</v>
      </c>
      <c r="K42" s="286">
        <f>Лист1!AI36+Лист1!AJ36</f>
        <v>1385</v>
      </c>
      <c r="L42" s="286">
        <f>Лист1!AH36+Лист1!AK36+Лист1!AL36+Лист1!AM36+Лист1!AN36+Лист1!AO36+Лист1!AP36</f>
        <v>4750.55</v>
      </c>
      <c r="M42" s="290">
        <f>Лист1!AS36+Лист1!AT36+Лист1!AU36</f>
        <v>0</v>
      </c>
      <c r="N42" s="290">
        <f>Лист1!AX36</f>
        <v>347.2</v>
      </c>
      <c r="O42" s="287">
        <f>Лист1!BB36</f>
        <v>7313.75</v>
      </c>
      <c r="P42" s="291">
        <f>Лист1!BC36</f>
        <v>990.039</v>
      </c>
      <c r="Q42" s="292">
        <f>Лист1!BE36</f>
        <v>3224.3271400000012</v>
      </c>
      <c r="R42" s="292">
        <f>Лист1!BF36</f>
        <v>-2854.119999999999</v>
      </c>
      <c r="S42" s="295"/>
      <c r="T42" s="295"/>
    </row>
    <row r="43" spans="1:20" ht="12">
      <c r="A43" s="282" t="s">
        <v>50</v>
      </c>
      <c r="B43" s="283">
        <f>Лист1!B37</f>
        <v>1385</v>
      </c>
      <c r="C43" s="284">
        <f t="shared" si="5"/>
        <v>11980.25</v>
      </c>
      <c r="D43" s="285">
        <f>Лист1!D37</f>
        <v>1131.0400000000013</v>
      </c>
      <c r="E43" s="286">
        <f>Лист1!S37</f>
        <v>10849.21</v>
      </c>
      <c r="F43" s="287">
        <f>Лист1!T37</f>
        <v>0</v>
      </c>
      <c r="G43" s="288">
        <f>Лист1!AB37</f>
        <v>12034.669999999998</v>
      </c>
      <c r="H43" s="287">
        <f>Лист1!AC37</f>
        <v>13165.71</v>
      </c>
      <c r="I43" s="289">
        <f>Лист1!AF37</f>
        <v>2401.98614</v>
      </c>
      <c r="J43" s="288">
        <f>Лист1!AG37</f>
        <v>831</v>
      </c>
      <c r="K43" s="286">
        <f>Лист1!AI37+Лист1!AJ37</f>
        <v>1385</v>
      </c>
      <c r="L43" s="286">
        <f>Лист1!AH37+Лист1!AK37+Лист1!AL37+Лист1!AM37+Лист1!AN37+Лист1!AO37+Лист1!AP37</f>
        <v>4750.55</v>
      </c>
      <c r="M43" s="290">
        <f>Лист1!AS37+Лист1!AT37+Лист1!AU37</f>
        <v>3634.8</v>
      </c>
      <c r="N43" s="290">
        <f>Лист1!AX37</f>
        <v>410.2</v>
      </c>
      <c r="O43" s="287">
        <f>Лист1!BB37</f>
        <v>11011.55</v>
      </c>
      <c r="P43" s="291">
        <f>Лист1!BC37</f>
        <v>990.039</v>
      </c>
      <c r="Q43" s="292">
        <f>Лист1!BE37</f>
        <v>3566.10714</v>
      </c>
      <c r="R43" s="292">
        <f>Лист1!BF37</f>
        <v>1185.4599999999991</v>
      </c>
      <c r="S43" s="295"/>
      <c r="T43" s="295"/>
    </row>
    <row r="44" spans="1:20" ht="12">
      <c r="A44" s="282" t="s">
        <v>51</v>
      </c>
      <c r="B44" s="283">
        <f>Лист1!B38</f>
        <v>1385</v>
      </c>
      <c r="C44" s="284">
        <f t="shared" si="5"/>
        <v>11980.25</v>
      </c>
      <c r="D44" s="285">
        <f>Лист1!D38</f>
        <v>1131.0500000000015</v>
      </c>
      <c r="E44" s="286">
        <f>Лист1!S38</f>
        <v>10849.2</v>
      </c>
      <c r="F44" s="287">
        <f>Лист1!T38</f>
        <v>0</v>
      </c>
      <c r="G44" s="288">
        <f>Лист1!AB38</f>
        <v>10679.2</v>
      </c>
      <c r="H44" s="287">
        <f>Лист1!AC38</f>
        <v>11810.250000000002</v>
      </c>
      <c r="I44" s="289">
        <f>Лист1!AF38</f>
        <v>2401.98614</v>
      </c>
      <c r="J44" s="288">
        <f>Лист1!AG38</f>
        <v>831</v>
      </c>
      <c r="K44" s="286">
        <f>Лист1!AI38+Лист1!AJ38</f>
        <v>1385</v>
      </c>
      <c r="L44" s="286">
        <f>Лист1!AH38+Лист1!AK38+Лист1!AL38+Лист1!AM38+Лист1!AN38+Лист1!AO38+Лист1!AP38</f>
        <v>4750.55</v>
      </c>
      <c r="M44" s="290">
        <f>Лист1!AS38+Лист1!AT38+Лист1!AU38</f>
        <v>0</v>
      </c>
      <c r="N44" s="290">
        <f>Лист1!AX38</f>
        <v>488.59999999999997</v>
      </c>
      <c r="O44" s="287">
        <f>Лист1!BB38</f>
        <v>7455.150000000001</v>
      </c>
      <c r="P44" s="291">
        <f>Лист1!BC38</f>
        <v>990.039</v>
      </c>
      <c r="Q44" s="292">
        <f>Лист1!BE38</f>
        <v>5767.0471400000015</v>
      </c>
      <c r="R44" s="292">
        <f>Лист1!BF38</f>
        <v>-170</v>
      </c>
      <c r="S44" s="295"/>
      <c r="T44" s="295"/>
    </row>
    <row r="45" spans="1:20" ht="12">
      <c r="A45" s="282" t="s">
        <v>39</v>
      </c>
      <c r="B45" s="283">
        <f>Лист1!B39</f>
        <v>1385</v>
      </c>
      <c r="C45" s="284">
        <f>B45*8.65</f>
        <v>11980.25</v>
      </c>
      <c r="D45" s="285">
        <f>Лист1!D39</f>
        <v>1131.0400000000013</v>
      </c>
      <c r="E45" s="286">
        <f>Лист1!S39</f>
        <v>10849.21</v>
      </c>
      <c r="F45" s="287">
        <f>Лист1!T39</f>
        <v>0</v>
      </c>
      <c r="G45" s="288">
        <f>Лист1!AB39</f>
        <v>9612.51</v>
      </c>
      <c r="H45" s="287">
        <f>Лист1!AC39</f>
        <v>10743.550000000001</v>
      </c>
      <c r="I45" s="289">
        <f>Лист1!AF39</f>
        <v>2501.98614</v>
      </c>
      <c r="J45" s="288">
        <f>Лист1!AG39</f>
        <v>831</v>
      </c>
      <c r="K45" s="286">
        <f>Лист1!AI39+Лист1!AJ39</f>
        <v>1385</v>
      </c>
      <c r="L45" s="286">
        <f>Лист1!AH39+Лист1!AK39+Лист1!AL39+Лист1!AM39+Лист1!AN39+Лист1!AO39+Лист1!AP39</f>
        <v>4750.55</v>
      </c>
      <c r="M45" s="290">
        <f>Лист1!AS39+Лист1!AT39+Лист1!AU39</f>
        <v>290</v>
      </c>
      <c r="N45" s="290">
        <f>Лист1!AX39</f>
        <v>595</v>
      </c>
      <c r="O45" s="287">
        <f>Лист1!BB39</f>
        <v>7851.549999999999</v>
      </c>
      <c r="P45" s="291">
        <f>Лист1!BC39</f>
        <v>1015.039</v>
      </c>
      <c r="Q45" s="292">
        <f>Лист1!BE39</f>
        <v>4378.947140000002</v>
      </c>
      <c r="R45" s="292">
        <f>Лист1!BF39</f>
        <v>-1236.699999999999</v>
      </c>
      <c r="S45" s="295"/>
      <c r="T45" s="295"/>
    </row>
    <row r="46" spans="1:20" ht="12">
      <c r="A46" s="282" t="s">
        <v>40</v>
      </c>
      <c r="B46" s="283">
        <f>Лист1!B40</f>
        <v>1385</v>
      </c>
      <c r="C46" s="284">
        <f t="shared" si="5"/>
        <v>11980.25</v>
      </c>
      <c r="D46" s="285">
        <f>Лист1!D40</f>
        <v>1131.0400000000013</v>
      </c>
      <c r="E46" s="286">
        <f>Лист1!S40</f>
        <v>10849.21</v>
      </c>
      <c r="F46" s="287">
        <f>Лист1!T40</f>
        <v>0</v>
      </c>
      <c r="G46" s="288">
        <f>Лист1!AB40</f>
        <v>10084.869999999999</v>
      </c>
      <c r="H46" s="287">
        <f>Лист1!AC40</f>
        <v>11215.91</v>
      </c>
      <c r="I46" s="289">
        <f>Лист1!AF40</f>
        <v>2501.98614</v>
      </c>
      <c r="J46" s="288">
        <f>Лист1!AG40</f>
        <v>831</v>
      </c>
      <c r="K46" s="286">
        <f>Лист1!AI40+Лист1!AJ40</f>
        <v>1385</v>
      </c>
      <c r="L46" s="286">
        <f>Лист1!AH40+Лист1!AK40+Лист1!AL40+Лист1!AM40+Лист1!AN40+Лист1!AO40+Лист1!AP40</f>
        <v>4750.55</v>
      </c>
      <c r="M46" s="290">
        <f>Лист1!AS40+Лист1!AT40+Лист1!AU40</f>
        <v>0</v>
      </c>
      <c r="N46" s="290">
        <f>Лист1!AX40</f>
        <v>658</v>
      </c>
      <c r="O46" s="287">
        <f>Лист1!BB40</f>
        <v>7624.55</v>
      </c>
      <c r="P46" s="291">
        <f>Лист1!BC40</f>
        <v>1015.039</v>
      </c>
      <c r="Q46" s="292">
        <f>Лист1!BE40</f>
        <v>5078.30714</v>
      </c>
      <c r="R46" s="292">
        <f>Лист1!BF40</f>
        <v>-764.3400000000001</v>
      </c>
      <c r="S46" s="295"/>
      <c r="T46" s="295"/>
    </row>
    <row r="47" spans="1:20" ht="12.75" thickBot="1">
      <c r="A47" s="293" t="s">
        <v>41</v>
      </c>
      <c r="B47" s="283">
        <f>Лист1!B41</f>
        <v>1385</v>
      </c>
      <c r="C47" s="294">
        <f t="shared" si="5"/>
        <v>11980.25</v>
      </c>
      <c r="D47" s="285">
        <f>Лист1!D41</f>
        <v>1131.070000000001</v>
      </c>
      <c r="E47" s="286">
        <f>Лист1!S41</f>
        <v>10849.18</v>
      </c>
      <c r="F47" s="287">
        <f>Лист1!T41</f>
        <v>0</v>
      </c>
      <c r="G47" s="288">
        <f>Лист1!AB41</f>
        <v>12865.980000000001</v>
      </c>
      <c r="H47" s="287">
        <f>Лист1!AC41</f>
        <v>13997.050000000003</v>
      </c>
      <c r="I47" s="289">
        <f>Лист1!AF41</f>
        <v>2501.98614</v>
      </c>
      <c r="J47" s="288">
        <f>Лист1!AG41</f>
        <v>831</v>
      </c>
      <c r="K47" s="286">
        <f>Лист1!AI41+Лист1!AJ41</f>
        <v>1385</v>
      </c>
      <c r="L47" s="286">
        <f>Лист1!AH41+Лист1!AK41+Лист1!AL41+Лист1!AM41+Лист1!AN41+Лист1!AO41+Лист1!AP41</f>
        <v>4750.55</v>
      </c>
      <c r="M47" s="290">
        <f>Лист1!AS41+Лист1!AT41+Лист1!AU41</f>
        <v>0</v>
      </c>
      <c r="N47" s="290">
        <f>Лист1!AX41</f>
        <v>719.5999999999999</v>
      </c>
      <c r="O47" s="287">
        <f>Лист1!BB41</f>
        <v>7686.15</v>
      </c>
      <c r="P47" s="291">
        <f>Лист1!BC41</f>
        <v>1015.039</v>
      </c>
      <c r="Q47" s="292">
        <f>Лист1!BE41</f>
        <v>7797.8471400000035</v>
      </c>
      <c r="R47" s="292">
        <f>Лист1!BF41</f>
        <v>2016.800000000001</v>
      </c>
      <c r="S47" s="295"/>
      <c r="T47" s="295"/>
    </row>
    <row r="48" spans="1:20" s="304" customFormat="1" ht="12.75" thickBot="1">
      <c r="A48" s="296" t="s">
        <v>3</v>
      </c>
      <c r="B48" s="297"/>
      <c r="C48" s="298">
        <f aca="true" t="shared" si="6" ref="C48:R48">SUM(C36:C47)</f>
        <v>143776.84</v>
      </c>
      <c r="D48" s="299">
        <f t="shared" si="6"/>
        <v>13659.900000000018</v>
      </c>
      <c r="E48" s="298">
        <f t="shared" si="6"/>
        <v>119013.10999999999</v>
      </c>
      <c r="F48" s="300">
        <f t="shared" si="6"/>
        <v>11103.829999999998</v>
      </c>
      <c r="G48" s="299">
        <f t="shared" si="6"/>
        <v>110870.76999999997</v>
      </c>
      <c r="H48" s="300">
        <f t="shared" si="6"/>
        <v>135634.50000000003</v>
      </c>
      <c r="I48" s="300">
        <f t="shared" si="6"/>
        <v>29123.833680000007</v>
      </c>
      <c r="J48" s="299">
        <f t="shared" si="6"/>
        <v>9972.96</v>
      </c>
      <c r="K48" s="298">
        <f t="shared" si="6"/>
        <v>16621.6</v>
      </c>
      <c r="L48" s="298">
        <f t="shared" si="6"/>
        <v>59115.928000000014</v>
      </c>
      <c r="M48" s="298">
        <f t="shared" si="6"/>
        <v>15970.07</v>
      </c>
      <c r="N48" s="298">
        <f t="shared" si="6"/>
        <v>6160</v>
      </c>
      <c r="O48" s="300">
        <f t="shared" si="6"/>
        <v>107840.55799999999</v>
      </c>
      <c r="P48" s="300">
        <f t="shared" si="6"/>
        <v>11955.468</v>
      </c>
      <c r="Q48" s="301">
        <f t="shared" si="6"/>
        <v>44962.30768000003</v>
      </c>
      <c r="R48" s="301">
        <f t="shared" si="6"/>
        <v>-8142.3399999999965</v>
      </c>
      <c r="S48" s="303"/>
      <c r="T48" s="303"/>
    </row>
    <row r="49" spans="1:20" ht="12.75" thickBot="1">
      <c r="A49" s="413" t="s">
        <v>68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313"/>
      <c r="S49" s="295"/>
      <c r="T49" s="295"/>
    </row>
    <row r="50" spans="1:20" s="304" customFormat="1" ht="12.75" thickBot="1">
      <c r="A50" s="314" t="s">
        <v>52</v>
      </c>
      <c r="B50" s="315"/>
      <c r="C50" s="316">
        <f>C34+C48</f>
        <v>323397.55000000005</v>
      </c>
      <c r="D50" s="317">
        <f aca="true" t="shared" si="7" ref="D50:O50">D34+D48</f>
        <v>37531.41632630004</v>
      </c>
      <c r="E50" s="315">
        <f t="shared" si="7"/>
        <v>246794.31</v>
      </c>
      <c r="F50" s="316">
        <f t="shared" si="7"/>
        <v>38421.509999999995</v>
      </c>
      <c r="G50" s="317">
        <f t="shared" si="7"/>
        <v>227485.15999999997</v>
      </c>
      <c r="H50" s="316">
        <f t="shared" si="7"/>
        <v>303438.08632630005</v>
      </c>
      <c r="I50" s="316">
        <f t="shared" si="7"/>
        <v>41400.49164000001</v>
      </c>
      <c r="J50" s="317">
        <f t="shared" si="7"/>
        <v>22099.992</v>
      </c>
      <c r="K50" s="315">
        <f t="shared" si="7"/>
        <v>36686.86693649</v>
      </c>
      <c r="L50" s="315">
        <f t="shared" si="7"/>
        <v>127961.08077135282</v>
      </c>
      <c r="M50" s="315">
        <f t="shared" si="7"/>
        <v>67663.6852</v>
      </c>
      <c r="N50" s="315">
        <f t="shared" si="7"/>
        <v>11975.042000000001</v>
      </c>
      <c r="O50" s="318">
        <f t="shared" si="7"/>
        <v>266386.66690784285</v>
      </c>
      <c r="P50" s="318">
        <f>Лист1!BC44</f>
        <v>16953.2044749942</v>
      </c>
      <c r="Q50" s="319">
        <f>Q34+Q48</f>
        <v>61498.70658346305</v>
      </c>
      <c r="R50" s="319">
        <f>R34+R48</f>
        <v>-19309.149999999998</v>
      </c>
      <c r="S50" s="320"/>
      <c r="T50" s="303"/>
    </row>
    <row r="51" ht="12" hidden="1"/>
    <row r="52" spans="1:20" ht="12" hidden="1">
      <c r="A52" s="304" t="s">
        <v>69</v>
      </c>
      <c r="D52" s="265" t="s">
        <v>92</v>
      </c>
      <c r="S52" s="295"/>
      <c r="T52" s="295"/>
    </row>
    <row r="53" spans="1:20" ht="12" hidden="1">
      <c r="A53" s="321" t="s">
        <v>70</v>
      </c>
      <c r="B53" s="321" t="s">
        <v>71</v>
      </c>
      <c r="C53" s="415" t="s">
        <v>72</v>
      </c>
      <c r="D53" s="415"/>
      <c r="S53" s="295"/>
      <c r="T53" s="295"/>
    </row>
    <row r="54" spans="1:20" ht="12" hidden="1">
      <c r="A54" s="321">
        <v>94728.91</v>
      </c>
      <c r="B54" s="321">
        <v>183610</v>
      </c>
      <c r="C54" s="409">
        <f>A54-B54</f>
        <v>-88881.09</v>
      </c>
      <c r="D54" s="410"/>
      <c r="S54" s="295"/>
      <c r="T54" s="295"/>
    </row>
    <row r="55" spans="1:20" ht="15.75" customHeight="1">
      <c r="A55" s="322"/>
      <c r="S55" s="295"/>
      <c r="T55" s="295"/>
    </row>
    <row r="56" spans="1:20" ht="12">
      <c r="A56" s="265" t="s">
        <v>77</v>
      </c>
      <c r="G56" s="265" t="s">
        <v>78</v>
      </c>
      <c r="S56" s="295"/>
      <c r="T56" s="295"/>
    </row>
    <row r="57" ht="12">
      <c r="A57" s="295"/>
    </row>
    <row r="58" ht="12">
      <c r="A58" s="295"/>
    </row>
    <row r="59" ht="12">
      <c r="A59" s="265" t="s">
        <v>120</v>
      </c>
    </row>
    <row r="60" ht="12">
      <c r="A60" s="265" t="s">
        <v>79</v>
      </c>
    </row>
  </sheetData>
  <sheetProtection/>
  <mergeCells count="29">
    <mergeCell ref="A49:Q49"/>
    <mergeCell ref="C9:C12"/>
    <mergeCell ref="D9:D12"/>
    <mergeCell ref="B1:H1"/>
    <mergeCell ref="B2:H2"/>
    <mergeCell ref="A8:D8"/>
    <mergeCell ref="E8:F8"/>
    <mergeCell ref="A5:Q5"/>
    <mergeCell ref="A6:G6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54:D54"/>
    <mergeCell ref="O11:O12"/>
    <mergeCell ref="A33:Q33"/>
    <mergeCell ref="C53:D53"/>
    <mergeCell ref="I9:I12"/>
    <mergeCell ref="P9:P12"/>
    <mergeCell ref="J9:O10"/>
    <mergeCell ref="Q9:Q12"/>
    <mergeCell ref="A9:A12"/>
    <mergeCell ref="B9:B12"/>
  </mergeCells>
  <printOptions/>
  <pageMargins left="0.2362204724409449" right="0.15748031496062992" top="0.2362204724409449" bottom="0.2755905511811024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40"/>
  <sheetViews>
    <sheetView zoomScalePageLayoutView="0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7" sqref="C37"/>
    </sheetView>
  </sheetViews>
  <sheetFormatPr defaultColWidth="9.00390625" defaultRowHeight="12.75"/>
  <cols>
    <col min="1" max="1" width="9.75390625" style="123" customWidth="1"/>
    <col min="2" max="2" width="9.125" style="123" customWidth="1"/>
    <col min="3" max="3" width="14.75390625" style="123" customWidth="1"/>
    <col min="4" max="4" width="10.375" style="123" customWidth="1"/>
    <col min="5" max="6" width="9.125" style="123" customWidth="1"/>
    <col min="7" max="7" width="10.25390625" style="123" customWidth="1"/>
    <col min="8" max="8" width="9.125" style="123" customWidth="1"/>
    <col min="9" max="9" width="9.875" style="123" customWidth="1"/>
    <col min="10" max="10" width="9.125" style="123" customWidth="1"/>
    <col min="11" max="11" width="10.375" style="123" customWidth="1"/>
    <col min="12" max="12" width="9.125" style="123" customWidth="1"/>
    <col min="13" max="13" width="10.125" style="123" bestFit="1" customWidth="1"/>
    <col min="14" max="14" width="9.125" style="123" customWidth="1"/>
    <col min="15" max="15" width="10.125" style="123" bestFit="1" customWidth="1"/>
    <col min="16" max="18" width="9.125" style="123" customWidth="1"/>
    <col min="19" max="19" width="10.125" style="123" bestFit="1" customWidth="1"/>
    <col min="20" max="20" width="10.125" style="123" customWidth="1"/>
    <col min="21" max="21" width="10.125" style="123" bestFit="1" customWidth="1"/>
    <col min="22" max="22" width="10.375" style="123" customWidth="1"/>
    <col min="23" max="23" width="10.625" style="123" customWidth="1"/>
    <col min="24" max="24" width="10.125" style="123" customWidth="1"/>
    <col min="25" max="28" width="10.125" style="123" bestFit="1" customWidth="1"/>
    <col min="29" max="30" width="11.375" style="123" customWidth="1"/>
    <col min="31" max="31" width="9.25390625" style="123" bestFit="1" customWidth="1"/>
    <col min="32" max="32" width="10.125" style="123" bestFit="1" customWidth="1"/>
    <col min="33" max="33" width="10.25390625" style="123" customWidth="1"/>
    <col min="34" max="35" width="9.25390625" style="123" bestFit="1" customWidth="1"/>
    <col min="36" max="36" width="11.75390625" style="123" customWidth="1"/>
    <col min="37" max="38" width="9.25390625" style="123" bestFit="1" customWidth="1"/>
    <col min="39" max="39" width="10.125" style="123" bestFit="1" customWidth="1"/>
    <col min="40" max="40" width="9.25390625" style="123" bestFit="1" customWidth="1"/>
    <col min="41" max="42" width="10.125" style="123" bestFit="1" customWidth="1"/>
    <col min="43" max="45" width="9.25390625" style="123" customWidth="1"/>
    <col min="46" max="46" width="10.125" style="123" bestFit="1" customWidth="1"/>
    <col min="47" max="47" width="11.625" style="123" customWidth="1"/>
    <col min="48" max="48" width="10.875" style="123" customWidth="1"/>
    <col min="49" max="49" width="10.625" style="123" customWidth="1"/>
    <col min="50" max="50" width="9.25390625" style="123" customWidth="1"/>
    <col min="51" max="51" width="10.625" style="123" customWidth="1"/>
    <col min="52" max="52" width="9.25390625" style="123" bestFit="1" customWidth="1"/>
    <col min="53" max="54" width="10.125" style="123" bestFit="1" customWidth="1"/>
    <col min="55" max="56" width="11.625" style="123" customWidth="1"/>
    <col min="57" max="57" width="12.625" style="123" customWidth="1"/>
    <col min="58" max="58" width="14.00390625" style="123" customWidth="1"/>
    <col min="59" max="59" width="10.375" style="123" customWidth="1"/>
    <col min="60" max="16384" width="9.125" style="123" customWidth="1"/>
  </cols>
  <sheetData>
    <row r="1" spans="1:18" ht="21" customHeight="1">
      <c r="A1" s="384" t="s">
        <v>124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122"/>
      <c r="P1" s="122"/>
      <c r="Q1" s="122"/>
      <c r="R1" s="122"/>
    </row>
    <row r="2" spans="1:18" ht="13.5" thickBot="1">
      <c r="A2" s="122"/>
      <c r="B2" s="124"/>
      <c r="C2" s="125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59" ht="29.25" customHeight="1" thickBot="1">
      <c r="A3" s="359" t="s">
        <v>94</v>
      </c>
      <c r="B3" s="386" t="s">
        <v>0</v>
      </c>
      <c r="C3" s="388" t="s">
        <v>1</v>
      </c>
      <c r="D3" s="390" t="s">
        <v>2</v>
      </c>
      <c r="E3" s="359" t="s">
        <v>95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99"/>
      <c r="S3" s="359"/>
      <c r="T3" s="360"/>
      <c r="U3" s="359" t="s">
        <v>3</v>
      </c>
      <c r="V3" s="360"/>
      <c r="W3" s="363" t="s">
        <v>4</v>
      </c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491"/>
      <c r="AJ3" s="493" t="s">
        <v>73</v>
      </c>
      <c r="AK3" s="374" t="s">
        <v>8</v>
      </c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6"/>
      <c r="BF3" s="403" t="s">
        <v>9</v>
      </c>
      <c r="BG3" s="480" t="s">
        <v>10</v>
      </c>
    </row>
    <row r="4" spans="1:59" ht="51.75" customHeight="1" hidden="1" thickBot="1">
      <c r="A4" s="385"/>
      <c r="B4" s="387"/>
      <c r="C4" s="389"/>
      <c r="D4" s="391"/>
      <c r="E4" s="385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2"/>
      <c r="S4" s="361"/>
      <c r="T4" s="362"/>
      <c r="U4" s="361"/>
      <c r="V4" s="362"/>
      <c r="W4" s="365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492"/>
      <c r="AJ4" s="494"/>
      <c r="AK4" s="353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8"/>
      <c r="BF4" s="404"/>
      <c r="BG4" s="481"/>
    </row>
    <row r="5" spans="1:59" ht="19.5" customHeight="1">
      <c r="A5" s="385"/>
      <c r="B5" s="387"/>
      <c r="C5" s="389"/>
      <c r="D5" s="391"/>
      <c r="E5" s="483" t="s">
        <v>11</v>
      </c>
      <c r="F5" s="484"/>
      <c r="G5" s="483" t="s">
        <v>96</v>
      </c>
      <c r="H5" s="484"/>
      <c r="I5" s="483" t="s">
        <v>12</v>
      </c>
      <c r="J5" s="484"/>
      <c r="K5" s="483" t="s">
        <v>14</v>
      </c>
      <c r="L5" s="484"/>
      <c r="M5" s="483" t="s">
        <v>13</v>
      </c>
      <c r="N5" s="484"/>
      <c r="O5" s="487" t="s">
        <v>15</v>
      </c>
      <c r="P5" s="487"/>
      <c r="Q5" s="483" t="s">
        <v>97</v>
      </c>
      <c r="R5" s="484"/>
      <c r="S5" s="487" t="s">
        <v>98</v>
      </c>
      <c r="T5" s="484"/>
      <c r="U5" s="342" t="s">
        <v>18</v>
      </c>
      <c r="V5" s="370" t="s">
        <v>19</v>
      </c>
      <c r="W5" s="476" t="s">
        <v>20</v>
      </c>
      <c r="X5" s="476" t="s">
        <v>99</v>
      </c>
      <c r="Y5" s="476" t="s">
        <v>21</v>
      </c>
      <c r="Z5" s="476" t="s">
        <v>23</v>
      </c>
      <c r="AA5" s="476" t="s">
        <v>22</v>
      </c>
      <c r="AB5" s="476" t="s">
        <v>24</v>
      </c>
      <c r="AC5" s="476" t="s">
        <v>25</v>
      </c>
      <c r="AD5" s="478" t="s">
        <v>26</v>
      </c>
      <c r="AE5" s="478" t="s">
        <v>100</v>
      </c>
      <c r="AF5" s="467" t="s">
        <v>27</v>
      </c>
      <c r="AG5" s="469" t="s">
        <v>86</v>
      </c>
      <c r="AH5" s="471" t="s">
        <v>6</v>
      </c>
      <c r="AI5" s="473" t="s">
        <v>7</v>
      </c>
      <c r="AJ5" s="494"/>
      <c r="AK5" s="475" t="s">
        <v>101</v>
      </c>
      <c r="AL5" s="466" t="s">
        <v>102</v>
      </c>
      <c r="AM5" s="466" t="s">
        <v>103</v>
      </c>
      <c r="AN5" s="338" t="s">
        <v>104</v>
      </c>
      <c r="AO5" s="466" t="s">
        <v>105</v>
      </c>
      <c r="AP5" s="338" t="s">
        <v>106</v>
      </c>
      <c r="AQ5" s="338" t="s">
        <v>107</v>
      </c>
      <c r="AR5" s="338" t="s">
        <v>108</v>
      </c>
      <c r="AS5" s="338" t="s">
        <v>109</v>
      </c>
      <c r="AT5" s="338" t="s">
        <v>34</v>
      </c>
      <c r="AU5" s="463" t="s">
        <v>110</v>
      </c>
      <c r="AV5" s="394" t="s">
        <v>111</v>
      </c>
      <c r="AW5" s="463" t="s">
        <v>112</v>
      </c>
      <c r="AX5" s="464" t="s">
        <v>113</v>
      </c>
      <c r="AY5" s="126"/>
      <c r="AZ5" s="350" t="s">
        <v>17</v>
      </c>
      <c r="BA5" s="338" t="s">
        <v>36</v>
      </c>
      <c r="BB5" s="338" t="s">
        <v>31</v>
      </c>
      <c r="BC5" s="461" t="s">
        <v>37</v>
      </c>
      <c r="BD5" s="406" t="s">
        <v>76</v>
      </c>
      <c r="BE5" s="338" t="s">
        <v>88</v>
      </c>
      <c r="BF5" s="404"/>
      <c r="BG5" s="481"/>
    </row>
    <row r="6" spans="1:59" ht="56.25" customHeight="1" thickBot="1">
      <c r="A6" s="385"/>
      <c r="B6" s="387"/>
      <c r="C6" s="389"/>
      <c r="D6" s="391"/>
      <c r="E6" s="485"/>
      <c r="F6" s="486"/>
      <c r="G6" s="485"/>
      <c r="H6" s="486"/>
      <c r="I6" s="485"/>
      <c r="J6" s="486"/>
      <c r="K6" s="485"/>
      <c r="L6" s="486"/>
      <c r="M6" s="485"/>
      <c r="N6" s="486"/>
      <c r="O6" s="488"/>
      <c r="P6" s="488"/>
      <c r="Q6" s="485"/>
      <c r="R6" s="486"/>
      <c r="S6" s="489"/>
      <c r="T6" s="486"/>
      <c r="U6" s="490"/>
      <c r="V6" s="496"/>
      <c r="W6" s="477"/>
      <c r="X6" s="477"/>
      <c r="Y6" s="477"/>
      <c r="Z6" s="477"/>
      <c r="AA6" s="477"/>
      <c r="AB6" s="477"/>
      <c r="AC6" s="477"/>
      <c r="AD6" s="479"/>
      <c r="AE6" s="479"/>
      <c r="AF6" s="468"/>
      <c r="AG6" s="470"/>
      <c r="AH6" s="472"/>
      <c r="AI6" s="474"/>
      <c r="AJ6" s="495"/>
      <c r="AK6" s="355"/>
      <c r="AL6" s="373"/>
      <c r="AM6" s="373"/>
      <c r="AN6" s="339"/>
      <c r="AO6" s="373"/>
      <c r="AP6" s="339"/>
      <c r="AQ6" s="339"/>
      <c r="AR6" s="339"/>
      <c r="AS6" s="339"/>
      <c r="AT6" s="339"/>
      <c r="AU6" s="341"/>
      <c r="AV6" s="395"/>
      <c r="AW6" s="341"/>
      <c r="AX6" s="465"/>
      <c r="AY6" s="45" t="s">
        <v>114</v>
      </c>
      <c r="AZ6" s="351"/>
      <c r="BA6" s="339"/>
      <c r="BB6" s="339"/>
      <c r="BC6" s="462"/>
      <c r="BD6" s="408"/>
      <c r="BE6" s="339"/>
      <c r="BF6" s="405"/>
      <c r="BG6" s="482"/>
    </row>
    <row r="7" spans="1:59" ht="19.5" customHeight="1" thickBot="1">
      <c r="A7" s="127">
        <v>1</v>
      </c>
      <c r="B7" s="128">
        <v>2</v>
      </c>
      <c r="C7" s="128">
        <v>3</v>
      </c>
      <c r="D7" s="127">
        <v>4</v>
      </c>
      <c r="E7" s="128">
        <v>5</v>
      </c>
      <c r="F7" s="128">
        <v>6</v>
      </c>
      <c r="G7" s="127">
        <v>7</v>
      </c>
      <c r="H7" s="128">
        <v>8</v>
      </c>
      <c r="I7" s="128">
        <v>9</v>
      </c>
      <c r="J7" s="127">
        <v>10</v>
      </c>
      <c r="K7" s="128">
        <v>11</v>
      </c>
      <c r="L7" s="128">
        <v>12</v>
      </c>
      <c r="M7" s="127">
        <v>13</v>
      </c>
      <c r="N7" s="128">
        <v>14</v>
      </c>
      <c r="O7" s="128">
        <v>15</v>
      </c>
      <c r="P7" s="127">
        <v>16</v>
      </c>
      <c r="Q7" s="128">
        <v>17</v>
      </c>
      <c r="R7" s="128">
        <v>18</v>
      </c>
      <c r="S7" s="127">
        <v>19</v>
      </c>
      <c r="T7" s="128">
        <v>20</v>
      </c>
      <c r="U7" s="128">
        <v>21</v>
      </c>
      <c r="V7" s="127">
        <v>22</v>
      </c>
      <c r="W7" s="128">
        <v>23</v>
      </c>
      <c r="X7" s="127">
        <v>24</v>
      </c>
      <c r="Y7" s="128">
        <v>25</v>
      </c>
      <c r="Z7" s="127">
        <v>26</v>
      </c>
      <c r="AA7" s="128">
        <v>27</v>
      </c>
      <c r="AB7" s="127">
        <v>28</v>
      </c>
      <c r="AC7" s="128">
        <v>29</v>
      </c>
      <c r="AD7" s="127">
        <v>30</v>
      </c>
      <c r="AE7" s="127">
        <v>31</v>
      </c>
      <c r="AF7" s="128">
        <v>32</v>
      </c>
      <c r="AG7" s="127">
        <v>33</v>
      </c>
      <c r="AH7" s="128">
        <v>34</v>
      </c>
      <c r="AI7" s="127">
        <v>35</v>
      </c>
      <c r="AJ7" s="128">
        <v>36</v>
      </c>
      <c r="AK7" s="127">
        <v>37</v>
      </c>
      <c r="AL7" s="128">
        <v>38</v>
      </c>
      <c r="AM7" s="127">
        <v>39</v>
      </c>
      <c r="AN7" s="127">
        <v>40</v>
      </c>
      <c r="AO7" s="128">
        <v>41</v>
      </c>
      <c r="AP7" s="127">
        <v>42</v>
      </c>
      <c r="AQ7" s="128">
        <v>43</v>
      </c>
      <c r="AR7" s="127"/>
      <c r="AS7" s="127">
        <v>44</v>
      </c>
      <c r="AT7" s="128">
        <v>45</v>
      </c>
      <c r="AU7" s="127">
        <v>46</v>
      </c>
      <c r="AV7" s="128">
        <v>47</v>
      </c>
      <c r="AW7" s="127">
        <v>48</v>
      </c>
      <c r="AX7" s="127">
        <v>49</v>
      </c>
      <c r="AY7" s="128"/>
      <c r="AZ7" s="128">
        <v>50</v>
      </c>
      <c r="BA7" s="128">
        <v>51</v>
      </c>
      <c r="BB7" s="128">
        <v>52</v>
      </c>
      <c r="BC7" s="128">
        <v>53</v>
      </c>
      <c r="BD7" s="128">
        <v>54</v>
      </c>
      <c r="BE7" s="128"/>
      <c r="BF7" s="128">
        <v>55</v>
      </c>
      <c r="BG7" s="128">
        <v>56</v>
      </c>
    </row>
    <row r="8" spans="1:59" s="15" customFormat="1" ht="13.5" thickBot="1">
      <c r="A8" s="16" t="s">
        <v>52</v>
      </c>
      <c r="B8" s="129"/>
      <c r="C8" s="129">
        <f>Лист1!C44</f>
        <v>323397.55000000005</v>
      </c>
      <c r="D8" s="129">
        <f>Лист1!D44</f>
        <v>37531.41632630004</v>
      </c>
      <c r="E8" s="129">
        <f>Лист1!E44</f>
        <v>28496.069999999992</v>
      </c>
      <c r="F8" s="129">
        <f>Лист1!F44</f>
        <v>4436.09</v>
      </c>
      <c r="G8" s="129">
        <f>0</f>
        <v>0</v>
      </c>
      <c r="H8" s="129">
        <f>0</f>
        <v>0</v>
      </c>
      <c r="I8" s="129">
        <f>Лист1!G44</f>
        <v>38567.229999999996</v>
      </c>
      <c r="J8" s="129">
        <f>Лист1!H44</f>
        <v>6005.280000000001</v>
      </c>
      <c r="K8" s="129">
        <f>Лист1!K44</f>
        <v>64212.630000000005</v>
      </c>
      <c r="L8" s="129">
        <f>Лист1!L44</f>
        <v>9997.800000000001</v>
      </c>
      <c r="M8" s="129">
        <f>Лист1!I44</f>
        <v>92721.03000000001</v>
      </c>
      <c r="N8" s="129">
        <f>Лист1!J44</f>
        <v>14433.77</v>
      </c>
      <c r="O8" s="129">
        <f>Лист1!M44</f>
        <v>22797.35</v>
      </c>
      <c r="P8" s="129">
        <f>Лист1!N44</f>
        <v>3548.57</v>
      </c>
      <c r="Q8" s="129">
        <f>'[7]Лист1'!O44</f>
        <v>0</v>
      </c>
      <c r="R8" s="129">
        <f>'[7]Лист1'!P44</f>
        <v>0</v>
      </c>
      <c r="S8" s="129">
        <f>'[7]Лист1'!Q44</f>
        <v>0</v>
      </c>
      <c r="T8" s="129">
        <f>'[7]Лист1'!R44</f>
        <v>0</v>
      </c>
      <c r="U8" s="129">
        <f>Лист1!S44</f>
        <v>246794.31</v>
      </c>
      <c r="V8" s="129">
        <f>Лист1!T44</f>
        <v>38421.509999999995</v>
      </c>
      <c r="W8" s="129">
        <f>Лист1!U44</f>
        <v>26192.34</v>
      </c>
      <c r="X8" s="129">
        <v>0</v>
      </c>
      <c r="Y8" s="129">
        <f>Лист1!V44</f>
        <v>35444.89</v>
      </c>
      <c r="Z8" s="129">
        <f>Лист1!X44</f>
        <v>59017.58</v>
      </c>
      <c r="AA8" s="129">
        <f>Лист1!W44</f>
        <v>85876.15</v>
      </c>
      <c r="AB8" s="129">
        <f>Лист1!Y44</f>
        <v>20954.199999999997</v>
      </c>
      <c r="AC8" s="129">
        <f>'[8]Лист1'!Z46</f>
        <v>0</v>
      </c>
      <c r="AD8" s="129">
        <f>'[8]Лист1'!AA46</f>
        <v>0</v>
      </c>
      <c r="AF8" s="129">
        <f>Лист1!AB44</f>
        <v>227485.15999999997</v>
      </c>
      <c r="AG8" s="129">
        <f>Лист1!AC44</f>
        <v>303438.08632630005</v>
      </c>
      <c r="AH8" s="129">
        <f>'[8]Лист1'!AD46</f>
        <v>0</v>
      </c>
      <c r="AI8" s="129">
        <f>'[8]Лист1'!AE46</f>
        <v>0</v>
      </c>
      <c r="AJ8" s="129">
        <f>Лист1!AF44</f>
        <v>41400.49164000001</v>
      </c>
      <c r="AK8" s="129">
        <f>Лист1!AG44</f>
        <v>22099.992</v>
      </c>
      <c r="AL8" s="129">
        <f>Лист1!AH44</f>
        <v>7405.2997904</v>
      </c>
      <c r="AM8" s="129">
        <f>Лист1!AI44+Лист1!AJ44</f>
        <v>36686.866936490005</v>
      </c>
      <c r="AN8" s="129">
        <v>0</v>
      </c>
      <c r="AO8" s="129">
        <f>Лист1!AK44+Лист1!AL44</f>
        <v>36591.927792721996</v>
      </c>
      <c r="AP8" s="129">
        <f>Лист1!AM44+Лист1!AN44</f>
        <v>81860.01318823082</v>
      </c>
      <c r="AQ8" s="129">
        <v>0</v>
      </c>
      <c r="AR8" s="129">
        <v>0</v>
      </c>
      <c r="AS8" s="129">
        <v>0</v>
      </c>
      <c r="AT8" s="129">
        <f>Лист1!AO44</f>
        <v>2103.84</v>
      </c>
      <c r="AU8" s="129">
        <f>Лист1!AS44+Лист1!AU44</f>
        <v>66242.6152</v>
      </c>
      <c r="AV8" s="129">
        <f>0</f>
        <v>0</v>
      </c>
      <c r="AW8" s="129">
        <f>Лист1!AT44</f>
        <v>1421.07</v>
      </c>
      <c r="AX8" s="129">
        <f>Лист1!AQ44</f>
        <v>0</v>
      </c>
      <c r="AY8" s="130">
        <f>Лист1!AX44</f>
        <v>11975.042000000001</v>
      </c>
      <c r="AZ8" s="130">
        <f>'[8]Лист1'!AY46</f>
        <v>0</v>
      </c>
      <c r="BA8" s="130">
        <f>Лист1!AZ44</f>
        <v>0</v>
      </c>
      <c r="BB8" s="130">
        <v>0</v>
      </c>
      <c r="BC8" s="130">
        <f>Лист1!BB44</f>
        <v>266386.66690784285</v>
      </c>
      <c r="BD8" s="130">
        <f>Лист1!BC44</f>
        <v>16953.2044749942</v>
      </c>
      <c r="BE8" s="131">
        <f>BD8+BC8</f>
        <v>283339.87138283707</v>
      </c>
      <c r="BF8" s="132">
        <f>Лист1!BE44</f>
        <v>61498.70658346305</v>
      </c>
      <c r="BG8" s="132">
        <f>Лист1!BF44</f>
        <v>-19309.149999999998</v>
      </c>
    </row>
    <row r="9" spans="1:59" ht="12.75">
      <c r="A9" s="5" t="s">
        <v>119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4"/>
      <c r="BF9" s="132"/>
      <c r="BG9" s="135"/>
    </row>
    <row r="10" spans="1:65" ht="12.75">
      <c r="A10" s="136" t="s">
        <v>43</v>
      </c>
      <c r="B10" s="137">
        <v>1385</v>
      </c>
      <c r="C10" s="92">
        <f aca="true" t="shared" si="0" ref="C10:C21">B10*8.55</f>
        <v>11841.750000000002</v>
      </c>
      <c r="D10" s="109">
        <v>72.318</v>
      </c>
      <c r="E10" s="139">
        <v>0</v>
      </c>
      <c r="F10" s="138">
        <v>0</v>
      </c>
      <c r="G10" s="139">
        <v>7300.69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3492.79</v>
      </c>
      <c r="N10" s="139">
        <v>0</v>
      </c>
      <c r="O10" s="140">
        <v>1211.36</v>
      </c>
      <c r="P10" s="141">
        <v>0</v>
      </c>
      <c r="Q10" s="142">
        <v>0</v>
      </c>
      <c r="R10" s="143">
        <v>0</v>
      </c>
      <c r="S10" s="144">
        <v>0</v>
      </c>
      <c r="T10" s="145">
        <v>0</v>
      </c>
      <c r="U10" s="146">
        <f aca="true" t="shared" si="1" ref="U10:V21">E10+G10+I10+K10+M10+O10+Q10+S10</f>
        <v>12004.84</v>
      </c>
      <c r="V10" s="147">
        <f t="shared" si="1"/>
        <v>0</v>
      </c>
      <c r="W10" s="139">
        <v>930.31</v>
      </c>
      <c r="X10" s="139"/>
      <c r="Y10" s="139">
        <v>1260.43</v>
      </c>
      <c r="Z10" s="139">
        <v>2097.72</v>
      </c>
      <c r="AA10" s="139">
        <v>3028</v>
      </c>
      <c r="AB10" s="139">
        <v>744.21</v>
      </c>
      <c r="AC10" s="139">
        <v>0</v>
      </c>
      <c r="AD10" s="138">
        <v>0</v>
      </c>
      <c r="AE10" s="148">
        <v>0</v>
      </c>
      <c r="AF10" s="148">
        <f>SUM(W10:AE10)</f>
        <v>8060.669999999999</v>
      </c>
      <c r="AG10" s="149">
        <f>AF10+V10+D10</f>
        <v>8132.987999999999</v>
      </c>
      <c r="AH10" s="150">
        <f aca="true" t="shared" si="2" ref="AH10:AI21">AC10</f>
        <v>0</v>
      </c>
      <c r="AI10" s="150">
        <f t="shared" si="2"/>
        <v>0</v>
      </c>
      <c r="AJ10" s="151">
        <f>'[9]Т01'!$I$67+'[9]Т01'!$I$73+'[9]Т01'!$I$109+'[9]Т01'!$I$113+'[9]Т01'!$I$144</f>
        <v>2499.9139999999998</v>
      </c>
      <c r="AK10" s="152">
        <f aca="true" t="shared" si="3" ref="AK10:AK21">0.67*B10</f>
        <v>927.95</v>
      </c>
      <c r="AL10" s="152">
        <f aca="true" t="shared" si="4" ref="AL10:AL21">B10*0.2</f>
        <v>277</v>
      </c>
      <c r="AM10" s="152">
        <f aca="true" t="shared" si="5" ref="AM10:AM21">B10*1</f>
        <v>1385</v>
      </c>
      <c r="AN10" s="152">
        <f aca="true" t="shared" si="6" ref="AN10:AN21">B10*0.21</f>
        <v>290.84999999999997</v>
      </c>
      <c r="AO10" s="152">
        <f aca="true" t="shared" si="7" ref="AO10:AO21">2.02*B10</f>
        <v>2797.7</v>
      </c>
      <c r="AP10" s="152">
        <f aca="true" t="shared" si="8" ref="AP10:AP21">B10*1.03</f>
        <v>1426.55</v>
      </c>
      <c r="AQ10" s="152">
        <f aca="true" t="shared" si="9" ref="AQ10:AQ21">B10*0.75</f>
        <v>1038.75</v>
      </c>
      <c r="AR10" s="152">
        <f aca="true" t="shared" si="10" ref="AR10:AR21">B10*0.75</f>
        <v>1038.75</v>
      </c>
      <c r="AS10" s="152">
        <f>B10*1.15</f>
        <v>1592.7499999999998</v>
      </c>
      <c r="AT10" s="152">
        <f>0.45*389.6</f>
        <v>175.32000000000002</v>
      </c>
      <c r="AU10" s="153"/>
      <c r="AV10" s="154"/>
      <c r="AW10" s="153">
        <v>12000</v>
      </c>
      <c r="AY10" s="100"/>
      <c r="AZ10" s="155"/>
      <c r="BA10" s="155"/>
      <c r="BB10" s="155">
        <f>AZ10*0.18</f>
        <v>0</v>
      </c>
      <c r="BC10" s="155">
        <f aca="true" t="shared" si="11" ref="BC10:BC21">SUM(AK10:BB10)</f>
        <v>22950.62</v>
      </c>
      <c r="BD10" s="156">
        <f>'[9]Т01'!$R$67+'[9]Т01'!$R$73+'[9]Т01'!$R$109+'[9]Т01'!$R$113+'[9]Т01'!$R$144</f>
        <v>1522.3629999999998</v>
      </c>
      <c r="BE10" s="323">
        <f>BC10+BD10</f>
        <v>24472.983</v>
      </c>
      <c r="BF10" s="323">
        <f>AG10+AJ10-BE10</f>
        <v>-13840.081000000002</v>
      </c>
      <c r="BG10" s="323">
        <f>AF10-U10</f>
        <v>-3944.170000000001</v>
      </c>
      <c r="BH10" s="32"/>
      <c r="BI10" s="157"/>
      <c r="BJ10" s="32"/>
      <c r="BK10" s="157"/>
      <c r="BL10" s="32"/>
      <c r="BM10" s="157"/>
    </row>
    <row r="11" spans="1:63" ht="12.75">
      <c r="A11" s="136" t="s">
        <v>44</v>
      </c>
      <c r="B11" s="137">
        <v>1385</v>
      </c>
      <c r="C11" s="92">
        <f t="shared" si="0"/>
        <v>11841.750000000002</v>
      </c>
      <c r="D11" s="109">
        <v>72.318</v>
      </c>
      <c r="E11" s="139">
        <v>0</v>
      </c>
      <c r="F11" s="138">
        <v>0</v>
      </c>
      <c r="G11" s="139">
        <v>7084.67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3492.79</v>
      </c>
      <c r="N11" s="139">
        <v>0</v>
      </c>
      <c r="O11" s="140">
        <v>1211.36</v>
      </c>
      <c r="P11" s="140">
        <v>0</v>
      </c>
      <c r="Q11" s="138">
        <v>0</v>
      </c>
      <c r="R11" s="138">
        <v>0</v>
      </c>
      <c r="S11" s="138">
        <v>0</v>
      </c>
      <c r="T11" s="139">
        <v>0</v>
      </c>
      <c r="U11" s="158">
        <f t="shared" si="1"/>
        <v>11788.82</v>
      </c>
      <c r="V11" s="147">
        <f t="shared" si="1"/>
        <v>0</v>
      </c>
      <c r="W11" s="139">
        <v>45.21</v>
      </c>
      <c r="X11" s="138">
        <v>5935.99</v>
      </c>
      <c r="Y11" s="139">
        <v>61.29</v>
      </c>
      <c r="Z11" s="139">
        <v>102.02</v>
      </c>
      <c r="AA11" s="139">
        <v>2617.65</v>
      </c>
      <c r="AB11" s="139">
        <v>983.63</v>
      </c>
      <c r="AC11" s="139">
        <v>0</v>
      </c>
      <c r="AD11" s="138">
        <v>0</v>
      </c>
      <c r="AE11" s="138">
        <v>0</v>
      </c>
      <c r="AF11" s="148">
        <f>SUM(W11:AE11)</f>
        <v>9745.789999999999</v>
      </c>
      <c r="AG11" s="149">
        <f>AF11+V11+D11</f>
        <v>9818.107999999998</v>
      </c>
      <c r="AH11" s="150">
        <f t="shared" si="2"/>
        <v>0</v>
      </c>
      <c r="AI11" s="150">
        <f t="shared" si="2"/>
        <v>0</v>
      </c>
      <c r="AJ11" s="151">
        <f>'[9]Т02'!$J$67+'[9]Т02'!$J$73+'[9]Т02'!$J$109+'[9]Т02'!$J$113+'[9]Т02'!$J$146</f>
        <v>2499.9139999999998</v>
      </c>
      <c r="AK11" s="152">
        <f t="shared" si="3"/>
        <v>927.95</v>
      </c>
      <c r="AL11" s="152">
        <f t="shared" si="4"/>
        <v>277</v>
      </c>
      <c r="AM11" s="152">
        <f t="shared" si="5"/>
        <v>1385</v>
      </c>
      <c r="AN11" s="152">
        <f t="shared" si="6"/>
        <v>290.84999999999997</v>
      </c>
      <c r="AO11" s="152">
        <f t="shared" si="7"/>
        <v>2797.7</v>
      </c>
      <c r="AP11" s="152">
        <f t="shared" si="8"/>
        <v>1426.55</v>
      </c>
      <c r="AQ11" s="152">
        <f t="shared" si="9"/>
        <v>1038.75</v>
      </c>
      <c r="AR11" s="152">
        <f t="shared" si="10"/>
        <v>1038.75</v>
      </c>
      <c r="AS11" s="152">
        <f>B11*1.15</f>
        <v>1592.7499999999998</v>
      </c>
      <c r="AT11" s="152"/>
      <c r="AU11" s="153">
        <v>672</v>
      </c>
      <c r="AV11" s="154"/>
      <c r="AW11" s="153"/>
      <c r="AX11" s="153">
        <f>33.84+15</f>
        <v>48.84</v>
      </c>
      <c r="AY11" s="100"/>
      <c r="AZ11" s="155"/>
      <c r="BA11" s="155"/>
      <c r="BB11" s="155">
        <f>AZ11*0.18</f>
        <v>0</v>
      </c>
      <c r="BC11" s="155">
        <f t="shared" si="11"/>
        <v>11496.14</v>
      </c>
      <c r="BD11" s="156">
        <f>'[9]Т02'!$S$67+'[9]Т02'!$S$73+'[9]Т02'!$S$109+'[9]Т02'!$S$113+'[9]Т02'!$S$145</f>
        <v>1522.3629999999998</v>
      </c>
      <c r="BE11" s="323">
        <f aca="true" t="shared" si="12" ref="BE11:BE21">BC11+BD11</f>
        <v>13018.502999999999</v>
      </c>
      <c r="BF11" s="323">
        <f aca="true" t="shared" si="13" ref="BF11:BF21">AG11+AJ11-BE11</f>
        <v>-700.4810000000016</v>
      </c>
      <c r="BG11" s="323">
        <f aca="true" t="shared" si="14" ref="BG11:BG21">AF11-U11</f>
        <v>-2043.0300000000007</v>
      </c>
      <c r="BH11" s="32"/>
      <c r="BI11" s="157"/>
      <c r="BJ11" s="157"/>
      <c r="BK11" s="159"/>
    </row>
    <row r="12" spans="1:63" ht="12.75">
      <c r="A12" s="136" t="s">
        <v>45</v>
      </c>
      <c r="B12" s="137">
        <v>1385</v>
      </c>
      <c r="C12" s="92">
        <f t="shared" si="0"/>
        <v>11841.750000000002</v>
      </c>
      <c r="D12" s="109">
        <v>72.318</v>
      </c>
      <c r="E12" s="139">
        <v>0</v>
      </c>
      <c r="F12" s="138">
        <v>0</v>
      </c>
      <c r="G12" s="139">
        <v>7192.68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3492.79</v>
      </c>
      <c r="N12" s="139">
        <v>0</v>
      </c>
      <c r="O12" s="140">
        <v>1211.36</v>
      </c>
      <c r="P12" s="165">
        <v>0</v>
      </c>
      <c r="Q12" s="160">
        <v>0</v>
      </c>
      <c r="R12" s="160">
        <v>0</v>
      </c>
      <c r="S12" s="160">
        <v>0</v>
      </c>
      <c r="T12" s="139">
        <v>0</v>
      </c>
      <c r="U12" s="139">
        <f t="shared" si="1"/>
        <v>11896.830000000002</v>
      </c>
      <c r="V12" s="161">
        <f t="shared" si="1"/>
        <v>0</v>
      </c>
      <c r="W12" s="162">
        <v>26.52</v>
      </c>
      <c r="X12" s="138">
        <v>6840.34</v>
      </c>
      <c r="Y12" s="139">
        <v>35.94</v>
      </c>
      <c r="Z12" s="139">
        <v>59.84</v>
      </c>
      <c r="AA12" s="139">
        <v>3216.62</v>
      </c>
      <c r="AB12" s="139">
        <v>1144.36</v>
      </c>
      <c r="AC12" s="139">
        <v>0</v>
      </c>
      <c r="AD12" s="138">
        <v>0</v>
      </c>
      <c r="AE12" s="139">
        <v>0</v>
      </c>
      <c r="AF12" s="163">
        <f>SUM(W12:AE12)</f>
        <v>11323.62</v>
      </c>
      <c r="AG12" s="149">
        <f>AF12+V12+D12</f>
        <v>11395.938</v>
      </c>
      <c r="AH12" s="150">
        <f t="shared" si="2"/>
        <v>0</v>
      </c>
      <c r="AI12" s="150">
        <f t="shared" si="2"/>
        <v>0</v>
      </c>
      <c r="AJ12" s="151">
        <f>'[9]Т03'!$J$67+'[9]Т03'!$J$73+'[9]Т03'!$J$109+'[9]Т03'!$J$113+'[9]Т03'!$J$146</f>
        <v>2499.9139999999998</v>
      </c>
      <c r="AK12" s="152">
        <f t="shared" si="3"/>
        <v>927.95</v>
      </c>
      <c r="AL12" s="152">
        <f t="shared" si="4"/>
        <v>277</v>
      </c>
      <c r="AM12" s="152">
        <f t="shared" si="5"/>
        <v>1385</v>
      </c>
      <c r="AN12" s="152">
        <f t="shared" si="6"/>
        <v>290.84999999999997</v>
      </c>
      <c r="AO12" s="152">
        <f t="shared" si="7"/>
        <v>2797.7</v>
      </c>
      <c r="AP12" s="152">
        <f t="shared" si="8"/>
        <v>1426.55</v>
      </c>
      <c r="AQ12" s="152">
        <f t="shared" si="9"/>
        <v>1038.75</v>
      </c>
      <c r="AR12" s="152">
        <f t="shared" si="10"/>
        <v>1038.75</v>
      </c>
      <c r="AS12" s="152">
        <f>B12*1.15</f>
        <v>1592.7499999999998</v>
      </c>
      <c r="AT12" s="152">
        <f aca="true" t="shared" si="15" ref="AT12:AT21">0.45*389.6</f>
        <v>175.32000000000002</v>
      </c>
      <c r="AU12" s="153">
        <v>1323</v>
      </c>
      <c r="AV12" s="164"/>
      <c r="AW12" s="153"/>
      <c r="AX12" s="153">
        <f>30+34+16+16</f>
        <v>96</v>
      </c>
      <c r="AY12" s="100"/>
      <c r="AZ12" s="155"/>
      <c r="BA12" s="155"/>
      <c r="BB12" s="155">
        <f>AZ12*0.18</f>
        <v>0</v>
      </c>
      <c r="BC12" s="155">
        <f t="shared" si="11"/>
        <v>12369.619999999999</v>
      </c>
      <c r="BD12" s="156">
        <f>'[9]Т03'!$S$67+'[9]Т03'!$S$73+'[9]Т03'!$S$109+'[9]Т03'!$S$113+'[9]Т03'!$S$146</f>
        <v>1522.3629999999998</v>
      </c>
      <c r="BE12" s="323">
        <f t="shared" si="12"/>
        <v>13891.982999999998</v>
      </c>
      <c r="BF12" s="323">
        <f t="shared" si="13"/>
        <v>3.8690000000005966</v>
      </c>
      <c r="BG12" s="323">
        <f t="shared" si="14"/>
        <v>-573.210000000001</v>
      </c>
      <c r="BH12" s="32"/>
      <c r="BI12" s="157"/>
      <c r="BJ12" s="157"/>
      <c r="BK12" s="159"/>
    </row>
    <row r="13" spans="1:63" ht="12.75">
      <c r="A13" s="136" t="s">
        <v>46</v>
      </c>
      <c r="B13" s="137">
        <v>1385</v>
      </c>
      <c r="C13" s="92">
        <f t="shared" si="0"/>
        <v>11841.750000000002</v>
      </c>
      <c r="D13" s="109">
        <v>72.318</v>
      </c>
      <c r="E13" s="213">
        <v>0</v>
      </c>
      <c r="F13" s="138">
        <v>0</v>
      </c>
      <c r="G13" s="162">
        <v>7192.67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3492.79</v>
      </c>
      <c r="N13" s="139">
        <v>0</v>
      </c>
      <c r="O13" s="140">
        <v>1211.35</v>
      </c>
      <c r="P13" s="165">
        <v>0</v>
      </c>
      <c r="Q13" s="165">
        <v>0</v>
      </c>
      <c r="R13" s="141">
        <v>0</v>
      </c>
      <c r="S13" s="166">
        <v>0</v>
      </c>
      <c r="T13" s="145">
        <v>0</v>
      </c>
      <c r="U13" s="158">
        <f t="shared" si="1"/>
        <v>11896.81</v>
      </c>
      <c r="V13" s="161">
        <f t="shared" si="1"/>
        <v>0</v>
      </c>
      <c r="W13" s="139">
        <v>0.14</v>
      </c>
      <c r="X13" s="138">
        <v>6985.9</v>
      </c>
      <c r="Y13" s="139">
        <v>0.2</v>
      </c>
      <c r="Z13" s="139">
        <v>0.34</v>
      </c>
      <c r="AA13" s="139">
        <v>3296.71</v>
      </c>
      <c r="AB13" s="138">
        <v>1174.23</v>
      </c>
      <c r="AC13" s="139">
        <v>0</v>
      </c>
      <c r="AD13" s="138">
        <v>0</v>
      </c>
      <c r="AE13" s="138">
        <v>0</v>
      </c>
      <c r="AF13" s="148">
        <f>SUM(W13:AD13)</f>
        <v>11457.52</v>
      </c>
      <c r="AG13" s="167">
        <f>AF13+V13+D13</f>
        <v>11529.838</v>
      </c>
      <c r="AH13" s="168">
        <f t="shared" si="2"/>
        <v>0</v>
      </c>
      <c r="AI13" s="168">
        <f t="shared" si="2"/>
        <v>0</v>
      </c>
      <c r="AJ13" s="169">
        <f>'[10]Т04'!$J$67+'[10]Т04'!$J$73+'[10]Т04'!$J$110+'[10]Т04'!$J$114+'[10]Т04'!$J$148</f>
        <v>2499.9139999999998</v>
      </c>
      <c r="AK13" s="152">
        <f t="shared" si="3"/>
        <v>927.95</v>
      </c>
      <c r="AL13" s="152">
        <f t="shared" si="4"/>
        <v>277</v>
      </c>
      <c r="AM13" s="152">
        <f t="shared" si="5"/>
        <v>1385</v>
      </c>
      <c r="AN13" s="152">
        <f t="shared" si="6"/>
        <v>290.84999999999997</v>
      </c>
      <c r="AO13" s="152">
        <f t="shared" si="7"/>
        <v>2797.7</v>
      </c>
      <c r="AP13" s="152">
        <f t="shared" si="8"/>
        <v>1426.55</v>
      </c>
      <c r="AQ13" s="152">
        <f t="shared" si="9"/>
        <v>1038.75</v>
      </c>
      <c r="AR13" s="152">
        <f t="shared" si="10"/>
        <v>1038.75</v>
      </c>
      <c r="AS13" s="152"/>
      <c r="AT13" s="170">
        <f t="shared" si="15"/>
        <v>175.32000000000002</v>
      </c>
      <c r="AU13" s="171"/>
      <c r="AV13" s="171"/>
      <c r="AW13" s="171"/>
      <c r="AX13" s="171">
        <f>45</f>
        <v>45</v>
      </c>
      <c r="AY13" s="100"/>
      <c r="AZ13" s="170"/>
      <c r="BA13" s="170"/>
      <c r="BB13" s="170"/>
      <c r="BC13" s="160">
        <f t="shared" si="11"/>
        <v>9402.869999999999</v>
      </c>
      <c r="BD13" s="172">
        <f>'[9]Т04'!$S$67+'[9]Т04'!$S$73+'[9]Т04'!$S$110+'[9]Т04'!$S$114+'[9]Т04'!$S$148</f>
        <v>1522.3629999999998</v>
      </c>
      <c r="BE13" s="323">
        <f t="shared" si="12"/>
        <v>10925.232999999998</v>
      </c>
      <c r="BF13" s="323">
        <f t="shared" si="13"/>
        <v>3104.519000000002</v>
      </c>
      <c r="BG13" s="323">
        <f t="shared" si="14"/>
        <v>-439.28999999999905</v>
      </c>
      <c r="BH13" s="32"/>
      <c r="BI13" s="157"/>
      <c r="BJ13" s="157"/>
      <c r="BK13" s="159"/>
    </row>
    <row r="14" spans="1:63" ht="12.75">
      <c r="A14" s="136" t="s">
        <v>47</v>
      </c>
      <c r="B14" s="173">
        <v>1385</v>
      </c>
      <c r="C14" s="92">
        <f t="shared" si="0"/>
        <v>11841.750000000002</v>
      </c>
      <c r="D14" s="109">
        <v>72.318</v>
      </c>
      <c r="E14" s="162">
        <v>0</v>
      </c>
      <c r="F14" s="138">
        <v>0</v>
      </c>
      <c r="G14" s="139">
        <v>7192.68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3492.79</v>
      </c>
      <c r="N14" s="139">
        <v>0</v>
      </c>
      <c r="O14" s="140">
        <v>1211.36</v>
      </c>
      <c r="P14" s="165">
        <v>0</v>
      </c>
      <c r="Q14" s="160">
        <v>0</v>
      </c>
      <c r="R14" s="174">
        <v>0</v>
      </c>
      <c r="S14" s="160">
        <v>0</v>
      </c>
      <c r="T14" s="138">
        <v>0</v>
      </c>
      <c r="U14" s="144">
        <f t="shared" si="1"/>
        <v>11896.830000000002</v>
      </c>
      <c r="V14" s="175">
        <f>F14+H14+J14+L14+N14++R14+T14</f>
        <v>0</v>
      </c>
      <c r="W14" s="139">
        <v>0.34</v>
      </c>
      <c r="X14" s="138">
        <v>6942.21</v>
      </c>
      <c r="Y14" s="139">
        <v>0.46</v>
      </c>
      <c r="Z14" s="139">
        <v>0.8</v>
      </c>
      <c r="AA14" s="139">
        <v>3293.9</v>
      </c>
      <c r="AB14" s="139">
        <v>1169.55</v>
      </c>
      <c r="AC14" s="139">
        <v>0</v>
      </c>
      <c r="AD14" s="138">
        <v>0</v>
      </c>
      <c r="AE14" s="148">
        <v>0</v>
      </c>
      <c r="AF14" s="176">
        <f>SUM(W14:AE14)</f>
        <v>11407.26</v>
      </c>
      <c r="AG14" s="167">
        <f aca="true" t="shared" si="16" ref="AG14:AG21">D14+V14+AF14</f>
        <v>11479.578</v>
      </c>
      <c r="AH14" s="168">
        <f t="shared" si="2"/>
        <v>0</v>
      </c>
      <c r="AI14" s="168">
        <f t="shared" si="2"/>
        <v>0</v>
      </c>
      <c r="AJ14" s="169">
        <f>'[9]Т05'!$J$67+'[9]Т05'!$J$73+'[9]Т05'!$J$108+'[9]Т05'!$J$112+'[9]Т05'!$J$146+'[9]Т05'!$J$207</f>
        <v>2613.9139999999998</v>
      </c>
      <c r="AK14" s="152">
        <f t="shared" si="3"/>
        <v>927.95</v>
      </c>
      <c r="AL14" s="152">
        <f t="shared" si="4"/>
        <v>277</v>
      </c>
      <c r="AM14" s="152">
        <f t="shared" si="5"/>
        <v>1385</v>
      </c>
      <c r="AN14" s="152">
        <f t="shared" si="6"/>
        <v>290.84999999999997</v>
      </c>
      <c r="AO14" s="152">
        <f t="shared" si="7"/>
        <v>2797.7</v>
      </c>
      <c r="AP14" s="152">
        <f t="shared" si="8"/>
        <v>1426.55</v>
      </c>
      <c r="AQ14" s="152">
        <f t="shared" si="9"/>
        <v>1038.75</v>
      </c>
      <c r="AR14" s="152">
        <f t="shared" si="10"/>
        <v>1038.75</v>
      </c>
      <c r="AS14" s="152"/>
      <c r="AT14" s="170">
        <f t="shared" si="15"/>
        <v>175.32000000000002</v>
      </c>
      <c r="AU14" s="171"/>
      <c r="AV14" s="171"/>
      <c r="AW14" s="171">
        <v>371</v>
      </c>
      <c r="AX14" s="171"/>
      <c r="AY14" s="100"/>
      <c r="AZ14" s="170"/>
      <c r="BA14" s="170"/>
      <c r="BB14" s="170"/>
      <c r="BC14" s="160">
        <f t="shared" si="11"/>
        <v>9728.869999999999</v>
      </c>
      <c r="BD14" s="172">
        <f>'[9]Т05'!$S$67+'[9]Т05'!$S$73+'[9]Т05'!$S$108+'[9]Т05'!$S$112+'[9]Т05'!$S$146+'[9]Т05'!$S$207</f>
        <v>1550.8629999999998</v>
      </c>
      <c r="BE14" s="323">
        <f t="shared" si="12"/>
        <v>11279.732999999998</v>
      </c>
      <c r="BF14" s="323">
        <f t="shared" si="13"/>
        <v>2813.759</v>
      </c>
      <c r="BG14" s="323">
        <f t="shared" si="14"/>
        <v>-489.5700000000015</v>
      </c>
      <c r="BH14" s="32"/>
      <c r="BI14" s="157"/>
      <c r="BJ14" s="157"/>
      <c r="BK14" s="159"/>
    </row>
    <row r="15" spans="1:64" ht="12.75">
      <c r="A15" s="136" t="s">
        <v>48</v>
      </c>
      <c r="B15" s="137">
        <v>1385</v>
      </c>
      <c r="C15" s="92">
        <f t="shared" si="0"/>
        <v>11841.750000000002</v>
      </c>
      <c r="D15" s="109">
        <v>72.318</v>
      </c>
      <c r="E15" s="177">
        <v>0</v>
      </c>
      <c r="F15" s="177"/>
      <c r="G15" s="177">
        <v>7192.67</v>
      </c>
      <c r="H15" s="177"/>
      <c r="I15" s="178">
        <v>0</v>
      </c>
      <c r="J15" s="178"/>
      <c r="K15" s="178">
        <v>0</v>
      </c>
      <c r="L15" s="178"/>
      <c r="M15" s="178">
        <v>3492.8</v>
      </c>
      <c r="N15" s="178"/>
      <c r="O15" s="178">
        <v>1211.36</v>
      </c>
      <c r="P15" s="178"/>
      <c r="Q15" s="178">
        <v>0</v>
      </c>
      <c r="R15" s="179"/>
      <c r="S15" s="179">
        <v>0</v>
      </c>
      <c r="T15" s="178"/>
      <c r="U15" s="180">
        <f t="shared" si="1"/>
        <v>11896.830000000002</v>
      </c>
      <c r="V15" s="181">
        <f t="shared" si="1"/>
        <v>0</v>
      </c>
      <c r="W15" s="182">
        <v>12.08</v>
      </c>
      <c r="X15" s="177">
        <v>6790.64</v>
      </c>
      <c r="Y15" s="177">
        <v>16.33</v>
      </c>
      <c r="Z15" s="177">
        <v>27.22</v>
      </c>
      <c r="AA15" s="177">
        <v>3861.91</v>
      </c>
      <c r="AB15" s="177">
        <v>1301.66</v>
      </c>
      <c r="AC15" s="177">
        <v>0</v>
      </c>
      <c r="AD15" s="177">
        <v>0</v>
      </c>
      <c r="AE15" s="183">
        <v>0</v>
      </c>
      <c r="AF15" s="184">
        <f aca="true" t="shared" si="17" ref="AF15:AF21">SUM(W15:AE15)</f>
        <v>12009.84</v>
      </c>
      <c r="AG15" s="167">
        <f t="shared" si="16"/>
        <v>12082.158</v>
      </c>
      <c r="AH15" s="168">
        <f t="shared" si="2"/>
        <v>0</v>
      </c>
      <c r="AI15" s="168">
        <f t="shared" si="2"/>
        <v>0</v>
      </c>
      <c r="AJ15" s="169">
        <f>'[9]Т06'!$J$67+'[9]Т06'!$J$73+'[9]Т06'!$J$108+'[9]Т06'!$J$112+'[9]Т06'!$J$146+'[9]Т06'!$J$207</f>
        <v>2613.9139999999998</v>
      </c>
      <c r="AK15" s="152">
        <f t="shared" si="3"/>
        <v>927.95</v>
      </c>
      <c r="AL15" s="152">
        <f t="shared" si="4"/>
        <v>277</v>
      </c>
      <c r="AM15" s="152">
        <f t="shared" si="5"/>
        <v>1385</v>
      </c>
      <c r="AN15" s="152">
        <f t="shared" si="6"/>
        <v>290.84999999999997</v>
      </c>
      <c r="AO15" s="152">
        <f t="shared" si="7"/>
        <v>2797.7</v>
      </c>
      <c r="AP15" s="152">
        <f t="shared" si="8"/>
        <v>1426.55</v>
      </c>
      <c r="AQ15" s="152">
        <f t="shared" si="9"/>
        <v>1038.75</v>
      </c>
      <c r="AR15" s="152">
        <f t="shared" si="10"/>
        <v>1038.75</v>
      </c>
      <c r="AS15" s="152"/>
      <c r="AT15" s="170">
        <f t="shared" si="15"/>
        <v>175.32000000000002</v>
      </c>
      <c r="AU15" s="171"/>
      <c r="AV15" s="171"/>
      <c r="AW15" s="171"/>
      <c r="AX15" s="171"/>
      <c r="AY15" s="152"/>
      <c r="AZ15" s="170"/>
      <c r="BA15" s="170"/>
      <c r="BB15" s="170"/>
      <c r="BC15" s="185">
        <f t="shared" si="11"/>
        <v>9357.869999999999</v>
      </c>
      <c r="BD15" s="172">
        <f>'[9]Т06'!$S$67+'[9]Т06'!$S$73+'[9]Т06'!$S$108+'[9]Т06'!$S$112+'[9]Т06'!$S$146+'[9]Т06'!$S$207</f>
        <v>1550.8629999999998</v>
      </c>
      <c r="BE15" s="323">
        <f t="shared" si="12"/>
        <v>10908.732999999998</v>
      </c>
      <c r="BF15" s="323">
        <f t="shared" si="13"/>
        <v>3787.3390000000018</v>
      </c>
      <c r="BG15" s="323">
        <f t="shared" si="14"/>
        <v>113.0099999999984</v>
      </c>
      <c r="BH15" s="32"/>
      <c r="BI15" s="157"/>
      <c r="BJ15" s="157"/>
      <c r="BK15" s="157"/>
      <c r="BL15" s="159"/>
    </row>
    <row r="16" spans="1:62" ht="12.75">
      <c r="A16" s="136" t="s">
        <v>49</v>
      </c>
      <c r="B16" s="137">
        <v>1385</v>
      </c>
      <c r="C16" s="92">
        <f t="shared" si="0"/>
        <v>11841.750000000002</v>
      </c>
      <c r="D16" s="109">
        <v>72.318</v>
      </c>
      <c r="E16" s="186"/>
      <c r="F16" s="186"/>
      <c r="G16" s="186">
        <v>7192.68</v>
      </c>
      <c r="H16" s="186"/>
      <c r="I16" s="186"/>
      <c r="J16" s="186"/>
      <c r="K16" s="186"/>
      <c r="L16" s="186"/>
      <c r="M16" s="186">
        <v>3492.8</v>
      </c>
      <c r="N16" s="186"/>
      <c r="O16" s="186">
        <v>1211.36</v>
      </c>
      <c r="P16" s="186"/>
      <c r="Q16" s="186"/>
      <c r="R16" s="186"/>
      <c r="S16" s="187"/>
      <c r="T16" s="182"/>
      <c r="U16" s="188">
        <f t="shared" si="1"/>
        <v>11896.84</v>
      </c>
      <c r="V16" s="189">
        <f t="shared" si="1"/>
        <v>0</v>
      </c>
      <c r="W16" s="190">
        <v>0.01</v>
      </c>
      <c r="X16" s="186">
        <v>6422.76</v>
      </c>
      <c r="Y16" s="186">
        <v>0.01</v>
      </c>
      <c r="Z16" s="186">
        <v>0.02</v>
      </c>
      <c r="AA16" s="186">
        <v>3040.42</v>
      </c>
      <c r="AB16" s="186">
        <v>1081.44</v>
      </c>
      <c r="AC16" s="177"/>
      <c r="AD16" s="186"/>
      <c r="AE16" s="187"/>
      <c r="AF16" s="184">
        <f t="shared" si="17"/>
        <v>10544.660000000002</v>
      </c>
      <c r="AG16" s="191">
        <f t="shared" si="16"/>
        <v>10616.978000000001</v>
      </c>
      <c r="AH16" s="168">
        <f t="shared" si="2"/>
        <v>0</v>
      </c>
      <c r="AI16" s="168">
        <f t="shared" si="2"/>
        <v>0</v>
      </c>
      <c r="AJ16" s="169">
        <f>'[9]Т07'!$J$67+'[9]Т07'!$J$73+'[9]Т07'!$J$108+'[9]Т07'!$J$112+'[9]Т07'!$J$151+'[9]Т07'!$J$211</f>
        <v>2613.9139999999998</v>
      </c>
      <c r="AK16" s="152">
        <f t="shared" si="3"/>
        <v>927.95</v>
      </c>
      <c r="AL16" s="152">
        <f t="shared" si="4"/>
        <v>277</v>
      </c>
      <c r="AM16" s="152">
        <f t="shared" si="5"/>
        <v>1385</v>
      </c>
      <c r="AN16" s="152">
        <f t="shared" si="6"/>
        <v>290.84999999999997</v>
      </c>
      <c r="AO16" s="152">
        <f t="shared" si="7"/>
        <v>2797.7</v>
      </c>
      <c r="AP16" s="152">
        <f t="shared" si="8"/>
        <v>1426.55</v>
      </c>
      <c r="AQ16" s="152">
        <f t="shared" si="9"/>
        <v>1038.75</v>
      </c>
      <c r="AR16" s="152">
        <f t="shared" si="10"/>
        <v>1038.75</v>
      </c>
      <c r="AS16" s="152"/>
      <c r="AT16" s="170">
        <f t="shared" si="15"/>
        <v>175.32000000000002</v>
      </c>
      <c r="AU16" s="171">
        <v>603</v>
      </c>
      <c r="AV16" s="171"/>
      <c r="AW16" s="171"/>
      <c r="AX16" s="171">
        <f>111.43+9.43+100</f>
        <v>220.86</v>
      </c>
      <c r="AY16" s="100"/>
      <c r="AZ16" s="170"/>
      <c r="BA16" s="170"/>
      <c r="BB16" s="170"/>
      <c r="BC16" s="160">
        <f t="shared" si="11"/>
        <v>10181.73</v>
      </c>
      <c r="BD16" s="172">
        <f>'[9]Т07'!$S$67+'[9]Т07'!$S$73+'[9]Т07'!$S$108+'[9]Т07'!$S$112+'[9]Т07'!$S$151+'[9]Т07'!$S$211</f>
        <v>1550.8629999999998</v>
      </c>
      <c r="BE16" s="323">
        <f t="shared" si="12"/>
        <v>11732.592999999999</v>
      </c>
      <c r="BF16" s="323">
        <f t="shared" si="13"/>
        <v>1498.299000000001</v>
      </c>
      <c r="BG16" s="323">
        <f t="shared" si="14"/>
        <v>-1352.1799999999985</v>
      </c>
      <c r="BH16" s="32"/>
      <c r="BI16" s="122"/>
      <c r="BJ16" s="122"/>
    </row>
    <row r="17" spans="1:62" ht="12.75">
      <c r="A17" s="136" t="s">
        <v>50</v>
      </c>
      <c r="B17" s="137">
        <v>1385</v>
      </c>
      <c r="C17" s="92">
        <f t="shared" si="0"/>
        <v>11841.750000000002</v>
      </c>
      <c r="D17" s="109">
        <v>72.318</v>
      </c>
      <c r="E17" s="186"/>
      <c r="F17" s="186"/>
      <c r="G17" s="186">
        <v>7192.68</v>
      </c>
      <c r="H17" s="186"/>
      <c r="I17" s="186"/>
      <c r="J17" s="186"/>
      <c r="K17" s="186"/>
      <c r="L17" s="186"/>
      <c r="M17" s="186">
        <v>3492.79</v>
      </c>
      <c r="N17" s="186">
        <v>0</v>
      </c>
      <c r="O17" s="186">
        <v>1211.36</v>
      </c>
      <c r="P17" s="186"/>
      <c r="Q17" s="186"/>
      <c r="R17" s="186"/>
      <c r="S17" s="187"/>
      <c r="T17" s="183"/>
      <c r="U17" s="192">
        <f t="shared" si="1"/>
        <v>11896.830000000002</v>
      </c>
      <c r="V17" s="193">
        <f t="shared" si="1"/>
        <v>0</v>
      </c>
      <c r="W17" s="186">
        <v>0</v>
      </c>
      <c r="X17" s="186">
        <v>7014.47</v>
      </c>
      <c r="Y17" s="186">
        <v>0</v>
      </c>
      <c r="Z17" s="186">
        <v>0</v>
      </c>
      <c r="AA17" s="186">
        <v>3335.41</v>
      </c>
      <c r="AB17" s="186">
        <v>1181.36</v>
      </c>
      <c r="AC17" s="186"/>
      <c r="AD17" s="186"/>
      <c r="AE17" s="187"/>
      <c r="AF17" s="184">
        <f t="shared" si="17"/>
        <v>11531.240000000002</v>
      </c>
      <c r="AG17" s="191">
        <f t="shared" si="16"/>
        <v>11603.558</v>
      </c>
      <c r="AH17" s="168">
        <f t="shared" si="2"/>
        <v>0</v>
      </c>
      <c r="AI17" s="168">
        <f t="shared" si="2"/>
        <v>0</v>
      </c>
      <c r="AJ17" s="169">
        <f>'[9]Т08'!$J$67+'[9]Т08'!$J$73+'[9]Т08'!$J$108+'[9]Т08'!$J$112+'[9]Т08'!$J$154+'[9]Т08'!$J$215</f>
        <v>2613.9139999999998</v>
      </c>
      <c r="AK17" s="152">
        <f t="shared" si="3"/>
        <v>927.95</v>
      </c>
      <c r="AL17" s="152">
        <f t="shared" si="4"/>
        <v>277</v>
      </c>
      <c r="AM17" s="152">
        <f t="shared" si="5"/>
        <v>1385</v>
      </c>
      <c r="AN17" s="152">
        <f t="shared" si="6"/>
        <v>290.84999999999997</v>
      </c>
      <c r="AO17" s="152">
        <f t="shared" si="7"/>
        <v>2797.7</v>
      </c>
      <c r="AP17" s="152">
        <f t="shared" si="8"/>
        <v>1426.55</v>
      </c>
      <c r="AQ17" s="152">
        <f t="shared" si="9"/>
        <v>1038.75</v>
      </c>
      <c r="AR17" s="152">
        <f t="shared" si="10"/>
        <v>1038.75</v>
      </c>
      <c r="AS17" s="152"/>
      <c r="AT17" s="170">
        <f t="shared" si="15"/>
        <v>175.32000000000002</v>
      </c>
      <c r="AU17" s="171"/>
      <c r="AV17" s="171"/>
      <c r="AW17" s="171">
        <v>4031</v>
      </c>
      <c r="AX17" s="171"/>
      <c r="AY17" s="100"/>
      <c r="AZ17" s="170"/>
      <c r="BA17" s="170"/>
      <c r="BB17" s="170"/>
      <c r="BC17" s="160">
        <f t="shared" si="11"/>
        <v>13388.869999999999</v>
      </c>
      <c r="BD17" s="172">
        <f>'[9]Т08'!$S$67+'[9]Т08'!$S$73+'[9]Т08'!$S$108+'[9]Т08'!$S$112+'[9]Т08'!$S$154+'[9]Т08'!$S$215</f>
        <v>1550.8629999999998</v>
      </c>
      <c r="BE17" s="323">
        <f t="shared" si="12"/>
        <v>14939.732999999998</v>
      </c>
      <c r="BF17" s="323">
        <f t="shared" si="13"/>
        <v>-722.2609999999968</v>
      </c>
      <c r="BG17" s="323">
        <f t="shared" si="14"/>
        <v>-365.59000000000015</v>
      </c>
      <c r="BH17" s="32"/>
      <c r="BI17" s="122"/>
      <c r="BJ17" s="122"/>
    </row>
    <row r="18" spans="1:62" ht="12.75">
      <c r="A18" s="136" t="s">
        <v>51</v>
      </c>
      <c r="B18" s="137">
        <v>1385</v>
      </c>
      <c r="C18" s="92">
        <f t="shared" si="0"/>
        <v>11841.750000000002</v>
      </c>
      <c r="D18" s="109">
        <v>72.318</v>
      </c>
      <c r="E18" s="186"/>
      <c r="F18" s="186"/>
      <c r="G18" s="186">
        <v>7300.69</v>
      </c>
      <c r="H18" s="186"/>
      <c r="I18" s="186"/>
      <c r="J18" s="186"/>
      <c r="K18" s="186"/>
      <c r="L18" s="186"/>
      <c r="M18" s="186">
        <v>3545.24</v>
      </c>
      <c r="N18" s="186">
        <v>0</v>
      </c>
      <c r="O18" s="186">
        <v>1229.56</v>
      </c>
      <c r="P18" s="186"/>
      <c r="Q18" s="186"/>
      <c r="R18" s="186"/>
      <c r="S18" s="187"/>
      <c r="T18" s="194"/>
      <c r="U18" s="194">
        <f t="shared" si="1"/>
        <v>12075.49</v>
      </c>
      <c r="V18" s="195">
        <f t="shared" si="1"/>
        <v>0</v>
      </c>
      <c r="W18" s="186">
        <v>206.78</v>
      </c>
      <c r="X18" s="186">
        <v>6872.58</v>
      </c>
      <c r="Y18" s="186">
        <v>279.24</v>
      </c>
      <c r="Z18" s="186">
        <v>465.34</v>
      </c>
      <c r="AA18" s="186">
        <v>3804.87</v>
      </c>
      <c r="AB18" s="186">
        <v>1265.6</v>
      </c>
      <c r="AC18" s="186"/>
      <c r="AD18" s="186"/>
      <c r="AE18" s="187"/>
      <c r="AF18" s="184">
        <f t="shared" si="17"/>
        <v>12894.41</v>
      </c>
      <c r="AG18" s="191">
        <f t="shared" si="16"/>
        <v>12966.728</v>
      </c>
      <c r="AH18" s="168">
        <f t="shared" si="2"/>
        <v>0</v>
      </c>
      <c r="AI18" s="168">
        <f t="shared" si="2"/>
        <v>0</v>
      </c>
      <c r="AJ18" s="169">
        <f>'[9]Т09'!$J$67+'[9]Т09'!$J$73+'[9]Т09'!$J$108+'[9]Т09'!$J$112+'[9]Т09'!$J$154+'[9]Т09'!$J$215</f>
        <v>2613.9139999999998</v>
      </c>
      <c r="AK18" s="152">
        <f t="shared" si="3"/>
        <v>927.95</v>
      </c>
      <c r="AL18" s="152">
        <f t="shared" si="4"/>
        <v>277</v>
      </c>
      <c r="AM18" s="152">
        <f t="shared" si="5"/>
        <v>1385</v>
      </c>
      <c r="AN18" s="152">
        <f t="shared" si="6"/>
        <v>290.84999999999997</v>
      </c>
      <c r="AO18" s="152">
        <f t="shared" si="7"/>
        <v>2797.7</v>
      </c>
      <c r="AP18" s="152">
        <f t="shared" si="8"/>
        <v>1426.55</v>
      </c>
      <c r="AQ18" s="152">
        <f t="shared" si="9"/>
        <v>1038.75</v>
      </c>
      <c r="AR18" s="152">
        <f t="shared" si="10"/>
        <v>1038.75</v>
      </c>
      <c r="AS18" s="152"/>
      <c r="AT18" s="170">
        <f t="shared" si="15"/>
        <v>175.32000000000002</v>
      </c>
      <c r="AU18" s="171">
        <v>2793</v>
      </c>
      <c r="AV18" s="171"/>
      <c r="AW18" s="171">
        <v>75</v>
      </c>
      <c r="AX18" s="171">
        <f>25+213.34</f>
        <v>238.34</v>
      </c>
      <c r="AY18" s="100"/>
      <c r="AZ18" s="170"/>
      <c r="BA18" s="170"/>
      <c r="BB18" s="170"/>
      <c r="BC18" s="160">
        <f t="shared" si="11"/>
        <v>12464.21</v>
      </c>
      <c r="BD18" s="172">
        <f>'[9]Т08'!$S$67+'[9]Т08'!$S$73+'[9]Т08'!$S$108+'[9]Т08'!$S$112+'[9]Т08'!$S$154+'[9]Т08'!$S$215</f>
        <v>1550.8629999999998</v>
      </c>
      <c r="BE18" s="323">
        <f t="shared" si="12"/>
        <v>14015.072999999999</v>
      </c>
      <c r="BF18" s="323">
        <f t="shared" si="13"/>
        <v>1565.5690000000013</v>
      </c>
      <c r="BG18" s="323">
        <f t="shared" si="14"/>
        <v>818.9200000000001</v>
      </c>
      <c r="BH18" s="32"/>
      <c r="BI18" s="122"/>
      <c r="BJ18" s="122"/>
    </row>
    <row r="19" spans="1:60" ht="12.75">
      <c r="A19" s="136" t="s">
        <v>39</v>
      </c>
      <c r="B19" s="137">
        <v>1385</v>
      </c>
      <c r="C19" s="92">
        <f t="shared" si="0"/>
        <v>11841.750000000002</v>
      </c>
      <c r="D19" s="109">
        <v>72.318</v>
      </c>
      <c r="E19" s="177"/>
      <c r="F19" s="177"/>
      <c r="G19" s="177">
        <v>7300.69</v>
      </c>
      <c r="H19" s="177"/>
      <c r="I19" s="177"/>
      <c r="J19" s="177"/>
      <c r="K19" s="177"/>
      <c r="L19" s="177"/>
      <c r="M19" s="177">
        <v>3545.23</v>
      </c>
      <c r="N19" s="177">
        <v>0</v>
      </c>
      <c r="O19" s="177">
        <v>1229.56</v>
      </c>
      <c r="P19" s="177"/>
      <c r="Q19" s="177"/>
      <c r="R19" s="177"/>
      <c r="S19" s="183"/>
      <c r="T19" s="196"/>
      <c r="U19" s="197">
        <f t="shared" si="1"/>
        <v>12075.48</v>
      </c>
      <c r="V19" s="198">
        <f t="shared" si="1"/>
        <v>0</v>
      </c>
      <c r="W19" s="177">
        <v>0</v>
      </c>
      <c r="X19" s="177">
        <v>6810.41</v>
      </c>
      <c r="Y19" s="177">
        <v>0</v>
      </c>
      <c r="Z19" s="177">
        <v>0</v>
      </c>
      <c r="AA19" s="177">
        <v>3306.95</v>
      </c>
      <c r="AB19" s="177">
        <v>1146.81</v>
      </c>
      <c r="AC19" s="177"/>
      <c r="AD19" s="177"/>
      <c r="AE19" s="183"/>
      <c r="AF19" s="184">
        <f t="shared" si="17"/>
        <v>11264.17</v>
      </c>
      <c r="AG19" s="191">
        <f t="shared" si="16"/>
        <v>11336.488</v>
      </c>
      <c r="AH19" s="168">
        <f t="shared" si="2"/>
        <v>0</v>
      </c>
      <c r="AI19" s="168">
        <f t="shared" si="2"/>
        <v>0</v>
      </c>
      <c r="AJ19" s="169">
        <f>'[9]Т10'!$J$67+'[9]Т10'!$J$73+'[9]Т10'!$J$108+'[9]Т10'!$J$112+'[9]Т10'!$J$154+'[9]Т10'!$J$215</f>
        <v>2613.9139999999998</v>
      </c>
      <c r="AK19" s="152">
        <f t="shared" si="3"/>
        <v>927.95</v>
      </c>
      <c r="AL19" s="152">
        <f t="shared" si="4"/>
        <v>277</v>
      </c>
      <c r="AM19" s="152">
        <f t="shared" si="5"/>
        <v>1385</v>
      </c>
      <c r="AN19" s="152">
        <f t="shared" si="6"/>
        <v>290.84999999999997</v>
      </c>
      <c r="AO19" s="152">
        <f t="shared" si="7"/>
        <v>2797.7</v>
      </c>
      <c r="AP19" s="152">
        <f t="shared" si="8"/>
        <v>1426.55</v>
      </c>
      <c r="AQ19" s="152">
        <f t="shared" si="9"/>
        <v>1038.75</v>
      </c>
      <c r="AR19" s="152">
        <f t="shared" si="10"/>
        <v>1038.75</v>
      </c>
      <c r="AS19" s="199">
        <f>B19*1.15</f>
        <v>1592.7499999999998</v>
      </c>
      <c r="AT19" s="170">
        <f t="shared" si="15"/>
        <v>175.32000000000002</v>
      </c>
      <c r="AU19" s="171"/>
      <c r="AV19" s="171"/>
      <c r="AW19" s="171"/>
      <c r="AX19" s="171">
        <f>10.45</f>
        <v>10.45</v>
      </c>
      <c r="AY19" s="100"/>
      <c r="AZ19" s="170"/>
      <c r="BA19" s="170"/>
      <c r="BB19" s="170"/>
      <c r="BC19" s="160">
        <f t="shared" si="11"/>
        <v>10961.07</v>
      </c>
      <c r="BD19" s="172">
        <f>'[9]Т10'!$S$67+'[9]Т10'!$S$73+'[9]Т10'!$S$108+'[9]Т10'!$S$112+'[9]Т10'!$S$154+'[9]Т10'!$S$215</f>
        <v>1550.8629999999998</v>
      </c>
      <c r="BE19" s="323">
        <f t="shared" si="12"/>
        <v>12511.932999999999</v>
      </c>
      <c r="BF19" s="323">
        <f t="shared" si="13"/>
        <v>1438.4689999999991</v>
      </c>
      <c r="BG19" s="323">
        <f t="shared" si="14"/>
        <v>-811.3099999999995</v>
      </c>
      <c r="BH19" s="32"/>
    </row>
    <row r="20" spans="1:60" ht="12.75">
      <c r="A20" s="136" t="s">
        <v>40</v>
      </c>
      <c r="B20" s="137">
        <v>1385</v>
      </c>
      <c r="C20" s="92">
        <f t="shared" si="0"/>
        <v>11841.750000000002</v>
      </c>
      <c r="D20" s="109">
        <v>72.318</v>
      </c>
      <c r="E20" s="177"/>
      <c r="F20" s="177"/>
      <c r="G20" s="177">
        <v>7300.69</v>
      </c>
      <c r="H20" s="177"/>
      <c r="I20" s="177"/>
      <c r="J20" s="177"/>
      <c r="K20" s="177"/>
      <c r="L20" s="177"/>
      <c r="M20" s="177">
        <v>3545.23</v>
      </c>
      <c r="N20" s="177">
        <v>0</v>
      </c>
      <c r="O20" s="177">
        <v>1229.56</v>
      </c>
      <c r="P20" s="177"/>
      <c r="Q20" s="177"/>
      <c r="R20" s="177"/>
      <c r="S20" s="183"/>
      <c r="T20" s="196"/>
      <c r="U20" s="197">
        <f t="shared" si="1"/>
        <v>12075.48</v>
      </c>
      <c r="V20" s="198">
        <f t="shared" si="1"/>
        <v>0</v>
      </c>
      <c r="W20" s="177">
        <v>0</v>
      </c>
      <c r="X20" s="177">
        <v>7683.47</v>
      </c>
      <c r="Y20" s="177">
        <v>0</v>
      </c>
      <c r="Z20" s="177">
        <v>0</v>
      </c>
      <c r="AA20" s="177">
        <v>3730.89</v>
      </c>
      <c r="AB20" s="177">
        <v>1293.84</v>
      </c>
      <c r="AC20" s="177"/>
      <c r="AD20" s="177"/>
      <c r="AE20" s="183"/>
      <c r="AF20" s="184">
        <f t="shared" si="17"/>
        <v>12708.2</v>
      </c>
      <c r="AG20" s="191">
        <f t="shared" si="16"/>
        <v>12780.518</v>
      </c>
      <c r="AH20" s="168">
        <f t="shared" si="2"/>
        <v>0</v>
      </c>
      <c r="AI20" s="168">
        <f t="shared" si="2"/>
        <v>0</v>
      </c>
      <c r="AJ20" s="169">
        <f>'[9]Т11'!$J$67+'[9]Т11'!$J$73+'[9]Т11'!$J$108+'[9]Т11'!$J$112+'[9]Т11'!$J$154+'[9]Т11'!$J$215</f>
        <v>2613.9139999999998</v>
      </c>
      <c r="AK20" s="152">
        <f t="shared" si="3"/>
        <v>927.95</v>
      </c>
      <c r="AL20" s="152">
        <f t="shared" si="4"/>
        <v>277</v>
      </c>
      <c r="AM20" s="152">
        <f t="shared" si="5"/>
        <v>1385</v>
      </c>
      <c r="AN20" s="152">
        <f t="shared" si="6"/>
        <v>290.84999999999997</v>
      </c>
      <c r="AO20" s="152">
        <f t="shared" si="7"/>
        <v>2797.7</v>
      </c>
      <c r="AP20" s="152">
        <f t="shared" si="8"/>
        <v>1426.55</v>
      </c>
      <c r="AQ20" s="152">
        <f t="shared" si="9"/>
        <v>1038.75</v>
      </c>
      <c r="AR20" s="152">
        <f t="shared" si="10"/>
        <v>1038.75</v>
      </c>
      <c r="AS20" s="199">
        <f>B20*1.15</f>
        <v>1592.7499999999998</v>
      </c>
      <c r="AT20" s="170">
        <f t="shared" si="15"/>
        <v>175.32000000000002</v>
      </c>
      <c r="AU20" s="171"/>
      <c r="AV20" s="171"/>
      <c r="AW20" s="171"/>
      <c r="AX20" s="171">
        <f>17.56</f>
        <v>17.56</v>
      </c>
      <c r="AY20" s="100"/>
      <c r="AZ20" s="170"/>
      <c r="BA20" s="170"/>
      <c r="BB20" s="170"/>
      <c r="BC20" s="160">
        <f t="shared" si="11"/>
        <v>10968.179999999998</v>
      </c>
      <c r="BD20" s="172">
        <f>'[9]Т11'!$S$67+'[9]Т11'!$S$73+'[9]Т11'!$S$108+'[9]Т11'!$S$112+'[9]Т11'!$S$154+'[9]Т11'!$S$215</f>
        <v>1550.8629999999998</v>
      </c>
      <c r="BE20" s="323">
        <f t="shared" si="12"/>
        <v>12519.042999999998</v>
      </c>
      <c r="BF20" s="323">
        <f t="shared" si="13"/>
        <v>2875.389000000003</v>
      </c>
      <c r="BG20" s="323">
        <f t="shared" si="14"/>
        <v>632.7200000000012</v>
      </c>
      <c r="BH20" s="32"/>
    </row>
    <row r="21" spans="1:60" ht="13.5" thickBot="1">
      <c r="A21" s="136" t="s">
        <v>41</v>
      </c>
      <c r="B21" s="137">
        <v>1385</v>
      </c>
      <c r="C21" s="92">
        <f t="shared" si="0"/>
        <v>11841.750000000002</v>
      </c>
      <c r="D21" s="109">
        <v>72.318</v>
      </c>
      <c r="E21" s="200"/>
      <c r="F21" s="200"/>
      <c r="G21" s="200">
        <v>7317.96</v>
      </c>
      <c r="H21" s="200"/>
      <c r="I21" s="200"/>
      <c r="J21" s="200"/>
      <c r="K21" s="200"/>
      <c r="L21" s="200"/>
      <c r="M21" s="200">
        <v>3553.72</v>
      </c>
      <c r="N21" s="200">
        <v>0</v>
      </c>
      <c r="O21" s="200">
        <v>1232.59</v>
      </c>
      <c r="P21" s="200"/>
      <c r="Q21" s="200"/>
      <c r="R21" s="200"/>
      <c r="S21" s="201"/>
      <c r="T21" s="202"/>
      <c r="U21" s="197">
        <f t="shared" si="1"/>
        <v>12104.27</v>
      </c>
      <c r="V21" s="198">
        <f t="shared" si="1"/>
        <v>0</v>
      </c>
      <c r="W21" s="177">
        <v>0</v>
      </c>
      <c r="X21" s="177">
        <v>7357.39</v>
      </c>
      <c r="Y21" s="177">
        <v>0</v>
      </c>
      <c r="Z21" s="177">
        <v>0</v>
      </c>
      <c r="AA21" s="177">
        <v>3572.81</v>
      </c>
      <c r="AB21" s="177">
        <v>1239.18</v>
      </c>
      <c r="AC21" s="177"/>
      <c r="AD21" s="177"/>
      <c r="AE21" s="183"/>
      <c r="AF21" s="184">
        <f t="shared" si="17"/>
        <v>12169.380000000001</v>
      </c>
      <c r="AG21" s="191">
        <f t="shared" si="16"/>
        <v>12241.698</v>
      </c>
      <c r="AH21" s="168">
        <f t="shared" si="2"/>
        <v>0</v>
      </c>
      <c r="AI21" s="168">
        <f t="shared" si="2"/>
        <v>0</v>
      </c>
      <c r="AJ21" s="169">
        <f>'[9]Т12'!$J$67+'[9]Т12'!$J$73+'[9]Т12'!$J$108+'[9]Т12'!$J$112+'[9]Т12'!$J$178+'[9]Т12'!$J$239</f>
        <v>2613.9139999999998</v>
      </c>
      <c r="AK21" s="152">
        <f t="shared" si="3"/>
        <v>927.95</v>
      </c>
      <c r="AL21" s="152">
        <f t="shared" si="4"/>
        <v>277</v>
      </c>
      <c r="AM21" s="152">
        <f t="shared" si="5"/>
        <v>1385</v>
      </c>
      <c r="AN21" s="152">
        <f t="shared" si="6"/>
        <v>290.84999999999997</v>
      </c>
      <c r="AO21" s="152">
        <f t="shared" si="7"/>
        <v>2797.7</v>
      </c>
      <c r="AP21" s="152">
        <f t="shared" si="8"/>
        <v>1426.55</v>
      </c>
      <c r="AQ21" s="152">
        <f t="shared" si="9"/>
        <v>1038.75</v>
      </c>
      <c r="AR21" s="152">
        <f t="shared" si="10"/>
        <v>1038.75</v>
      </c>
      <c r="AS21" s="199">
        <f>B21*1.15</f>
        <v>1592.7499999999998</v>
      </c>
      <c r="AT21" s="170">
        <f t="shared" si="15"/>
        <v>175.32000000000002</v>
      </c>
      <c r="AU21" s="171">
        <v>357</v>
      </c>
      <c r="AV21" s="171"/>
      <c r="AW21" s="171"/>
      <c r="AX21" s="171">
        <f>1440+336</f>
        <v>1776</v>
      </c>
      <c r="AY21" s="100"/>
      <c r="AZ21" s="170"/>
      <c r="BA21" s="170"/>
      <c r="BB21" s="170"/>
      <c r="BC21" s="160">
        <f t="shared" si="11"/>
        <v>13083.619999999999</v>
      </c>
      <c r="BD21" s="172">
        <f>'[9]Т12'!$S$67+'[9]Т12'!$S$73+'[9]Т12'!$S$108+'[9]Т12'!$S$112+'[9]Т12'!$S$178+'[9]Т12'!$S$239</f>
        <v>1550.8629999999998</v>
      </c>
      <c r="BE21" s="323">
        <f t="shared" si="12"/>
        <v>14634.482999999998</v>
      </c>
      <c r="BF21" s="323">
        <f t="shared" si="13"/>
        <v>221.12900000000263</v>
      </c>
      <c r="BG21" s="323">
        <f t="shared" si="14"/>
        <v>65.11000000000058</v>
      </c>
      <c r="BH21" s="32"/>
    </row>
    <row r="22" spans="1:59" s="15" customFormat="1" ht="13.5" thickBot="1">
      <c r="A22" s="203" t="s">
        <v>3</v>
      </c>
      <c r="B22" s="204"/>
      <c r="C22" s="205">
        <f aca="true" t="shared" si="18" ref="C22:BF22">SUM(C10:C21)</f>
        <v>142101.00000000003</v>
      </c>
      <c r="D22" s="205">
        <f t="shared" si="18"/>
        <v>867.8159999999999</v>
      </c>
      <c r="E22" s="205">
        <f t="shared" si="18"/>
        <v>0</v>
      </c>
      <c r="F22" s="205">
        <f t="shared" si="18"/>
        <v>0</v>
      </c>
      <c r="G22" s="205">
        <f t="shared" si="18"/>
        <v>86761.45000000001</v>
      </c>
      <c r="H22" s="205">
        <f t="shared" si="18"/>
        <v>0</v>
      </c>
      <c r="I22" s="205">
        <f t="shared" si="18"/>
        <v>0</v>
      </c>
      <c r="J22" s="205">
        <f t="shared" si="18"/>
        <v>0</v>
      </c>
      <c r="K22" s="205">
        <f t="shared" si="18"/>
        <v>0</v>
      </c>
      <c r="L22" s="205">
        <f t="shared" si="18"/>
        <v>0</v>
      </c>
      <c r="M22" s="205">
        <f t="shared" si="18"/>
        <v>42131.76000000001</v>
      </c>
      <c r="N22" s="205">
        <f t="shared" si="18"/>
        <v>0</v>
      </c>
      <c r="O22" s="205">
        <f t="shared" si="18"/>
        <v>14612.14</v>
      </c>
      <c r="P22" s="205">
        <f t="shared" si="18"/>
        <v>0</v>
      </c>
      <c r="Q22" s="205">
        <f t="shared" si="18"/>
        <v>0</v>
      </c>
      <c r="R22" s="205">
        <f t="shared" si="18"/>
        <v>0</v>
      </c>
      <c r="S22" s="205">
        <f t="shared" si="18"/>
        <v>0</v>
      </c>
      <c r="T22" s="205">
        <f t="shared" si="18"/>
        <v>0</v>
      </c>
      <c r="U22" s="205">
        <f t="shared" si="18"/>
        <v>143505.35</v>
      </c>
      <c r="V22" s="205">
        <f t="shared" si="18"/>
        <v>0</v>
      </c>
      <c r="W22" s="205">
        <f t="shared" si="18"/>
        <v>1221.39</v>
      </c>
      <c r="X22" s="205">
        <f t="shared" si="18"/>
        <v>75656.16</v>
      </c>
      <c r="Y22" s="205">
        <f t="shared" si="18"/>
        <v>1653.9</v>
      </c>
      <c r="Z22" s="205">
        <f t="shared" si="18"/>
        <v>2753.3</v>
      </c>
      <c r="AA22" s="205">
        <f t="shared" si="18"/>
        <v>40106.13999999999</v>
      </c>
      <c r="AB22" s="205">
        <f t="shared" si="18"/>
        <v>13725.87</v>
      </c>
      <c r="AC22" s="205">
        <f t="shared" si="18"/>
        <v>0</v>
      </c>
      <c r="AD22" s="205">
        <f t="shared" si="18"/>
        <v>0</v>
      </c>
      <c r="AE22" s="205">
        <f t="shared" si="18"/>
        <v>0</v>
      </c>
      <c r="AF22" s="205">
        <f t="shared" si="18"/>
        <v>135116.76</v>
      </c>
      <c r="AG22" s="205">
        <f t="shared" si="18"/>
        <v>135984.576</v>
      </c>
      <c r="AH22" s="205">
        <f t="shared" si="18"/>
        <v>0</v>
      </c>
      <c r="AI22" s="205">
        <f t="shared" si="18"/>
        <v>0</v>
      </c>
      <c r="AJ22" s="205">
        <f t="shared" si="18"/>
        <v>30910.968000000004</v>
      </c>
      <c r="AK22" s="205">
        <f t="shared" si="18"/>
        <v>11135.400000000001</v>
      </c>
      <c r="AL22" s="205">
        <f t="shared" si="18"/>
        <v>3324</v>
      </c>
      <c r="AM22" s="205">
        <f t="shared" si="18"/>
        <v>16620</v>
      </c>
      <c r="AN22" s="205">
        <f t="shared" si="18"/>
        <v>3490.1999999999994</v>
      </c>
      <c r="AO22" s="205">
        <f t="shared" si="18"/>
        <v>33572.4</v>
      </c>
      <c r="AP22" s="205">
        <f t="shared" si="18"/>
        <v>17118.599999999995</v>
      </c>
      <c r="AQ22" s="205">
        <f t="shared" si="18"/>
        <v>12465</v>
      </c>
      <c r="AR22" s="205">
        <f t="shared" si="18"/>
        <v>12465</v>
      </c>
      <c r="AS22" s="205">
        <f t="shared" si="18"/>
        <v>9556.499999999998</v>
      </c>
      <c r="AT22" s="205">
        <f t="shared" si="18"/>
        <v>1928.5199999999998</v>
      </c>
      <c r="AU22" s="205">
        <f t="shared" si="18"/>
        <v>5748</v>
      </c>
      <c r="AV22" s="205">
        <f t="shared" si="18"/>
        <v>0</v>
      </c>
      <c r="AW22" s="205">
        <f>SUM(AW10:AW21)</f>
        <v>16477</v>
      </c>
      <c r="AX22" s="205">
        <f t="shared" si="18"/>
        <v>2453.05</v>
      </c>
      <c r="AY22" s="205">
        <f t="shared" si="18"/>
        <v>0</v>
      </c>
      <c r="AZ22" s="205">
        <f t="shared" si="18"/>
        <v>0</v>
      </c>
      <c r="BA22" s="205">
        <f t="shared" si="18"/>
        <v>0</v>
      </c>
      <c r="BB22" s="205">
        <f t="shared" si="18"/>
        <v>0</v>
      </c>
      <c r="BC22" s="205">
        <f t="shared" si="18"/>
        <v>146353.66999999995</v>
      </c>
      <c r="BD22" s="205">
        <f t="shared" si="18"/>
        <v>18496.355999999996</v>
      </c>
      <c r="BE22" s="205">
        <f t="shared" si="18"/>
        <v>164850.02599999998</v>
      </c>
      <c r="BF22" s="205">
        <f t="shared" si="18"/>
        <v>2045.518000000011</v>
      </c>
      <c r="BG22" s="205">
        <f>SUM(BG10:BG21)</f>
        <v>-8388.59</v>
      </c>
    </row>
    <row r="23" spans="1:59" s="15" customFormat="1" ht="13.5" thickBot="1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8"/>
      <c r="BF23" s="207"/>
      <c r="BG23" s="209"/>
    </row>
    <row r="24" spans="1:59" s="15" customFormat="1" ht="13.5" thickBot="1">
      <c r="A24" s="16" t="s">
        <v>52</v>
      </c>
      <c r="B24" s="207"/>
      <c r="C24" s="210">
        <f aca="true" t="shared" si="19" ref="C24:AD24">C22+C8</f>
        <v>465498.55000000005</v>
      </c>
      <c r="D24" s="210">
        <f t="shared" si="19"/>
        <v>38399.232326300036</v>
      </c>
      <c r="E24" s="210">
        <f>E22+E8</f>
        <v>28496.069999999992</v>
      </c>
      <c r="F24" s="210">
        <f t="shared" si="19"/>
        <v>4436.09</v>
      </c>
      <c r="G24" s="210">
        <f t="shared" si="19"/>
        <v>86761.45000000001</v>
      </c>
      <c r="H24" s="210">
        <f t="shared" si="19"/>
        <v>0</v>
      </c>
      <c r="I24" s="210">
        <f t="shared" si="19"/>
        <v>38567.229999999996</v>
      </c>
      <c r="J24" s="210">
        <f t="shared" si="19"/>
        <v>6005.280000000001</v>
      </c>
      <c r="K24" s="210">
        <f t="shared" si="19"/>
        <v>64212.630000000005</v>
      </c>
      <c r="L24" s="210">
        <f t="shared" si="19"/>
        <v>9997.800000000001</v>
      </c>
      <c r="M24" s="210">
        <f t="shared" si="19"/>
        <v>134852.79000000004</v>
      </c>
      <c r="N24" s="210">
        <f t="shared" si="19"/>
        <v>14433.77</v>
      </c>
      <c r="O24" s="210">
        <f t="shared" si="19"/>
        <v>37409.49</v>
      </c>
      <c r="P24" s="210">
        <f t="shared" si="19"/>
        <v>3548.57</v>
      </c>
      <c r="Q24" s="210">
        <f t="shared" si="19"/>
        <v>0</v>
      </c>
      <c r="R24" s="210">
        <f t="shared" si="19"/>
        <v>0</v>
      </c>
      <c r="S24" s="210">
        <f t="shared" si="19"/>
        <v>0</v>
      </c>
      <c r="T24" s="210">
        <f t="shared" si="19"/>
        <v>0</v>
      </c>
      <c r="U24" s="210">
        <f t="shared" si="19"/>
        <v>390299.66000000003</v>
      </c>
      <c r="V24" s="210">
        <f t="shared" si="19"/>
        <v>38421.509999999995</v>
      </c>
      <c r="W24" s="210">
        <f t="shared" si="19"/>
        <v>27413.73</v>
      </c>
      <c r="X24" s="210">
        <f t="shared" si="19"/>
        <v>75656.16</v>
      </c>
      <c r="Y24" s="210">
        <f t="shared" si="19"/>
        <v>37098.79</v>
      </c>
      <c r="Z24" s="210">
        <f t="shared" si="19"/>
        <v>61770.880000000005</v>
      </c>
      <c r="AA24" s="210">
        <f t="shared" si="19"/>
        <v>125982.28999999998</v>
      </c>
      <c r="AB24" s="210">
        <f t="shared" si="19"/>
        <v>34680.07</v>
      </c>
      <c r="AC24" s="210">
        <f t="shared" si="19"/>
        <v>0</v>
      </c>
      <c r="AD24" s="210">
        <f t="shared" si="19"/>
        <v>0</v>
      </c>
      <c r="AE24" s="210">
        <f>AE22+AF8</f>
        <v>227485.15999999997</v>
      </c>
      <c r="AF24" s="210" t="e">
        <f>AF22+#REF!</f>
        <v>#REF!</v>
      </c>
      <c r="AG24" s="210">
        <f aca="true" t="shared" si="20" ref="AG24:BG24">AG22+AG8</f>
        <v>439422.66232630005</v>
      </c>
      <c r="AH24" s="210">
        <f t="shared" si="20"/>
        <v>0</v>
      </c>
      <c r="AI24" s="210">
        <f t="shared" si="20"/>
        <v>0</v>
      </c>
      <c r="AJ24" s="210">
        <f t="shared" si="20"/>
        <v>72311.45964000002</v>
      </c>
      <c r="AK24" s="210">
        <f t="shared" si="20"/>
        <v>33235.392</v>
      </c>
      <c r="AL24" s="210">
        <f t="shared" si="20"/>
        <v>10729.2997904</v>
      </c>
      <c r="AM24" s="210">
        <f t="shared" si="20"/>
        <v>53306.866936490005</v>
      </c>
      <c r="AN24" s="210">
        <f t="shared" si="20"/>
        <v>3490.1999999999994</v>
      </c>
      <c r="AO24" s="210">
        <f t="shared" si="20"/>
        <v>70164.327792722</v>
      </c>
      <c r="AP24" s="210">
        <f t="shared" si="20"/>
        <v>98978.61318823081</v>
      </c>
      <c r="AQ24" s="210">
        <f t="shared" si="20"/>
        <v>12465</v>
      </c>
      <c r="AR24" s="210">
        <f t="shared" si="20"/>
        <v>12465</v>
      </c>
      <c r="AS24" s="210">
        <f t="shared" si="20"/>
        <v>9556.499999999998</v>
      </c>
      <c r="AT24" s="210">
        <f t="shared" si="20"/>
        <v>4032.3599999999997</v>
      </c>
      <c r="AU24" s="210">
        <f t="shared" si="20"/>
        <v>71990.6152</v>
      </c>
      <c r="AV24" s="210">
        <f t="shared" si="20"/>
        <v>0</v>
      </c>
      <c r="AW24" s="210">
        <f t="shared" si="20"/>
        <v>17898.07</v>
      </c>
      <c r="AX24" s="210">
        <f t="shared" si="20"/>
        <v>2453.05</v>
      </c>
      <c r="AY24" s="210">
        <f t="shared" si="20"/>
        <v>11975.042000000001</v>
      </c>
      <c r="AZ24" s="210">
        <f t="shared" si="20"/>
        <v>0</v>
      </c>
      <c r="BA24" s="210">
        <f t="shared" si="20"/>
        <v>0</v>
      </c>
      <c r="BB24" s="210">
        <f t="shared" si="20"/>
        <v>0</v>
      </c>
      <c r="BC24" s="210">
        <f t="shared" si="20"/>
        <v>412740.3369078428</v>
      </c>
      <c r="BD24" s="210">
        <f t="shared" si="20"/>
        <v>35449.5604749942</v>
      </c>
      <c r="BE24" s="211">
        <f t="shared" si="20"/>
        <v>448189.897382837</v>
      </c>
      <c r="BF24" s="210">
        <f t="shared" si="20"/>
        <v>63544.22458346306</v>
      </c>
      <c r="BG24" s="212">
        <f t="shared" si="20"/>
        <v>-27697.739999999998</v>
      </c>
    </row>
    <row r="25" spans="1:59" ht="12.75">
      <c r="A25" s="332" t="s">
        <v>125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4"/>
      <c r="BF25" s="335"/>
      <c r="BG25" s="336"/>
    </row>
    <row r="26" spans="1:65" ht="12.75">
      <c r="A26" s="136" t="s">
        <v>43</v>
      </c>
      <c r="B26" s="137">
        <v>1385</v>
      </c>
      <c r="C26" s="92">
        <f aca="true" t="shared" si="21" ref="C26:C31">B26*8.55</f>
        <v>11841.750000000002</v>
      </c>
      <c r="D26" s="324">
        <v>72.31800000000001</v>
      </c>
      <c r="E26" s="177"/>
      <c r="F26" s="177"/>
      <c r="G26" s="177">
        <v>7300.69</v>
      </c>
      <c r="H26" s="177"/>
      <c r="I26" s="177"/>
      <c r="J26" s="177"/>
      <c r="K26" s="177"/>
      <c r="L26" s="177"/>
      <c r="M26" s="177">
        <v>3545.23</v>
      </c>
      <c r="N26" s="177">
        <v>0</v>
      </c>
      <c r="O26" s="177">
        <v>1229.56</v>
      </c>
      <c r="P26" s="177"/>
      <c r="Q26" s="177"/>
      <c r="R26" s="177"/>
      <c r="S26" s="183"/>
      <c r="T26" s="202"/>
      <c r="U26" s="197">
        <f aca="true" t="shared" si="22" ref="U26:V31">E26+G26+I26+K26+M26+O26+Q26+S26</f>
        <v>12075.48</v>
      </c>
      <c r="V26" s="198">
        <f t="shared" si="22"/>
        <v>0</v>
      </c>
      <c r="W26" s="177">
        <v>0</v>
      </c>
      <c r="X26" s="177">
        <v>5919.48</v>
      </c>
      <c r="Y26" s="177">
        <v>0</v>
      </c>
      <c r="Z26" s="177">
        <v>0</v>
      </c>
      <c r="AA26" s="177">
        <v>2874.49</v>
      </c>
      <c r="AB26" s="177">
        <v>996.84</v>
      </c>
      <c r="AC26" s="177"/>
      <c r="AD26" s="177"/>
      <c r="AE26" s="183"/>
      <c r="AF26" s="184">
        <f aca="true" t="shared" si="23" ref="AF26:AF31">SUM(W26:AE26)</f>
        <v>9790.81</v>
      </c>
      <c r="AG26" s="191">
        <f aca="true" t="shared" si="24" ref="AG26:AG37">D26+V26+AF26</f>
        <v>9863.127999999999</v>
      </c>
      <c r="AH26" s="168">
        <f aca="true" t="shared" si="25" ref="AH26:AI37">AC26</f>
        <v>0</v>
      </c>
      <c r="AI26" s="168">
        <f t="shared" si="25"/>
        <v>0</v>
      </c>
      <c r="AJ26" s="169">
        <f>'[12]Т01'!$J$43+'[12]Т01'!$J$48+'[12]Т01'!$J$77+'[12]Т01'!$J$80+'[12]Т01'!$J$176+'[12]Т01'!$J$237</f>
        <v>3195.065</v>
      </c>
      <c r="AK26" s="152">
        <f aca="true" t="shared" si="26" ref="AK26:AK31">0.67*B26</f>
        <v>927.95</v>
      </c>
      <c r="AL26" s="152">
        <f aca="true" t="shared" si="27" ref="AL26:AL37">B26*0.2</f>
        <v>277</v>
      </c>
      <c r="AM26" s="152">
        <f aca="true" t="shared" si="28" ref="AM26:AM37">B26*1</f>
        <v>1385</v>
      </c>
      <c r="AN26" s="152">
        <f aca="true" t="shared" si="29" ref="AN26:AN37">B26*0.21</f>
        <v>290.84999999999997</v>
      </c>
      <c r="AO26" s="152">
        <f aca="true" t="shared" si="30" ref="AO26:AO37">2.02*B26</f>
        <v>2797.7</v>
      </c>
      <c r="AP26" s="152">
        <f aca="true" t="shared" si="31" ref="AP26:AP37">B26*1.03</f>
        <v>1426.55</v>
      </c>
      <c r="AQ26" s="152">
        <f aca="true" t="shared" si="32" ref="AQ26:AQ37">B26*0.75</f>
        <v>1038.75</v>
      </c>
      <c r="AR26" s="152">
        <f aca="true" t="shared" si="33" ref="AR26:AR37">B26*0.75</f>
        <v>1038.75</v>
      </c>
      <c r="AS26" s="199">
        <f>B26*1.15</f>
        <v>1592.7499999999998</v>
      </c>
      <c r="AT26" s="170">
        <f aca="true" t="shared" si="34" ref="AT26:AT37">0.45*389.6</f>
        <v>175.32000000000002</v>
      </c>
      <c r="AU26" s="171"/>
      <c r="AV26" s="171"/>
      <c r="AW26" s="171"/>
      <c r="AX26" s="171"/>
      <c r="AY26" s="171"/>
      <c r="AZ26" s="171"/>
      <c r="BA26" s="100"/>
      <c r="BB26" s="170"/>
      <c r="BC26" s="185">
        <f aca="true" t="shared" si="35" ref="BC26:BC37">SUM(AK26:BB26)</f>
        <v>10950.619999999999</v>
      </c>
      <c r="BD26" s="172">
        <f>'[12]Т01'!$S$43+'[12]Т01'!$S$48+'[12]Т01'!$S$77+'[12]Т01'!$S$80+'[12]Т01'!$S$176+'[12]Т01'!$S$237</f>
        <v>1550.8629999999998</v>
      </c>
      <c r="BE26" s="323">
        <f>BC26+BD26</f>
        <v>12501.482999999998</v>
      </c>
      <c r="BF26" s="323">
        <f>AG26+AJ26-BE26</f>
        <v>556.710000000001</v>
      </c>
      <c r="BG26" s="337">
        <f>AF26-U26</f>
        <v>-2284.67</v>
      </c>
      <c r="BH26" s="32"/>
      <c r="BI26" s="157"/>
      <c r="BJ26" s="32"/>
      <c r="BK26" s="157"/>
      <c r="BL26" s="32"/>
      <c r="BM26" s="157"/>
    </row>
    <row r="27" spans="1:63" ht="12.75">
      <c r="A27" s="136" t="s">
        <v>44</v>
      </c>
      <c r="B27" s="137">
        <v>1385</v>
      </c>
      <c r="C27" s="92">
        <f t="shared" si="21"/>
        <v>11841.750000000002</v>
      </c>
      <c r="D27" s="324">
        <v>72.31800000000001</v>
      </c>
      <c r="E27" s="186"/>
      <c r="F27" s="186"/>
      <c r="G27" s="186">
        <v>7300.69</v>
      </c>
      <c r="H27" s="186"/>
      <c r="I27" s="186"/>
      <c r="J27" s="186"/>
      <c r="K27" s="186"/>
      <c r="L27" s="186"/>
      <c r="M27" s="186">
        <v>3545.23</v>
      </c>
      <c r="N27" s="186">
        <v>0</v>
      </c>
      <c r="O27" s="186">
        <v>1229.56</v>
      </c>
      <c r="P27" s="186"/>
      <c r="Q27" s="186"/>
      <c r="R27" s="186"/>
      <c r="S27" s="187"/>
      <c r="T27" s="202"/>
      <c r="U27" s="197">
        <f t="shared" si="22"/>
        <v>12075.48</v>
      </c>
      <c r="V27" s="198">
        <f t="shared" si="22"/>
        <v>0</v>
      </c>
      <c r="W27" s="186">
        <v>0</v>
      </c>
      <c r="X27" s="186">
        <v>7031.93</v>
      </c>
      <c r="Y27" s="186">
        <v>0</v>
      </c>
      <c r="Z27" s="186">
        <v>0</v>
      </c>
      <c r="AA27" s="186">
        <v>3414.83</v>
      </c>
      <c r="AB27" s="186">
        <v>1184.43</v>
      </c>
      <c r="AC27" s="186"/>
      <c r="AD27" s="186"/>
      <c r="AE27" s="187"/>
      <c r="AF27" s="184">
        <f t="shared" si="23"/>
        <v>11631.19</v>
      </c>
      <c r="AG27" s="191">
        <f t="shared" si="24"/>
        <v>11703.508</v>
      </c>
      <c r="AH27" s="168">
        <f t="shared" si="25"/>
        <v>0</v>
      </c>
      <c r="AI27" s="168">
        <f t="shared" si="25"/>
        <v>0</v>
      </c>
      <c r="AJ27" s="169">
        <f>'[12]Т01'!$J$43+'[12]Т01'!$J$48+'[12]Т01'!$J$77+'[12]Т01'!$J$80+'[12]Т01'!$J$176+'[12]Т01'!$J$237</f>
        <v>3195.065</v>
      </c>
      <c r="AK27" s="139">
        <f t="shared" si="26"/>
        <v>927.95</v>
      </c>
      <c r="AL27" s="152">
        <f t="shared" si="27"/>
        <v>277</v>
      </c>
      <c r="AM27" s="152">
        <f t="shared" si="28"/>
        <v>1385</v>
      </c>
      <c r="AN27" s="152">
        <f t="shared" si="29"/>
        <v>290.84999999999997</v>
      </c>
      <c r="AO27" s="152">
        <f t="shared" si="30"/>
        <v>2797.7</v>
      </c>
      <c r="AP27" s="152">
        <f t="shared" si="31"/>
        <v>1426.55</v>
      </c>
      <c r="AQ27" s="152">
        <f t="shared" si="32"/>
        <v>1038.75</v>
      </c>
      <c r="AR27" s="152">
        <f t="shared" si="33"/>
        <v>1038.75</v>
      </c>
      <c r="AS27" s="199">
        <f>B27*1.15</f>
        <v>1592.7499999999998</v>
      </c>
      <c r="AT27" s="170">
        <f t="shared" si="34"/>
        <v>175.32000000000002</v>
      </c>
      <c r="AU27" s="325">
        <v>2181</v>
      </c>
      <c r="AV27" s="171"/>
      <c r="AW27" s="171"/>
      <c r="AX27" s="171">
        <f>1383</f>
        <v>1383</v>
      </c>
      <c r="AY27" s="171"/>
      <c r="AZ27" s="171"/>
      <c r="BA27" s="100"/>
      <c r="BB27" s="170"/>
      <c r="BC27" s="160">
        <f t="shared" si="35"/>
        <v>14514.619999999999</v>
      </c>
      <c r="BD27" s="172">
        <f>'[12]Т01'!$S$43+'[12]Т01'!$S$48+'[12]Т01'!$S$77+'[12]Т01'!$S$80+'[12]Т01'!$S$176+'[12]Т01'!$S$237</f>
        <v>1550.8629999999998</v>
      </c>
      <c r="BE27" s="323">
        <f aca="true" t="shared" si="36" ref="BE27:BE37">BC27+BD27</f>
        <v>16065.482999999998</v>
      </c>
      <c r="BF27" s="323">
        <f aca="true" t="shared" si="37" ref="BF27:BF37">AG27+AJ27-BE27</f>
        <v>-1166.909999999998</v>
      </c>
      <c r="BG27" s="337">
        <f aca="true" t="shared" si="38" ref="BG27:BG37">AF27-U27</f>
        <v>-444.28999999999905</v>
      </c>
      <c r="BH27" s="32"/>
      <c r="BI27" s="157"/>
      <c r="BJ27" s="157"/>
      <c r="BK27" s="159"/>
    </row>
    <row r="28" spans="1:63" ht="12.75">
      <c r="A28" s="136" t="s">
        <v>45</v>
      </c>
      <c r="B28" s="137">
        <v>1385</v>
      </c>
      <c r="C28" s="92">
        <f t="shared" si="21"/>
        <v>11841.750000000002</v>
      </c>
      <c r="D28" s="324">
        <v>72.31800000000001</v>
      </c>
      <c r="E28" s="186"/>
      <c r="F28" s="186"/>
      <c r="G28" s="186">
        <v>7300.69</v>
      </c>
      <c r="H28" s="186"/>
      <c r="I28" s="186"/>
      <c r="J28" s="186"/>
      <c r="K28" s="186"/>
      <c r="L28" s="186"/>
      <c r="M28" s="186">
        <v>3545.23</v>
      </c>
      <c r="N28" s="186">
        <v>0</v>
      </c>
      <c r="O28" s="186">
        <v>1229.56</v>
      </c>
      <c r="P28" s="186"/>
      <c r="Q28" s="186"/>
      <c r="R28" s="186"/>
      <c r="S28" s="187"/>
      <c r="T28" s="202"/>
      <c r="U28" s="197">
        <f t="shared" si="22"/>
        <v>12075.48</v>
      </c>
      <c r="V28" s="198">
        <f t="shared" si="22"/>
        <v>0</v>
      </c>
      <c r="W28" s="177">
        <v>0</v>
      </c>
      <c r="X28" s="177">
        <v>8052.84</v>
      </c>
      <c r="Y28" s="177">
        <v>0</v>
      </c>
      <c r="Z28" s="177">
        <v>0</v>
      </c>
      <c r="AA28" s="177">
        <v>5608.97</v>
      </c>
      <c r="AB28" s="177">
        <v>1251.6</v>
      </c>
      <c r="AC28" s="177"/>
      <c r="AD28" s="177"/>
      <c r="AE28" s="183"/>
      <c r="AF28" s="184">
        <f t="shared" si="23"/>
        <v>14913.410000000002</v>
      </c>
      <c r="AG28" s="191">
        <f t="shared" si="24"/>
        <v>14985.728000000001</v>
      </c>
      <c r="AH28" s="168">
        <f t="shared" si="25"/>
        <v>0</v>
      </c>
      <c r="AI28" s="168">
        <f t="shared" si="25"/>
        <v>0</v>
      </c>
      <c r="AJ28" s="169">
        <f>'[12]Т01'!$J$43+'[12]Т01'!$J$48+'[12]Т01'!$J$77+'[12]Т01'!$J$80+'[12]Т01'!$J$176+'[12]Т01'!$J$237</f>
        <v>3195.065</v>
      </c>
      <c r="AK28" s="139">
        <f t="shared" si="26"/>
        <v>927.95</v>
      </c>
      <c r="AL28" s="152">
        <f t="shared" si="27"/>
        <v>277</v>
      </c>
      <c r="AM28" s="152">
        <f t="shared" si="28"/>
        <v>1385</v>
      </c>
      <c r="AN28" s="152">
        <f t="shared" si="29"/>
        <v>290.84999999999997</v>
      </c>
      <c r="AO28" s="152">
        <f t="shared" si="30"/>
        <v>2797.7</v>
      </c>
      <c r="AP28" s="152">
        <f t="shared" si="31"/>
        <v>1426.55</v>
      </c>
      <c r="AQ28" s="152">
        <f t="shared" si="32"/>
        <v>1038.75</v>
      </c>
      <c r="AR28" s="152">
        <f t="shared" si="33"/>
        <v>1038.75</v>
      </c>
      <c r="AS28" s="199">
        <f>B28*1.15</f>
        <v>1592.7499999999998</v>
      </c>
      <c r="AT28" s="170">
        <f t="shared" si="34"/>
        <v>175.32000000000002</v>
      </c>
      <c r="AU28" s="325">
        <v>22038</v>
      </c>
      <c r="AV28" s="171"/>
      <c r="AW28" s="171"/>
      <c r="AX28" s="171">
        <v>2240</v>
      </c>
      <c r="AY28" s="171"/>
      <c r="AZ28" s="171"/>
      <c r="BA28" s="100"/>
      <c r="BB28" s="170"/>
      <c r="BC28" s="185">
        <f t="shared" si="35"/>
        <v>35228.619999999995</v>
      </c>
      <c r="BD28" s="172">
        <f>'[12]Т01'!$S$43+'[12]Т01'!$S$48+'[12]Т01'!$S$77+'[12]Т01'!$S$80+'[12]Т01'!$S$176+'[12]Т01'!$S$237</f>
        <v>1550.8629999999998</v>
      </c>
      <c r="BE28" s="323">
        <f t="shared" si="36"/>
        <v>36779.48299999999</v>
      </c>
      <c r="BF28" s="323">
        <f t="shared" si="37"/>
        <v>-18598.68999999999</v>
      </c>
      <c r="BG28" s="337">
        <f t="shared" si="38"/>
        <v>2837.930000000002</v>
      </c>
      <c r="BH28" s="32"/>
      <c r="BI28" s="157"/>
      <c r="BJ28" s="157"/>
      <c r="BK28" s="159"/>
    </row>
    <row r="29" spans="1:63" ht="12.75">
      <c r="A29" s="136" t="s">
        <v>46</v>
      </c>
      <c r="B29" s="137">
        <v>1385</v>
      </c>
      <c r="C29" s="92">
        <f t="shared" si="21"/>
        <v>11841.750000000002</v>
      </c>
      <c r="D29" s="324">
        <v>72.31800000000001</v>
      </c>
      <c r="E29" s="186"/>
      <c r="F29" s="186"/>
      <c r="G29" s="186">
        <v>7300.69</v>
      </c>
      <c r="H29" s="186"/>
      <c r="I29" s="186"/>
      <c r="J29" s="186"/>
      <c r="K29" s="186"/>
      <c r="L29" s="186"/>
      <c r="M29" s="186">
        <v>3545.23</v>
      </c>
      <c r="N29" s="186">
        <v>0</v>
      </c>
      <c r="O29" s="186">
        <v>1229.56</v>
      </c>
      <c r="P29" s="186"/>
      <c r="Q29" s="186"/>
      <c r="R29" s="186"/>
      <c r="S29" s="187"/>
      <c r="T29" s="202"/>
      <c r="U29" s="197">
        <f t="shared" si="22"/>
        <v>12075.48</v>
      </c>
      <c r="V29" s="198">
        <f t="shared" si="22"/>
        <v>0</v>
      </c>
      <c r="W29" s="200">
        <v>0</v>
      </c>
      <c r="X29" s="200">
        <v>5999.35</v>
      </c>
      <c r="Y29" s="200">
        <v>0</v>
      </c>
      <c r="Z29" s="200">
        <v>0</v>
      </c>
      <c r="AA29" s="200">
        <v>3038.43</v>
      </c>
      <c r="AB29" s="200">
        <v>1053.81</v>
      </c>
      <c r="AC29" s="200"/>
      <c r="AD29" s="200"/>
      <c r="AE29" s="201"/>
      <c r="AF29" s="184">
        <f t="shared" si="23"/>
        <v>10091.59</v>
      </c>
      <c r="AG29" s="191">
        <f t="shared" si="24"/>
        <v>10163.908</v>
      </c>
      <c r="AH29" s="168">
        <f t="shared" si="25"/>
        <v>0</v>
      </c>
      <c r="AI29" s="168">
        <f t="shared" si="25"/>
        <v>0</v>
      </c>
      <c r="AJ29" s="169">
        <f>'[12]Т01'!$J$43+'[12]Т01'!$J$48+'[12]Т01'!$J$77+'[12]Т01'!$J$80+'[12]Т01'!$J$176+'[12]Т01'!$J$237</f>
        <v>3195.065</v>
      </c>
      <c r="AK29" s="139">
        <f t="shared" si="26"/>
        <v>927.95</v>
      </c>
      <c r="AL29" s="152">
        <f t="shared" si="27"/>
        <v>277</v>
      </c>
      <c r="AM29" s="152">
        <f t="shared" si="28"/>
        <v>1385</v>
      </c>
      <c r="AN29" s="152">
        <f t="shared" si="29"/>
        <v>290.84999999999997</v>
      </c>
      <c r="AO29" s="152">
        <f t="shared" si="30"/>
        <v>2797.7</v>
      </c>
      <c r="AP29" s="152">
        <f t="shared" si="31"/>
        <v>1426.55</v>
      </c>
      <c r="AQ29" s="152">
        <f t="shared" si="32"/>
        <v>1038.75</v>
      </c>
      <c r="AR29" s="152">
        <f t="shared" si="33"/>
        <v>1038.75</v>
      </c>
      <c r="AS29" s="199"/>
      <c r="AT29" s="170">
        <f t="shared" si="34"/>
        <v>175.32000000000002</v>
      </c>
      <c r="AU29" s="325"/>
      <c r="AV29" s="171"/>
      <c r="AW29" s="171">
        <v>12494</v>
      </c>
      <c r="AX29" s="171">
        <v>3959</v>
      </c>
      <c r="AY29" s="171"/>
      <c r="AZ29" s="171"/>
      <c r="BA29" s="100"/>
      <c r="BB29" s="170"/>
      <c r="BC29" s="185">
        <f t="shared" si="35"/>
        <v>25810.87</v>
      </c>
      <c r="BD29" s="172">
        <f>'[12]Т01'!$S$43+'[12]Т01'!$S$48+'[12]Т01'!$S$77+'[12]Т01'!$S$80+'[12]Т01'!$S$176+'[12]Т01'!$S$237</f>
        <v>1550.8629999999998</v>
      </c>
      <c r="BE29" s="323">
        <f t="shared" si="36"/>
        <v>27361.733</v>
      </c>
      <c r="BF29" s="323">
        <f t="shared" si="37"/>
        <v>-14002.76</v>
      </c>
      <c r="BG29" s="337">
        <f t="shared" si="38"/>
        <v>-1983.8899999999994</v>
      </c>
      <c r="BH29" s="32"/>
      <c r="BI29" s="157"/>
      <c r="BJ29" s="157"/>
      <c r="BK29" s="159"/>
    </row>
    <row r="30" spans="1:63" ht="12.75">
      <c r="A30" s="136" t="s">
        <v>47</v>
      </c>
      <c r="B30" s="137">
        <v>1385</v>
      </c>
      <c r="C30" s="92">
        <f t="shared" si="21"/>
        <v>11841.750000000002</v>
      </c>
      <c r="D30" s="324">
        <v>72.31800000000001</v>
      </c>
      <c r="E30" s="186"/>
      <c r="F30" s="186"/>
      <c r="G30" s="186">
        <v>7300.69</v>
      </c>
      <c r="H30" s="186"/>
      <c r="I30" s="186"/>
      <c r="J30" s="186"/>
      <c r="K30" s="186"/>
      <c r="L30" s="186"/>
      <c r="M30" s="186">
        <v>3545.23</v>
      </c>
      <c r="N30" s="186">
        <v>0</v>
      </c>
      <c r="O30" s="186">
        <v>1229.56</v>
      </c>
      <c r="P30" s="186"/>
      <c r="Q30" s="186"/>
      <c r="R30" s="186"/>
      <c r="S30" s="187"/>
      <c r="T30" s="202"/>
      <c r="U30" s="197">
        <f t="shared" si="22"/>
        <v>12075.48</v>
      </c>
      <c r="V30" s="198">
        <f t="shared" si="22"/>
        <v>0</v>
      </c>
      <c r="W30" s="200">
        <v>0</v>
      </c>
      <c r="X30" s="200">
        <v>6824.4</v>
      </c>
      <c r="Y30" s="200">
        <v>0</v>
      </c>
      <c r="Z30" s="200">
        <v>0</v>
      </c>
      <c r="AA30" s="200">
        <v>3070.4</v>
      </c>
      <c r="AB30" s="200">
        <v>1064.67</v>
      </c>
      <c r="AC30" s="200"/>
      <c r="AD30" s="200"/>
      <c r="AE30" s="200"/>
      <c r="AF30" s="184">
        <f t="shared" si="23"/>
        <v>10959.47</v>
      </c>
      <c r="AG30" s="191">
        <f t="shared" si="24"/>
        <v>11031.787999999999</v>
      </c>
      <c r="AH30" s="168">
        <f t="shared" si="25"/>
        <v>0</v>
      </c>
      <c r="AI30" s="168">
        <f t="shared" si="25"/>
        <v>0</v>
      </c>
      <c r="AJ30" s="169">
        <f>'[12]Т05'!$J$41+'[12]Т05'!$J$45+'[12]Т05'!$J$75+'[12]Т05'!$J$78+'[12]Т05'!$J$177+'[12]Т05'!$J$244</f>
        <v>3195.065</v>
      </c>
      <c r="AK30" s="139">
        <f t="shared" si="26"/>
        <v>927.95</v>
      </c>
      <c r="AL30" s="152">
        <f t="shared" si="27"/>
        <v>277</v>
      </c>
      <c r="AM30" s="152">
        <f t="shared" si="28"/>
        <v>1385</v>
      </c>
      <c r="AN30" s="152">
        <f t="shared" si="29"/>
        <v>290.84999999999997</v>
      </c>
      <c r="AO30" s="152">
        <f t="shared" si="30"/>
        <v>2797.7</v>
      </c>
      <c r="AP30" s="152">
        <f t="shared" si="31"/>
        <v>1426.55</v>
      </c>
      <c r="AQ30" s="152">
        <f t="shared" si="32"/>
        <v>1038.75</v>
      </c>
      <c r="AR30" s="152">
        <f t="shared" si="33"/>
        <v>1038.75</v>
      </c>
      <c r="AS30" s="199"/>
      <c r="AT30" s="170">
        <f t="shared" si="34"/>
        <v>175.32000000000002</v>
      </c>
      <c r="AU30" s="325"/>
      <c r="AV30" s="171"/>
      <c r="AW30" s="171"/>
      <c r="AX30" s="171">
        <f>4281.2</f>
        <v>4281.2</v>
      </c>
      <c r="AY30" s="171"/>
      <c r="AZ30" s="171"/>
      <c r="BA30" s="100"/>
      <c r="BB30" s="170"/>
      <c r="BC30" s="185">
        <f t="shared" si="35"/>
        <v>13639.07</v>
      </c>
      <c r="BD30" s="172">
        <f>'[12]Т05'!$S$41+'[12]Т05'!$S$45+'[12]Т05'!$S$75+'[12]Т05'!$S$78+'[12]Т05'!$S$177+'[12]Т05'!$S$244</f>
        <v>1550.8629999999998</v>
      </c>
      <c r="BE30" s="323">
        <f t="shared" si="36"/>
        <v>15189.932999999999</v>
      </c>
      <c r="BF30" s="323">
        <f t="shared" si="37"/>
        <v>-963.0799999999999</v>
      </c>
      <c r="BG30" s="337">
        <f t="shared" si="38"/>
        <v>-1116.0100000000002</v>
      </c>
      <c r="BH30" s="32"/>
      <c r="BI30" s="157"/>
      <c r="BJ30" s="157"/>
      <c r="BK30" s="159"/>
    </row>
    <row r="31" spans="1:64" ht="12.75">
      <c r="A31" s="136" t="s">
        <v>48</v>
      </c>
      <c r="B31" s="137">
        <v>1385</v>
      </c>
      <c r="C31" s="92">
        <f t="shared" si="21"/>
        <v>11841.750000000002</v>
      </c>
      <c r="D31" s="324">
        <v>72.31800000000001</v>
      </c>
      <c r="E31" s="186"/>
      <c r="F31" s="186"/>
      <c r="G31" s="186">
        <v>7300.69</v>
      </c>
      <c r="H31" s="186"/>
      <c r="I31" s="186"/>
      <c r="J31" s="186"/>
      <c r="K31" s="186"/>
      <c r="L31" s="186"/>
      <c r="M31" s="186">
        <v>3545.23</v>
      </c>
      <c r="N31" s="186">
        <v>0</v>
      </c>
      <c r="O31" s="186">
        <v>1229.55</v>
      </c>
      <c r="P31" s="186"/>
      <c r="Q31" s="186"/>
      <c r="R31" s="186"/>
      <c r="S31" s="187"/>
      <c r="T31" s="202"/>
      <c r="U31" s="197">
        <f t="shared" si="22"/>
        <v>12075.47</v>
      </c>
      <c r="V31" s="198">
        <f t="shared" si="22"/>
        <v>0</v>
      </c>
      <c r="W31" s="200"/>
      <c r="X31" s="326">
        <v>5984.2</v>
      </c>
      <c r="Y31" s="200"/>
      <c r="Z31" s="200"/>
      <c r="AA31" s="326">
        <v>2905.75</v>
      </c>
      <c r="AB31" s="326">
        <v>1007.69</v>
      </c>
      <c r="AC31" s="200"/>
      <c r="AD31" s="326"/>
      <c r="AE31" s="327"/>
      <c r="AF31" s="184">
        <f t="shared" si="23"/>
        <v>9897.640000000001</v>
      </c>
      <c r="AG31" s="191">
        <f t="shared" si="24"/>
        <v>9969.958</v>
      </c>
      <c r="AH31" s="168">
        <f t="shared" si="25"/>
        <v>0</v>
      </c>
      <c r="AI31" s="168">
        <f t="shared" si="25"/>
        <v>0</v>
      </c>
      <c r="AJ31" s="169">
        <f>'[12]Т06'!$J$41+'[12]Т06'!$J$45+'[12]Т06'!$J$75+'[12]Т06'!$J$78+'[12]Т06'!$J$179+'[12]Т06'!$J$208+'[12]Т06'!$J$275</f>
        <v>3295.065</v>
      </c>
      <c r="AK31" s="139">
        <f t="shared" si="26"/>
        <v>927.95</v>
      </c>
      <c r="AL31" s="152">
        <f t="shared" si="27"/>
        <v>277</v>
      </c>
      <c r="AM31" s="152">
        <f t="shared" si="28"/>
        <v>1385</v>
      </c>
      <c r="AN31" s="152">
        <f t="shared" si="29"/>
        <v>290.84999999999997</v>
      </c>
      <c r="AO31" s="152">
        <f t="shared" si="30"/>
        <v>2797.7</v>
      </c>
      <c r="AP31" s="152">
        <f t="shared" si="31"/>
        <v>1426.55</v>
      </c>
      <c r="AQ31" s="152">
        <f t="shared" si="32"/>
        <v>1038.75</v>
      </c>
      <c r="AR31" s="152">
        <f t="shared" si="33"/>
        <v>1038.75</v>
      </c>
      <c r="AS31" s="199"/>
      <c r="AT31" s="170">
        <f t="shared" si="34"/>
        <v>175.32000000000002</v>
      </c>
      <c r="AU31" s="325"/>
      <c r="AV31" s="171"/>
      <c r="AW31" s="171"/>
      <c r="AX31" s="171"/>
      <c r="AY31" s="171"/>
      <c r="AZ31" s="171"/>
      <c r="BA31" s="100"/>
      <c r="BB31" s="170"/>
      <c r="BC31" s="185">
        <f t="shared" si="35"/>
        <v>9357.869999999999</v>
      </c>
      <c r="BD31" s="172">
        <f>'[12]Т06'!$S$41+'[12]Т06'!$S$45+'[12]Т06'!$S$75+'[12]Т06'!$S$78+'[12]Т06'!$S$179+'[12]Т06'!$S$208+'[12]Т06'!$S$275</f>
        <v>1575.8629999999998</v>
      </c>
      <c r="BE31" s="323">
        <f t="shared" si="36"/>
        <v>10933.732999999998</v>
      </c>
      <c r="BF31" s="323">
        <f t="shared" si="37"/>
        <v>2331.2900000000027</v>
      </c>
      <c r="BG31" s="337">
        <f t="shared" si="38"/>
        <v>-2177.829999999998</v>
      </c>
      <c r="BH31" s="32"/>
      <c r="BI31" s="157"/>
      <c r="BJ31" s="157"/>
      <c r="BK31" s="157"/>
      <c r="BL31" s="159"/>
    </row>
    <row r="32" spans="1:62" ht="12.75">
      <c r="A32" s="136" t="s">
        <v>49</v>
      </c>
      <c r="B32" s="137">
        <v>1385</v>
      </c>
      <c r="C32" s="92">
        <f aca="true" t="shared" si="39" ref="C32:C37">B32*9.51</f>
        <v>13171.35</v>
      </c>
      <c r="D32" s="324">
        <v>96.77850000000001</v>
      </c>
      <c r="E32" s="186"/>
      <c r="F32" s="186"/>
      <c r="G32" s="186">
        <v>13432.1</v>
      </c>
      <c r="H32" s="186"/>
      <c r="I32" s="186"/>
      <c r="J32" s="186"/>
      <c r="K32" s="186"/>
      <c r="L32" s="186"/>
      <c r="M32" s="186"/>
      <c r="N32" s="186">
        <v>0</v>
      </c>
      <c r="O32" s="186"/>
      <c r="P32" s="186"/>
      <c r="Q32" s="186"/>
      <c r="R32" s="186"/>
      <c r="S32" s="187"/>
      <c r="T32" s="202"/>
      <c r="U32" s="197">
        <f aca="true" t="shared" si="40" ref="U32:V37">G32+M32+O32+Q32+S32</f>
        <v>13432.1</v>
      </c>
      <c r="V32" s="328">
        <f t="shared" si="40"/>
        <v>0</v>
      </c>
      <c r="W32" s="200"/>
      <c r="X32" s="177">
        <v>5925.52</v>
      </c>
      <c r="Y32" s="200"/>
      <c r="Z32" s="200"/>
      <c r="AA32" s="177">
        <v>2677.32</v>
      </c>
      <c r="AB32" s="177">
        <v>997.77</v>
      </c>
      <c r="AC32" s="200"/>
      <c r="AD32" s="177"/>
      <c r="AE32" s="183"/>
      <c r="AF32" s="184">
        <f aca="true" t="shared" si="41" ref="AF32:AF37">SUM(X32:AE32)</f>
        <v>9600.61</v>
      </c>
      <c r="AG32" s="191">
        <f t="shared" si="24"/>
        <v>9697.388500000001</v>
      </c>
      <c r="AH32" s="329">
        <v>0</v>
      </c>
      <c r="AI32" s="168">
        <f t="shared" si="25"/>
        <v>0</v>
      </c>
      <c r="AJ32" s="169">
        <f>'[12]Т07'!$J$228</f>
        <v>100</v>
      </c>
      <c r="AK32" s="152">
        <f aca="true" t="shared" si="42" ref="AK32:AK37">0.75*B32</f>
        <v>1038.75</v>
      </c>
      <c r="AL32" s="152">
        <f t="shared" si="27"/>
        <v>277</v>
      </c>
      <c r="AM32" s="152">
        <f t="shared" si="28"/>
        <v>1385</v>
      </c>
      <c r="AN32" s="152">
        <f t="shared" si="29"/>
        <v>290.84999999999997</v>
      </c>
      <c r="AO32" s="152">
        <f t="shared" si="30"/>
        <v>2797.7</v>
      </c>
      <c r="AP32" s="152">
        <f t="shared" si="31"/>
        <v>1426.55</v>
      </c>
      <c r="AQ32" s="152">
        <f t="shared" si="32"/>
        <v>1038.75</v>
      </c>
      <c r="AR32" s="152">
        <f t="shared" si="33"/>
        <v>1038.75</v>
      </c>
      <c r="AS32" s="199"/>
      <c r="AT32" s="170">
        <f t="shared" si="34"/>
        <v>175.32000000000002</v>
      </c>
      <c r="AU32" s="325"/>
      <c r="AV32" s="171"/>
      <c r="AW32" s="171">
        <v>2939</v>
      </c>
      <c r="AX32" s="171"/>
      <c r="AY32" s="171"/>
      <c r="AZ32" s="171"/>
      <c r="BA32" s="100"/>
      <c r="BB32" s="170"/>
      <c r="BC32" s="185">
        <f t="shared" si="35"/>
        <v>12407.669999999998</v>
      </c>
      <c r="BD32" s="172">
        <f>'[12]Т07'!$S$41+'[12]Т07'!$S$45+'[12]Т07'!$S$75+'[12]Т07'!$S$78+'[12]Т07'!$S$181+'[12]Т07'!$S$210+'[12]Т07'!$S$277</f>
        <v>1575.8629999999998</v>
      </c>
      <c r="BE32" s="323">
        <f t="shared" si="36"/>
        <v>13983.532999999998</v>
      </c>
      <c r="BF32" s="323">
        <f t="shared" si="37"/>
        <v>-4186.144499999997</v>
      </c>
      <c r="BG32" s="337">
        <f t="shared" si="38"/>
        <v>-3831.49</v>
      </c>
      <c r="BH32" s="32"/>
      <c r="BI32" s="122"/>
      <c r="BJ32" s="122"/>
    </row>
    <row r="33" spans="1:62" ht="12.75">
      <c r="A33" s="136" t="s">
        <v>50</v>
      </c>
      <c r="B33" s="137">
        <v>1385</v>
      </c>
      <c r="C33" s="92">
        <f t="shared" si="39"/>
        <v>13171.35</v>
      </c>
      <c r="D33" s="324"/>
      <c r="E33" s="186"/>
      <c r="F33" s="186"/>
      <c r="G33" s="186">
        <v>13432.1</v>
      </c>
      <c r="H33" s="186"/>
      <c r="I33" s="186"/>
      <c r="J33" s="186"/>
      <c r="K33" s="186"/>
      <c r="L33" s="186"/>
      <c r="M33" s="186"/>
      <c r="N33" s="186">
        <v>0</v>
      </c>
      <c r="O33" s="186"/>
      <c r="P33" s="186"/>
      <c r="Q33" s="186"/>
      <c r="R33" s="186"/>
      <c r="S33" s="187"/>
      <c r="T33" s="202"/>
      <c r="U33" s="197">
        <f t="shared" si="40"/>
        <v>13432.1</v>
      </c>
      <c r="V33" s="328">
        <f t="shared" si="40"/>
        <v>0</v>
      </c>
      <c r="W33" s="200"/>
      <c r="X33" s="177">
        <v>12747.99</v>
      </c>
      <c r="Y33" s="200"/>
      <c r="Z33" s="200"/>
      <c r="AA33" s="177">
        <v>382.78</v>
      </c>
      <c r="AB33" s="177">
        <v>132.68</v>
      </c>
      <c r="AC33" s="200"/>
      <c r="AD33" s="177"/>
      <c r="AE33" s="183"/>
      <c r="AF33" s="184">
        <f t="shared" si="41"/>
        <v>13263.45</v>
      </c>
      <c r="AG33" s="191">
        <f t="shared" si="24"/>
        <v>13263.45</v>
      </c>
      <c r="AH33" s="329">
        <v>0</v>
      </c>
      <c r="AI33" s="168">
        <f t="shared" si="25"/>
        <v>0</v>
      </c>
      <c r="AJ33" s="169">
        <f>'[12]Т08'!$J$41+'[12]Т08'!$J$45+'[12]Т08'!$J$75+'[12]Т08'!$J$78+'[12]Т08'!$J$181+'[12]Т08'!$J$210+'[12]Т08'!$J$277</f>
        <v>3295.065</v>
      </c>
      <c r="AK33" s="152">
        <f t="shared" si="42"/>
        <v>1038.75</v>
      </c>
      <c r="AL33" s="152">
        <f t="shared" si="27"/>
        <v>277</v>
      </c>
      <c r="AM33" s="152">
        <f t="shared" si="28"/>
        <v>1385</v>
      </c>
      <c r="AN33" s="152">
        <f t="shared" si="29"/>
        <v>290.84999999999997</v>
      </c>
      <c r="AO33" s="152">
        <f t="shared" si="30"/>
        <v>2797.7</v>
      </c>
      <c r="AP33" s="152">
        <f t="shared" si="31"/>
        <v>1426.55</v>
      </c>
      <c r="AQ33" s="152">
        <f t="shared" si="32"/>
        <v>1038.75</v>
      </c>
      <c r="AR33" s="152">
        <f t="shared" si="33"/>
        <v>1038.75</v>
      </c>
      <c r="AS33" s="199"/>
      <c r="AT33" s="170">
        <f t="shared" si="34"/>
        <v>175.32000000000002</v>
      </c>
      <c r="AU33" s="325">
        <v>20671</v>
      </c>
      <c r="AV33" s="171"/>
      <c r="AW33" s="171"/>
      <c r="AX33" s="171">
        <f>3584+1420</f>
        <v>5004</v>
      </c>
      <c r="AY33" s="171"/>
      <c r="AZ33" s="171"/>
      <c r="BA33" s="100"/>
      <c r="BB33" s="170"/>
      <c r="BC33" s="185">
        <f t="shared" si="35"/>
        <v>35143.67</v>
      </c>
      <c r="BD33" s="172">
        <f>'[12]Т08'!$S$41+'[12]Т08'!$S$45+'[12]Т08'!$S$75+'[12]Т08'!$S$78+'[12]Т08'!$S$181+'[12]Т08'!$S$210+'[12]Т08'!$S$277</f>
        <v>1575.8629999999998</v>
      </c>
      <c r="BE33" s="323">
        <f t="shared" si="36"/>
        <v>36719.532999999996</v>
      </c>
      <c r="BF33" s="323">
        <f t="shared" si="37"/>
        <v>-20161.017999999996</v>
      </c>
      <c r="BG33" s="337">
        <f t="shared" si="38"/>
        <v>-168.64999999999964</v>
      </c>
      <c r="BH33" s="32"/>
      <c r="BI33" s="122"/>
      <c r="BJ33" s="122"/>
    </row>
    <row r="34" spans="1:62" ht="12.75">
      <c r="A34" s="136" t="s">
        <v>51</v>
      </c>
      <c r="B34" s="137">
        <v>1385</v>
      </c>
      <c r="C34" s="92">
        <f t="shared" si="39"/>
        <v>13171.35</v>
      </c>
      <c r="D34" s="324"/>
      <c r="E34" s="186"/>
      <c r="F34" s="186"/>
      <c r="G34" s="186">
        <v>13432.1</v>
      </c>
      <c r="H34" s="186"/>
      <c r="I34" s="186"/>
      <c r="J34" s="186"/>
      <c r="K34" s="186"/>
      <c r="L34" s="186"/>
      <c r="M34" s="186"/>
      <c r="N34" s="186">
        <v>0</v>
      </c>
      <c r="O34" s="186"/>
      <c r="P34" s="186"/>
      <c r="Q34" s="186"/>
      <c r="R34" s="186"/>
      <c r="S34" s="187"/>
      <c r="T34" s="202"/>
      <c r="U34" s="197">
        <f t="shared" si="40"/>
        <v>13432.1</v>
      </c>
      <c r="V34" s="328">
        <f t="shared" si="40"/>
        <v>0</v>
      </c>
      <c r="W34" s="200"/>
      <c r="X34" s="177">
        <v>10641.42</v>
      </c>
      <c r="Y34" s="200"/>
      <c r="Z34" s="200"/>
      <c r="AA34" s="177">
        <v>104.16</v>
      </c>
      <c r="AB34" s="177">
        <v>36.1</v>
      </c>
      <c r="AC34" s="200"/>
      <c r="AD34" s="177"/>
      <c r="AE34" s="183"/>
      <c r="AF34" s="184">
        <f t="shared" si="41"/>
        <v>10781.68</v>
      </c>
      <c r="AG34" s="191">
        <f t="shared" si="24"/>
        <v>10781.68</v>
      </c>
      <c r="AH34" s="329">
        <v>0</v>
      </c>
      <c r="AI34" s="168">
        <f t="shared" si="25"/>
        <v>0</v>
      </c>
      <c r="AJ34" s="169">
        <f>'[12]Т09'!$J$41+'[12]Т09'!$J$45+'[12]Т09'!$J$75+'[12]Т09'!$J$78+'[12]Т09'!$J$184+'[12]Т09'!$J$210+'[12]Т09'!$J$277</f>
        <v>3295.065</v>
      </c>
      <c r="AK34" s="152">
        <f t="shared" si="42"/>
        <v>1038.75</v>
      </c>
      <c r="AL34" s="152">
        <f t="shared" si="27"/>
        <v>277</v>
      </c>
      <c r="AM34" s="152">
        <f t="shared" si="28"/>
        <v>1385</v>
      </c>
      <c r="AN34" s="152">
        <f t="shared" si="29"/>
        <v>290.84999999999997</v>
      </c>
      <c r="AO34" s="152">
        <f t="shared" si="30"/>
        <v>2797.7</v>
      </c>
      <c r="AP34" s="152">
        <f t="shared" si="31"/>
        <v>1426.55</v>
      </c>
      <c r="AQ34" s="152">
        <f t="shared" si="32"/>
        <v>1038.75</v>
      </c>
      <c r="AR34" s="152">
        <f t="shared" si="33"/>
        <v>1038.75</v>
      </c>
      <c r="AS34" s="199"/>
      <c r="AT34" s="170">
        <f t="shared" si="34"/>
        <v>175.32000000000002</v>
      </c>
      <c r="AU34" s="325"/>
      <c r="AV34" s="171"/>
      <c r="AW34" s="171">
        <v>208</v>
      </c>
      <c r="AX34" s="171"/>
      <c r="AY34" s="171"/>
      <c r="AZ34" s="171"/>
      <c r="BA34" s="100"/>
      <c r="BB34" s="170"/>
      <c r="BC34" s="185">
        <f t="shared" si="35"/>
        <v>9676.669999999998</v>
      </c>
      <c r="BD34" s="172">
        <f>'[12]Т09'!$S$41+'[12]Т09'!$S$45+'[12]Т09'!$S$75+'[12]Т09'!$S$78+'[12]Т09'!$S$184+'[12]Т09'!$S$210+'[12]Т09'!$S$277</f>
        <v>1575.8629999999998</v>
      </c>
      <c r="BE34" s="323">
        <f t="shared" si="36"/>
        <v>11252.532999999998</v>
      </c>
      <c r="BF34" s="323">
        <f t="shared" si="37"/>
        <v>2824.212000000003</v>
      </c>
      <c r="BG34" s="337">
        <f t="shared" si="38"/>
        <v>-2650.42</v>
      </c>
      <c r="BH34" s="32"/>
      <c r="BI34" s="122"/>
      <c r="BJ34" s="122"/>
    </row>
    <row r="35" spans="1:60" ht="12.75">
      <c r="A35" s="136" t="s">
        <v>39</v>
      </c>
      <c r="B35" s="137">
        <v>1385</v>
      </c>
      <c r="C35" s="92">
        <f t="shared" si="39"/>
        <v>13171.35</v>
      </c>
      <c r="D35" s="324"/>
      <c r="E35" s="186"/>
      <c r="F35" s="186"/>
      <c r="G35" s="186">
        <v>13442.15</v>
      </c>
      <c r="H35" s="186"/>
      <c r="I35" s="186"/>
      <c r="J35" s="186"/>
      <c r="K35" s="186"/>
      <c r="L35" s="186"/>
      <c r="M35" s="186"/>
      <c r="N35" s="186">
        <v>0</v>
      </c>
      <c r="O35" s="186"/>
      <c r="P35" s="186"/>
      <c r="Q35" s="186"/>
      <c r="R35" s="186"/>
      <c r="S35" s="187"/>
      <c r="T35" s="202"/>
      <c r="U35" s="197">
        <f t="shared" si="40"/>
        <v>13442.15</v>
      </c>
      <c r="V35" s="328">
        <f t="shared" si="40"/>
        <v>0</v>
      </c>
      <c r="W35" s="200"/>
      <c r="X35" s="177">
        <v>14978.12</v>
      </c>
      <c r="Y35" s="200"/>
      <c r="Z35" s="200"/>
      <c r="AA35" s="177">
        <v>407.13</v>
      </c>
      <c r="AB35" s="177">
        <v>141.49</v>
      </c>
      <c r="AC35" s="200"/>
      <c r="AD35" s="177"/>
      <c r="AE35" s="183"/>
      <c r="AF35" s="184">
        <f t="shared" si="41"/>
        <v>15526.74</v>
      </c>
      <c r="AG35" s="191">
        <f t="shared" si="24"/>
        <v>15526.74</v>
      </c>
      <c r="AH35" s="329">
        <v>0</v>
      </c>
      <c r="AI35" s="168">
        <f t="shared" si="25"/>
        <v>0</v>
      </c>
      <c r="AJ35" s="169">
        <f>'[12]Т10'!$J$41+'[12]Т10'!$J$45+'[12]Т10'!$J$74+'[12]Т10'!$J$77+'[12]Т10'!$J$183+'[12]Т10'!$J$209+'[12]Т10'!$J$276</f>
        <v>3295.065</v>
      </c>
      <c r="AK35" s="152">
        <f t="shared" si="42"/>
        <v>1038.75</v>
      </c>
      <c r="AL35" s="152">
        <f t="shared" si="27"/>
        <v>277</v>
      </c>
      <c r="AM35" s="152">
        <f t="shared" si="28"/>
        <v>1385</v>
      </c>
      <c r="AN35" s="152">
        <f t="shared" si="29"/>
        <v>290.84999999999997</v>
      </c>
      <c r="AO35" s="152">
        <f t="shared" si="30"/>
        <v>2797.7</v>
      </c>
      <c r="AP35" s="152">
        <f t="shared" si="31"/>
        <v>1426.55</v>
      </c>
      <c r="AQ35" s="152">
        <f t="shared" si="32"/>
        <v>1038.75</v>
      </c>
      <c r="AR35" s="152">
        <f t="shared" si="33"/>
        <v>1038.75</v>
      </c>
      <c r="AS35" s="199">
        <f>B35*1.15</f>
        <v>1592.7499999999998</v>
      </c>
      <c r="AT35" s="170">
        <f t="shared" si="34"/>
        <v>175.32000000000002</v>
      </c>
      <c r="AU35" s="330"/>
      <c r="AV35" s="171"/>
      <c r="AW35" s="171"/>
      <c r="AX35" s="171">
        <v>6329</v>
      </c>
      <c r="AY35" s="171"/>
      <c r="AZ35" s="171"/>
      <c r="BA35" s="100"/>
      <c r="BB35" s="170"/>
      <c r="BC35" s="185">
        <f t="shared" si="35"/>
        <v>17390.42</v>
      </c>
      <c r="BD35" s="172">
        <f>'[12]Т10'!$S$41+'[12]Т10'!$S$45+'[12]Т10'!$S$74+'[12]Т10'!$S$77+'[12]Т10'!$S$183+'[12]Т10'!$S$209+'[12]Т10'!$S$276</f>
        <v>1575.8629999999998</v>
      </c>
      <c r="BE35" s="323">
        <f t="shared" si="36"/>
        <v>18966.283</v>
      </c>
      <c r="BF35" s="323">
        <f t="shared" si="37"/>
        <v>-144.47799999999916</v>
      </c>
      <c r="BG35" s="337">
        <f t="shared" si="38"/>
        <v>2084.59</v>
      </c>
      <c r="BH35" s="32"/>
    </row>
    <row r="36" spans="1:60" ht="12.75">
      <c r="A36" s="136" t="s">
        <v>40</v>
      </c>
      <c r="B36" s="331">
        <v>1385</v>
      </c>
      <c r="C36" s="92">
        <f t="shared" si="39"/>
        <v>13171.35</v>
      </c>
      <c r="D36" s="324"/>
      <c r="E36" s="186"/>
      <c r="F36" s="186"/>
      <c r="G36" s="177">
        <v>13452.17</v>
      </c>
      <c r="H36" s="177"/>
      <c r="I36" s="186"/>
      <c r="J36" s="186"/>
      <c r="K36" s="186"/>
      <c r="L36" s="186"/>
      <c r="M36" s="177"/>
      <c r="N36" s="177">
        <v>0</v>
      </c>
      <c r="O36" s="177"/>
      <c r="P36" s="177"/>
      <c r="Q36" s="177"/>
      <c r="R36" s="177"/>
      <c r="S36" s="183"/>
      <c r="T36" s="202"/>
      <c r="U36" s="197">
        <f t="shared" si="40"/>
        <v>13452.17</v>
      </c>
      <c r="V36" s="328">
        <f t="shared" si="40"/>
        <v>0</v>
      </c>
      <c r="W36" s="200"/>
      <c r="X36" s="177">
        <v>11809.03</v>
      </c>
      <c r="Y36" s="200"/>
      <c r="Z36" s="200"/>
      <c r="AA36" s="177">
        <v>76.52</v>
      </c>
      <c r="AB36" s="177">
        <v>94.21</v>
      </c>
      <c r="AC36" s="200"/>
      <c r="AD36" s="177"/>
      <c r="AE36" s="183"/>
      <c r="AF36" s="184">
        <f t="shared" si="41"/>
        <v>11979.76</v>
      </c>
      <c r="AG36" s="191">
        <f t="shared" si="24"/>
        <v>11979.76</v>
      </c>
      <c r="AH36" s="329">
        <v>0</v>
      </c>
      <c r="AI36" s="168">
        <f t="shared" si="25"/>
        <v>0</v>
      </c>
      <c r="AJ36" s="169">
        <f>'[12]Т11'!$J$41+'[12]Т11'!$J$45+'[12]Т11'!$J$74+'[12]Т11'!$J$77+'[12]Т11'!$J$185+'[12]Т11'!$J$211+'[12]Т11'!$J$278</f>
        <v>3295.065</v>
      </c>
      <c r="AK36" s="152">
        <f t="shared" si="42"/>
        <v>1038.75</v>
      </c>
      <c r="AL36" s="152">
        <f t="shared" si="27"/>
        <v>277</v>
      </c>
      <c r="AM36" s="152">
        <f t="shared" si="28"/>
        <v>1385</v>
      </c>
      <c r="AN36" s="152">
        <f t="shared" si="29"/>
        <v>290.84999999999997</v>
      </c>
      <c r="AO36" s="152">
        <f t="shared" si="30"/>
        <v>2797.7</v>
      </c>
      <c r="AP36" s="152">
        <f t="shared" si="31"/>
        <v>1426.55</v>
      </c>
      <c r="AQ36" s="152">
        <f t="shared" si="32"/>
        <v>1038.75</v>
      </c>
      <c r="AR36" s="152">
        <f t="shared" si="33"/>
        <v>1038.75</v>
      </c>
      <c r="AS36" s="199">
        <f>B36*1.15</f>
        <v>1592.7499999999998</v>
      </c>
      <c r="AT36" s="170">
        <f t="shared" si="34"/>
        <v>175.32000000000002</v>
      </c>
      <c r="AU36" s="325">
        <v>220</v>
      </c>
      <c r="AV36" s="171"/>
      <c r="AW36" s="171"/>
      <c r="AX36" s="171">
        <f>24</f>
        <v>24</v>
      </c>
      <c r="AY36" s="171"/>
      <c r="AZ36" s="171"/>
      <c r="BA36" s="100"/>
      <c r="BB36" s="170"/>
      <c r="BC36" s="185">
        <f t="shared" si="35"/>
        <v>11305.419999999998</v>
      </c>
      <c r="BD36" s="172">
        <f>'[12]Т11'!$S$41+'[12]Т11'!$S$45+'[12]Т11'!$S$74+'[12]Т11'!$S$77+'[12]Т11'!$S$185+'[12]Т11'!$S$211+'[12]Т11'!$S$278</f>
        <v>1575.8629999999998</v>
      </c>
      <c r="BE36" s="323">
        <f t="shared" si="36"/>
        <v>12881.282999999998</v>
      </c>
      <c r="BF36" s="323">
        <f t="shared" si="37"/>
        <v>2393.542000000003</v>
      </c>
      <c r="BG36" s="337">
        <f t="shared" si="38"/>
        <v>-1472.4099999999999</v>
      </c>
      <c r="BH36" s="32"/>
    </row>
    <row r="37" spans="1:60" ht="13.5" thickBot="1">
      <c r="A37" s="136" t="s">
        <v>41</v>
      </c>
      <c r="B37" s="331">
        <v>1385</v>
      </c>
      <c r="C37" s="92">
        <f t="shared" si="39"/>
        <v>13171.35</v>
      </c>
      <c r="D37" s="324"/>
      <c r="E37" s="177"/>
      <c r="F37" s="177"/>
      <c r="G37" s="177">
        <v>13471.74</v>
      </c>
      <c r="H37" s="177"/>
      <c r="I37" s="177"/>
      <c r="J37" s="177"/>
      <c r="K37" s="177"/>
      <c r="L37" s="177"/>
      <c r="M37" s="177"/>
      <c r="N37" s="177">
        <v>0</v>
      </c>
      <c r="O37" s="177"/>
      <c r="P37" s="177"/>
      <c r="Q37" s="177"/>
      <c r="R37" s="177"/>
      <c r="S37" s="183"/>
      <c r="T37" s="202"/>
      <c r="U37" s="197">
        <f t="shared" si="40"/>
        <v>13471.74</v>
      </c>
      <c r="V37" s="328">
        <f t="shared" si="40"/>
        <v>0</v>
      </c>
      <c r="W37" s="200"/>
      <c r="X37" s="177">
        <v>13031.74</v>
      </c>
      <c r="Y37" s="177"/>
      <c r="Z37" s="177"/>
      <c r="AA37" s="177">
        <v>0.34</v>
      </c>
      <c r="AB37" s="177">
        <v>0.11</v>
      </c>
      <c r="AC37" s="177"/>
      <c r="AD37" s="177"/>
      <c r="AE37" s="183"/>
      <c r="AF37" s="184">
        <f t="shared" si="41"/>
        <v>13032.19</v>
      </c>
      <c r="AG37" s="191">
        <f t="shared" si="24"/>
        <v>13032.19</v>
      </c>
      <c r="AH37" s="329">
        <v>0</v>
      </c>
      <c r="AI37" s="168">
        <f t="shared" si="25"/>
        <v>0</v>
      </c>
      <c r="AJ37" s="169">
        <f>'[12]Т12'!$J$41+'[12]Т12'!$J$45+'[12]Т12'!$J$74+'[12]Т12'!$J$77+'[12]Т12'!$J$187+'[12]Т12'!$J$213+'[12]Т12'!$J$280</f>
        <v>3295.065</v>
      </c>
      <c r="AK37" s="152">
        <f t="shared" si="42"/>
        <v>1038.75</v>
      </c>
      <c r="AL37" s="152">
        <f t="shared" si="27"/>
        <v>277</v>
      </c>
      <c r="AM37" s="152">
        <f t="shared" si="28"/>
        <v>1385</v>
      </c>
      <c r="AN37" s="152">
        <f t="shared" si="29"/>
        <v>290.84999999999997</v>
      </c>
      <c r="AO37" s="152">
        <f t="shared" si="30"/>
        <v>2797.7</v>
      </c>
      <c r="AP37" s="152">
        <f t="shared" si="31"/>
        <v>1426.55</v>
      </c>
      <c r="AQ37" s="152">
        <f t="shared" si="32"/>
        <v>1038.75</v>
      </c>
      <c r="AR37" s="152">
        <f t="shared" si="33"/>
        <v>1038.75</v>
      </c>
      <c r="AS37" s="199">
        <f>B37*1.15</f>
        <v>1592.7499999999998</v>
      </c>
      <c r="AT37" s="170">
        <f t="shared" si="34"/>
        <v>175.32000000000002</v>
      </c>
      <c r="AU37" s="325">
        <v>22020</v>
      </c>
      <c r="AV37" s="171">
        <v>1517</v>
      </c>
      <c r="AW37" s="171"/>
      <c r="AX37" s="171">
        <f>1710</f>
        <v>1710</v>
      </c>
      <c r="AY37" s="171"/>
      <c r="AZ37" s="171"/>
      <c r="BA37" s="100"/>
      <c r="BB37" s="170"/>
      <c r="BC37" s="185">
        <f t="shared" si="35"/>
        <v>36308.42</v>
      </c>
      <c r="BD37" s="172">
        <f>'[12]Т12'!$S$41+'[12]Т12'!$S$45+'[12]Т12'!$S$74+'[12]Т12'!$S$77+'[12]Т12'!$S$187+'[12]Т12'!$S$213+'[12]Т12'!$S$280</f>
        <v>1575.8629999999998</v>
      </c>
      <c r="BE37" s="323">
        <f t="shared" si="36"/>
        <v>37884.282999999996</v>
      </c>
      <c r="BF37" s="323">
        <f t="shared" si="37"/>
        <v>-21557.027999999995</v>
      </c>
      <c r="BG37" s="337">
        <f t="shared" si="38"/>
        <v>-439.5499999999993</v>
      </c>
      <c r="BH37" s="32"/>
    </row>
    <row r="38" spans="1:59" s="15" customFormat="1" ht="13.5" thickBot="1">
      <c r="A38" s="203" t="s">
        <v>3</v>
      </c>
      <c r="B38" s="204"/>
      <c r="C38" s="205">
        <f aca="true" t="shared" si="43" ref="C38:AV38">SUM(C26:C37)</f>
        <v>150078.60000000003</v>
      </c>
      <c r="D38" s="205">
        <f t="shared" si="43"/>
        <v>530.6865</v>
      </c>
      <c r="E38" s="205">
        <f t="shared" si="43"/>
        <v>0</v>
      </c>
      <c r="F38" s="205">
        <f t="shared" si="43"/>
        <v>0</v>
      </c>
      <c r="G38" s="205">
        <f t="shared" si="43"/>
        <v>124466.5</v>
      </c>
      <c r="H38" s="205">
        <f t="shared" si="43"/>
        <v>0</v>
      </c>
      <c r="I38" s="205">
        <f t="shared" si="43"/>
        <v>0</v>
      </c>
      <c r="J38" s="205">
        <f t="shared" si="43"/>
        <v>0</v>
      </c>
      <c r="K38" s="205">
        <f t="shared" si="43"/>
        <v>0</v>
      </c>
      <c r="L38" s="205">
        <f t="shared" si="43"/>
        <v>0</v>
      </c>
      <c r="M38" s="205">
        <f t="shared" si="43"/>
        <v>21271.38</v>
      </c>
      <c r="N38" s="205">
        <f t="shared" si="43"/>
        <v>0</v>
      </c>
      <c r="O38" s="205">
        <f t="shared" si="43"/>
        <v>7377.349999999999</v>
      </c>
      <c r="P38" s="205">
        <f t="shared" si="43"/>
        <v>0</v>
      </c>
      <c r="Q38" s="205">
        <f t="shared" si="43"/>
        <v>0</v>
      </c>
      <c r="R38" s="205">
        <f t="shared" si="43"/>
        <v>0</v>
      </c>
      <c r="S38" s="205">
        <f t="shared" si="43"/>
        <v>0</v>
      </c>
      <c r="T38" s="205">
        <f t="shared" si="43"/>
        <v>0</v>
      </c>
      <c r="U38" s="205">
        <f t="shared" si="43"/>
        <v>153115.23</v>
      </c>
      <c r="V38" s="205">
        <f t="shared" si="43"/>
        <v>0</v>
      </c>
      <c r="W38" s="205">
        <f t="shared" si="43"/>
        <v>0</v>
      </c>
      <c r="X38" s="205">
        <f t="shared" si="43"/>
        <v>108946.02</v>
      </c>
      <c r="Y38" s="205">
        <f t="shared" si="43"/>
        <v>0</v>
      </c>
      <c r="Z38" s="205">
        <f t="shared" si="43"/>
        <v>0</v>
      </c>
      <c r="AA38" s="205">
        <f t="shared" si="43"/>
        <v>24561.120000000003</v>
      </c>
      <c r="AB38" s="205">
        <f t="shared" si="43"/>
        <v>7961.4000000000015</v>
      </c>
      <c r="AC38" s="205">
        <f t="shared" si="43"/>
        <v>0</v>
      </c>
      <c r="AD38" s="205">
        <f t="shared" si="43"/>
        <v>0</v>
      </c>
      <c r="AE38" s="205">
        <f t="shared" si="43"/>
        <v>0</v>
      </c>
      <c r="AF38" s="205">
        <f t="shared" si="43"/>
        <v>141468.54</v>
      </c>
      <c r="AG38" s="205">
        <f t="shared" si="43"/>
        <v>141999.2265</v>
      </c>
      <c r="AH38" s="205">
        <f t="shared" si="43"/>
        <v>0</v>
      </c>
      <c r="AI38" s="205">
        <f t="shared" si="43"/>
        <v>0</v>
      </c>
      <c r="AJ38" s="205">
        <f t="shared" si="43"/>
        <v>35845.715</v>
      </c>
      <c r="AK38" s="205">
        <f t="shared" si="43"/>
        <v>11800.2</v>
      </c>
      <c r="AL38" s="205">
        <f t="shared" si="43"/>
        <v>3324</v>
      </c>
      <c r="AM38" s="205">
        <f t="shared" si="43"/>
        <v>16620</v>
      </c>
      <c r="AN38" s="205">
        <f t="shared" si="43"/>
        <v>3490.1999999999994</v>
      </c>
      <c r="AO38" s="205">
        <f t="shared" si="43"/>
        <v>33572.4</v>
      </c>
      <c r="AP38" s="205">
        <f t="shared" si="43"/>
        <v>17118.599999999995</v>
      </c>
      <c r="AQ38" s="205">
        <f t="shared" si="43"/>
        <v>12465</v>
      </c>
      <c r="AR38" s="205">
        <f t="shared" si="43"/>
        <v>12465</v>
      </c>
      <c r="AS38" s="205">
        <f t="shared" si="43"/>
        <v>9556.499999999998</v>
      </c>
      <c r="AT38" s="205">
        <f t="shared" si="43"/>
        <v>2103.8399999999997</v>
      </c>
      <c r="AU38" s="205">
        <f t="shared" si="43"/>
        <v>67130</v>
      </c>
      <c r="AV38" s="205">
        <f t="shared" si="43"/>
        <v>1517</v>
      </c>
      <c r="AW38" s="205">
        <f>SUM(AW26:AW37)</f>
        <v>15641</v>
      </c>
      <c r="AX38" s="205">
        <f aca="true" t="shared" si="44" ref="AX38:BF38">SUM(AX26:AX37)</f>
        <v>24930.2</v>
      </c>
      <c r="AY38" s="205"/>
      <c r="AZ38" s="205"/>
      <c r="BA38" s="205">
        <f t="shared" si="44"/>
        <v>0</v>
      </c>
      <c r="BB38" s="205">
        <f t="shared" si="44"/>
        <v>0</v>
      </c>
      <c r="BC38" s="205">
        <f t="shared" si="44"/>
        <v>231733.93999999994</v>
      </c>
      <c r="BD38" s="205">
        <f t="shared" si="44"/>
        <v>18785.355999999996</v>
      </c>
      <c r="BE38" s="205">
        <f t="shared" si="44"/>
        <v>250519.29599999997</v>
      </c>
      <c r="BF38" s="205">
        <f t="shared" si="44"/>
        <v>-72674.35449999997</v>
      </c>
      <c r="BG38" s="205">
        <f>SUM(BG26:BG37)</f>
        <v>-11646.689999999993</v>
      </c>
    </row>
    <row r="39" spans="1:59" s="15" customFormat="1" ht="13.5" thickBot="1">
      <c r="A39" s="206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8"/>
      <c r="BF39" s="207"/>
      <c r="BG39" s="209"/>
    </row>
    <row r="40" spans="1:59" s="15" customFormat="1" ht="13.5" thickBot="1">
      <c r="A40" s="16" t="s">
        <v>52</v>
      </c>
      <c r="B40" s="207"/>
      <c r="C40" s="212">
        <f aca="true" t="shared" si="45" ref="C40:BF40">C38+C24</f>
        <v>615577.1500000001</v>
      </c>
      <c r="D40" s="212">
        <f t="shared" si="45"/>
        <v>38929.91882630004</v>
      </c>
      <c r="E40" s="212">
        <f t="shared" si="45"/>
        <v>28496.069999999992</v>
      </c>
      <c r="F40" s="212">
        <f t="shared" si="45"/>
        <v>4436.09</v>
      </c>
      <c r="G40" s="212">
        <f t="shared" si="45"/>
        <v>211227.95</v>
      </c>
      <c r="H40" s="212">
        <f t="shared" si="45"/>
        <v>0</v>
      </c>
      <c r="I40" s="212">
        <f t="shared" si="45"/>
        <v>38567.229999999996</v>
      </c>
      <c r="J40" s="212">
        <f t="shared" si="45"/>
        <v>6005.280000000001</v>
      </c>
      <c r="K40" s="212">
        <f t="shared" si="45"/>
        <v>64212.630000000005</v>
      </c>
      <c r="L40" s="212">
        <f t="shared" si="45"/>
        <v>9997.800000000001</v>
      </c>
      <c r="M40" s="212">
        <f t="shared" si="45"/>
        <v>156124.17000000004</v>
      </c>
      <c r="N40" s="212">
        <f t="shared" si="45"/>
        <v>14433.77</v>
      </c>
      <c r="O40" s="212">
        <f t="shared" si="45"/>
        <v>44786.84</v>
      </c>
      <c r="P40" s="212">
        <f t="shared" si="45"/>
        <v>3548.57</v>
      </c>
      <c r="Q40" s="212">
        <f t="shared" si="45"/>
        <v>0</v>
      </c>
      <c r="R40" s="212">
        <f t="shared" si="45"/>
        <v>0</v>
      </c>
      <c r="S40" s="212">
        <f t="shared" si="45"/>
        <v>0</v>
      </c>
      <c r="T40" s="212">
        <f t="shared" si="45"/>
        <v>0</v>
      </c>
      <c r="U40" s="212">
        <f t="shared" si="45"/>
        <v>543414.89</v>
      </c>
      <c r="V40" s="212">
        <f t="shared" si="45"/>
        <v>38421.509999999995</v>
      </c>
      <c r="W40" s="212">
        <f t="shared" si="45"/>
        <v>27413.73</v>
      </c>
      <c r="X40" s="212">
        <f t="shared" si="45"/>
        <v>184602.18</v>
      </c>
      <c r="Y40" s="212">
        <f t="shared" si="45"/>
        <v>37098.79</v>
      </c>
      <c r="Z40" s="212">
        <f t="shared" si="45"/>
        <v>61770.880000000005</v>
      </c>
      <c r="AA40" s="212">
        <f t="shared" si="45"/>
        <v>150543.40999999997</v>
      </c>
      <c r="AB40" s="212">
        <f t="shared" si="45"/>
        <v>42641.47</v>
      </c>
      <c r="AC40" s="212">
        <f t="shared" si="45"/>
        <v>0</v>
      </c>
      <c r="AD40" s="212">
        <f t="shared" si="45"/>
        <v>0</v>
      </c>
      <c r="AE40" s="212">
        <f t="shared" si="45"/>
        <v>227485.15999999997</v>
      </c>
      <c r="AF40" s="212" t="e">
        <f t="shared" si="45"/>
        <v>#REF!</v>
      </c>
      <c r="AG40" s="212">
        <f t="shared" si="45"/>
        <v>581421.8888263</v>
      </c>
      <c r="AH40" s="212">
        <f t="shared" si="45"/>
        <v>0</v>
      </c>
      <c r="AI40" s="212">
        <f t="shared" si="45"/>
        <v>0</v>
      </c>
      <c r="AJ40" s="212">
        <f t="shared" si="45"/>
        <v>108157.17464000001</v>
      </c>
      <c r="AK40" s="212">
        <f t="shared" si="45"/>
        <v>45035.592000000004</v>
      </c>
      <c r="AL40" s="212">
        <f t="shared" si="45"/>
        <v>14053.2997904</v>
      </c>
      <c r="AM40" s="212">
        <f t="shared" si="45"/>
        <v>69926.86693649</v>
      </c>
      <c r="AN40" s="212">
        <f t="shared" si="45"/>
        <v>6980.399999999999</v>
      </c>
      <c r="AO40" s="212">
        <f t="shared" si="45"/>
        <v>103736.727792722</v>
      </c>
      <c r="AP40" s="212">
        <f t="shared" si="45"/>
        <v>116097.2131882308</v>
      </c>
      <c r="AQ40" s="212">
        <f t="shared" si="45"/>
        <v>24930</v>
      </c>
      <c r="AR40" s="212">
        <f t="shared" si="45"/>
        <v>24930</v>
      </c>
      <c r="AS40" s="212">
        <f t="shared" si="45"/>
        <v>19112.999999999996</v>
      </c>
      <c r="AT40" s="212">
        <f t="shared" si="45"/>
        <v>6136.199999999999</v>
      </c>
      <c r="AU40" s="212">
        <f t="shared" si="45"/>
        <v>139120.6152</v>
      </c>
      <c r="AV40" s="212">
        <f t="shared" si="45"/>
        <v>1517</v>
      </c>
      <c r="AW40" s="212">
        <f t="shared" si="45"/>
        <v>33539.07</v>
      </c>
      <c r="AX40" s="212">
        <f t="shared" si="45"/>
        <v>27383.25</v>
      </c>
      <c r="AY40" s="212">
        <f t="shared" si="45"/>
        <v>11975.042000000001</v>
      </c>
      <c r="AZ40" s="212">
        <f t="shared" si="45"/>
        <v>0</v>
      </c>
      <c r="BA40" s="212">
        <f t="shared" si="45"/>
        <v>0</v>
      </c>
      <c r="BB40" s="212">
        <f t="shared" si="45"/>
        <v>0</v>
      </c>
      <c r="BC40" s="212">
        <f t="shared" si="45"/>
        <v>644474.2769078427</v>
      </c>
      <c r="BD40" s="212">
        <f t="shared" si="45"/>
        <v>54234.9164749942</v>
      </c>
      <c r="BE40" s="212">
        <f t="shared" si="45"/>
        <v>698709.193382837</v>
      </c>
      <c r="BF40" s="212">
        <f t="shared" si="45"/>
        <v>-9130.129916536913</v>
      </c>
      <c r="BG40" s="212">
        <f>BG38+BG24</f>
        <v>-39344.42999999999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J60" sqref="J60:N60"/>
    </sheetView>
  </sheetViews>
  <sheetFormatPr defaultColWidth="9.00390625" defaultRowHeight="12.75"/>
  <cols>
    <col min="1" max="1" width="9.125" style="216" customWidth="1"/>
    <col min="2" max="2" width="10.00390625" style="216" customWidth="1"/>
    <col min="3" max="3" width="10.375" style="216" customWidth="1"/>
    <col min="4" max="4" width="9.375" style="216" customWidth="1"/>
    <col min="5" max="5" width="10.375" style="216" customWidth="1"/>
    <col min="6" max="6" width="9.375" style="216" customWidth="1"/>
    <col min="7" max="7" width="10.875" style="216" customWidth="1"/>
    <col min="8" max="8" width="11.00390625" style="216" customWidth="1"/>
    <col min="9" max="9" width="9.625" style="216" customWidth="1"/>
    <col min="10" max="10" width="9.25390625" style="216" customWidth="1"/>
    <col min="11" max="11" width="9.00390625" style="216" customWidth="1"/>
    <col min="12" max="12" width="10.625" style="216" customWidth="1"/>
    <col min="13" max="13" width="10.25390625" style="216" customWidth="1"/>
    <col min="14" max="14" width="9.125" style="216" customWidth="1"/>
    <col min="15" max="15" width="10.75390625" style="216" customWidth="1"/>
    <col min="16" max="16" width="9.375" style="216" customWidth="1"/>
    <col min="17" max="17" width="9.75390625" style="216" customWidth="1"/>
    <col min="18" max="16384" width="9.125" style="216" customWidth="1"/>
  </cols>
  <sheetData>
    <row r="1" spans="2:9" ht="20.25" customHeight="1">
      <c r="B1" s="457" t="s">
        <v>53</v>
      </c>
      <c r="C1" s="457"/>
      <c r="D1" s="457"/>
      <c r="E1" s="457"/>
      <c r="F1" s="457"/>
      <c r="G1" s="457"/>
      <c r="H1" s="457"/>
      <c r="I1" s="121"/>
    </row>
    <row r="2" spans="2:9" ht="21" customHeight="1">
      <c r="B2" s="457" t="s">
        <v>54</v>
      </c>
      <c r="C2" s="457"/>
      <c r="D2" s="457"/>
      <c r="E2" s="457"/>
      <c r="F2" s="457"/>
      <c r="G2" s="457"/>
      <c r="H2" s="457"/>
      <c r="I2" s="121"/>
    </row>
    <row r="5" spans="1:16" ht="12.75">
      <c r="A5" s="541" t="s">
        <v>75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</row>
    <row r="6" spans="1:16" ht="12.75">
      <c r="A6" s="542" t="s">
        <v>128</v>
      </c>
      <c r="B6" s="542"/>
      <c r="C6" s="542"/>
      <c r="D6" s="542"/>
      <c r="E6" s="542"/>
      <c r="F6" s="542"/>
      <c r="G6" s="542"/>
      <c r="H6" s="217"/>
      <c r="I6" s="217"/>
      <c r="J6" s="217"/>
      <c r="K6" s="217"/>
      <c r="L6" s="217"/>
      <c r="M6" s="217"/>
      <c r="N6" s="217"/>
      <c r="O6" s="217"/>
      <c r="P6" s="217"/>
    </row>
    <row r="7" spans="1:6" ht="13.5" thickBot="1">
      <c r="A7" s="543" t="s">
        <v>55</v>
      </c>
      <c r="B7" s="543"/>
      <c r="C7" s="543"/>
      <c r="D7" s="543"/>
      <c r="E7" s="543">
        <v>9.51</v>
      </c>
      <c r="F7" s="543"/>
    </row>
    <row r="8" spans="1:17" ht="12.75" customHeight="1">
      <c r="A8" s="513" t="s">
        <v>56</v>
      </c>
      <c r="B8" s="516" t="s">
        <v>0</v>
      </c>
      <c r="C8" s="519" t="s">
        <v>127</v>
      </c>
      <c r="D8" s="522" t="s">
        <v>121</v>
      </c>
      <c r="E8" s="533" t="s">
        <v>58</v>
      </c>
      <c r="F8" s="534"/>
      <c r="G8" s="537" t="s">
        <v>59</v>
      </c>
      <c r="H8" s="538"/>
      <c r="I8" s="501" t="s">
        <v>115</v>
      </c>
      <c r="J8" s="504" t="s">
        <v>8</v>
      </c>
      <c r="K8" s="505"/>
      <c r="L8" s="505"/>
      <c r="M8" s="505"/>
      <c r="N8" s="505"/>
      <c r="O8" s="506"/>
      <c r="P8" s="510" t="s">
        <v>60</v>
      </c>
      <c r="Q8" s="510" t="s">
        <v>10</v>
      </c>
    </row>
    <row r="9" spans="1:17" ht="12.75">
      <c r="A9" s="514"/>
      <c r="B9" s="517"/>
      <c r="C9" s="520"/>
      <c r="D9" s="523"/>
      <c r="E9" s="535"/>
      <c r="F9" s="536"/>
      <c r="G9" s="539"/>
      <c r="H9" s="540"/>
      <c r="I9" s="502"/>
      <c r="J9" s="507"/>
      <c r="K9" s="508"/>
      <c r="L9" s="508"/>
      <c r="M9" s="508"/>
      <c r="N9" s="508"/>
      <c r="O9" s="509"/>
      <c r="P9" s="511"/>
      <c r="Q9" s="511"/>
    </row>
    <row r="10" spans="1:17" ht="26.25" customHeight="1">
      <c r="A10" s="514"/>
      <c r="B10" s="517"/>
      <c r="C10" s="520"/>
      <c r="D10" s="523"/>
      <c r="E10" s="525" t="s">
        <v>61</v>
      </c>
      <c r="F10" s="526"/>
      <c r="G10" s="218" t="s">
        <v>62</v>
      </c>
      <c r="H10" s="527" t="s">
        <v>5</v>
      </c>
      <c r="I10" s="502"/>
      <c r="J10" s="529" t="s">
        <v>63</v>
      </c>
      <c r="K10" s="531" t="s">
        <v>116</v>
      </c>
      <c r="L10" s="531" t="s">
        <v>64</v>
      </c>
      <c r="M10" s="531" t="s">
        <v>35</v>
      </c>
      <c r="N10" s="527" t="s">
        <v>117</v>
      </c>
      <c r="O10" s="527" t="s">
        <v>37</v>
      </c>
      <c r="P10" s="511"/>
      <c r="Q10" s="511"/>
    </row>
    <row r="11" spans="1:17" ht="66.75" customHeight="1" thickBot="1">
      <c r="A11" s="515"/>
      <c r="B11" s="518"/>
      <c r="C11" s="521"/>
      <c r="D11" s="524"/>
      <c r="E11" s="219" t="s">
        <v>66</v>
      </c>
      <c r="F11" s="220" t="s">
        <v>19</v>
      </c>
      <c r="G11" s="221" t="s">
        <v>67</v>
      </c>
      <c r="H11" s="528"/>
      <c r="I11" s="503"/>
      <c r="J11" s="530"/>
      <c r="K11" s="532"/>
      <c r="L11" s="532"/>
      <c r="M11" s="532"/>
      <c r="N11" s="528"/>
      <c r="O11" s="528"/>
      <c r="P11" s="512"/>
      <c r="Q11" s="512"/>
    </row>
    <row r="12" spans="1:17" ht="13.5" thickBot="1">
      <c r="A12" s="222">
        <v>1</v>
      </c>
      <c r="B12" s="223">
        <v>2</v>
      </c>
      <c r="C12" s="222">
        <v>3</v>
      </c>
      <c r="D12" s="223">
        <v>4</v>
      </c>
      <c r="E12" s="222">
        <v>5</v>
      </c>
      <c r="F12" s="223">
        <v>6</v>
      </c>
      <c r="G12" s="222">
        <v>7</v>
      </c>
      <c r="H12" s="223">
        <v>8</v>
      </c>
      <c r="I12" s="223">
        <v>9</v>
      </c>
      <c r="J12" s="222">
        <v>10</v>
      </c>
      <c r="K12" s="223">
        <v>11</v>
      </c>
      <c r="L12" s="223">
        <v>12</v>
      </c>
      <c r="M12" s="222">
        <v>13</v>
      </c>
      <c r="N12" s="223">
        <v>14</v>
      </c>
      <c r="O12" s="223">
        <v>14</v>
      </c>
      <c r="P12" s="223">
        <v>15</v>
      </c>
      <c r="Q12" s="222">
        <v>16</v>
      </c>
    </row>
    <row r="13" spans="1:19" ht="13.5" hidden="1" thickBot="1">
      <c r="A13" s="224" t="s">
        <v>42</v>
      </c>
      <c r="B13" s="225"/>
      <c r="C13" s="226"/>
      <c r="D13" s="227"/>
      <c r="E13" s="228"/>
      <c r="F13" s="229"/>
      <c r="G13" s="230"/>
      <c r="H13" s="229"/>
      <c r="I13" s="231"/>
      <c r="J13" s="230"/>
      <c r="K13" s="232"/>
      <c r="L13" s="232"/>
      <c r="M13" s="233"/>
      <c r="N13" s="234"/>
      <c r="O13" s="235"/>
      <c r="P13" s="236"/>
      <c r="Q13" s="236"/>
      <c r="R13" s="237"/>
      <c r="S13" s="237"/>
    </row>
    <row r="14" spans="1:19" ht="13.5" hidden="1" thickBot="1">
      <c r="A14" s="238" t="s">
        <v>43</v>
      </c>
      <c r="B14" s="239">
        <f>'[11]Лист1'!B8</f>
        <v>0</v>
      </c>
      <c r="C14" s="240">
        <f aca="true" t="shared" si="0" ref="C14:C25">B14*8.65</f>
        <v>0</v>
      </c>
      <c r="D14" s="241">
        <f>'[11]Лист1'!D8</f>
        <v>0</v>
      </c>
      <c r="E14" s="232">
        <f>'[11]Лист1'!S8</f>
        <v>0</v>
      </c>
      <c r="F14" s="234">
        <f>'[11]Лист1'!T8</f>
        <v>0</v>
      </c>
      <c r="G14" s="242">
        <f>'[11]Лист1'!AB8</f>
        <v>0</v>
      </c>
      <c r="H14" s="234">
        <f>'[11]Лист1'!AC8</f>
        <v>0</v>
      </c>
      <c r="I14" s="243"/>
      <c r="J14" s="242">
        <f>'[11]Лист1'!AG8</f>
        <v>0</v>
      </c>
      <c r="K14" s="232">
        <f>'[11]Лист1'!AI8+'[11]Лист1'!AJ8</f>
        <v>0</v>
      </c>
      <c r="L14" s="232">
        <f>'[11]Лист1'!AH8+'[11]Лист1'!AK8+'[11]Лист1'!AL8+'[11]Лист1'!AM8+'[11]Лист1'!AN8+'[11]Лист1'!AO8+'[11]Лист1'!AP8+'[11]Лист1'!AQ8+'[11]Лист1'!AR8</f>
        <v>0</v>
      </c>
      <c r="M14" s="233">
        <f>'[11]Лист1'!AS8+'[11]Лист1'!AT8+'[11]Лист1'!AU8+'[11]Лист1'!AZ8+'[11]Лист1'!BA8</f>
        <v>0</v>
      </c>
      <c r="N14" s="234">
        <f>'[11]Лист1'!BB8</f>
        <v>0</v>
      </c>
      <c r="O14" s="235"/>
      <c r="P14" s="236">
        <f>'[11]Лист1'!BD8</f>
        <v>0</v>
      </c>
      <c r="Q14" s="236">
        <f>'[11]Лист1'!BE8</f>
        <v>0</v>
      </c>
      <c r="R14" s="237"/>
      <c r="S14" s="237"/>
    </row>
    <row r="15" spans="1:19" ht="13.5" hidden="1" thickBot="1">
      <c r="A15" s="238" t="s">
        <v>44</v>
      </c>
      <c r="B15" s="239">
        <f>'[11]Лист1'!B9</f>
        <v>347</v>
      </c>
      <c r="C15" s="240">
        <f t="shared" si="0"/>
        <v>3001.55</v>
      </c>
      <c r="D15" s="241">
        <f>'[11]Лист1'!D9</f>
        <v>375.19375</v>
      </c>
      <c r="E15" s="232">
        <f>'[11]Лист1'!S9</f>
        <v>1402.63</v>
      </c>
      <c r="F15" s="234">
        <f>'[11]Лист1'!T9</f>
        <v>770.85</v>
      </c>
      <c r="G15" s="242">
        <f>'[11]Лист1'!AB9</f>
        <v>1205.52</v>
      </c>
      <c r="H15" s="234">
        <f>'[11]Лист1'!AC9</f>
        <v>2351.5637500000003</v>
      </c>
      <c r="I15" s="243"/>
      <c r="J15" s="242">
        <f>'[11]Лист1'!AG9</f>
        <v>187.38</v>
      </c>
      <c r="K15" s="232">
        <f>'[11]Лист1'!AI9+'[11]Лист1'!AJ9</f>
        <v>301.727947</v>
      </c>
      <c r="L15" s="232">
        <f>'[11]Лист1'!AH9+'[11]Лист1'!AK9+'[11]Лист1'!AL9+'[11]Лист1'!AM9+'[11]Лист1'!AN9+'[11]Лист1'!AO9+'[11]Лист1'!AP9+'[11]Лист1'!AQ9+'[11]Лист1'!AR9</f>
        <v>1036.33545944</v>
      </c>
      <c r="M15" s="233">
        <f>'[11]Лист1'!AS9+'[11]Лист1'!AT9+'[11]Лист1'!AU9+'[11]Лист1'!AZ9+'[11]Лист1'!BA9</f>
        <v>0</v>
      </c>
      <c r="N15" s="234">
        <f>'[11]Лист1'!BB9</f>
        <v>1525.4434064399998</v>
      </c>
      <c r="O15" s="235"/>
      <c r="P15" s="236">
        <f>'[11]Лист1'!BD9</f>
        <v>826.1203435600005</v>
      </c>
      <c r="Q15" s="236">
        <f>'[11]Лист1'!BE9</f>
        <v>-197.11000000000013</v>
      </c>
      <c r="R15" s="237"/>
      <c r="S15" s="237"/>
    </row>
    <row r="16" spans="1:19" ht="13.5" hidden="1" thickBot="1">
      <c r="A16" s="238" t="s">
        <v>45</v>
      </c>
      <c r="B16" s="239">
        <f>'[11]Лист1'!B10</f>
        <v>347</v>
      </c>
      <c r="C16" s="240">
        <f t="shared" si="0"/>
        <v>3001.55</v>
      </c>
      <c r="D16" s="241">
        <f>'[11]Лист1'!D10</f>
        <v>375.19375</v>
      </c>
      <c r="E16" s="232">
        <f>'[11]Лист1'!S10</f>
        <v>1402.63</v>
      </c>
      <c r="F16" s="234">
        <f>'[11]Лист1'!T10</f>
        <v>770.85</v>
      </c>
      <c r="G16" s="242">
        <f>'[11]Лист1'!AB10</f>
        <v>1141.3000000000002</v>
      </c>
      <c r="H16" s="234">
        <f>'[11]Лист1'!AC10</f>
        <v>2287.34375</v>
      </c>
      <c r="I16" s="243"/>
      <c r="J16" s="242">
        <f>'[11]Лист1'!AG10</f>
        <v>187.38</v>
      </c>
      <c r="K16" s="232">
        <f>'[11]Лист1'!AI10+'[11]Лист1'!AJ10</f>
        <v>301.403506</v>
      </c>
      <c r="L16" s="232">
        <f>'[11]Лист1'!AH10+'[11]Лист1'!AK10+'[11]Лист1'!AL10+'[11]Лист1'!AM10+'[11]Лист1'!AN10+'[11]Лист1'!AO10+'[11]Лист1'!AP10+'[11]Лист1'!AQ10+'[11]Лист1'!AR10</f>
        <v>1037.8314805399998</v>
      </c>
      <c r="M16" s="233">
        <f>'[11]Лист1'!AS10+'[11]Лист1'!AT10+'[11]Лист1'!AU10+'[11]Лист1'!AZ10+'[11]Лист1'!BA10</f>
        <v>1569.4</v>
      </c>
      <c r="N16" s="234">
        <f>'[11]Лист1'!BB10</f>
        <v>3096.0149865399994</v>
      </c>
      <c r="O16" s="235"/>
      <c r="P16" s="236">
        <f>'[11]Лист1'!BD10</f>
        <v>-808.6712365399994</v>
      </c>
      <c r="Q16" s="236">
        <f>'[11]Лист1'!BE10</f>
        <v>-261.3299999999999</v>
      </c>
      <c r="R16" s="237"/>
      <c r="S16" s="237"/>
    </row>
    <row r="17" spans="1:19" ht="13.5" hidden="1" thickBot="1">
      <c r="A17" s="238" t="s">
        <v>46</v>
      </c>
      <c r="B17" s="239">
        <f>'[11]Лист1'!B11</f>
        <v>347</v>
      </c>
      <c r="C17" s="240">
        <f t="shared" si="0"/>
        <v>3001.55</v>
      </c>
      <c r="D17" s="241">
        <f>'[11]Лист1'!D11</f>
        <v>375.19375</v>
      </c>
      <c r="E17" s="232">
        <f>'[11]Лист1'!S11</f>
        <v>1402.63</v>
      </c>
      <c r="F17" s="234">
        <f>'[11]Лист1'!T11</f>
        <v>770.85</v>
      </c>
      <c r="G17" s="242">
        <f>'[11]Лист1'!AB11</f>
        <v>1864.7600000000002</v>
      </c>
      <c r="H17" s="234">
        <f>'[11]Лист1'!AC11</f>
        <v>3010.80375</v>
      </c>
      <c r="I17" s="243"/>
      <c r="J17" s="242">
        <f>'[11]Лист1'!AG11</f>
        <v>187.38</v>
      </c>
      <c r="K17" s="232">
        <f>'[11]Лист1'!AI11+'[11]Лист1'!AJ11</f>
        <v>301.9373675</v>
      </c>
      <c r="L17" s="232">
        <f>'[11]Лист1'!AH11+'[11]Лист1'!AK11+'[11]Лист1'!AL11+'[11]Лист1'!AM11+'[11]Лист1'!AN11+'[11]Лист1'!AO11+'[11]Лист1'!AP11+'[11]Лист1'!AQ11+'[11]Лист1'!AR11</f>
        <v>1003.1883752000001</v>
      </c>
      <c r="M17" s="233">
        <f>'[11]Лист1'!AS11+'[11]Лист1'!AT11+'[11]Лист1'!AU11+'[11]Лист1'!AY11+'[11]Лист1'!AZ11</f>
        <v>0</v>
      </c>
      <c r="N17" s="234">
        <f>'[11]Лист1'!BB11</f>
        <v>1492.5057427</v>
      </c>
      <c r="O17" s="235"/>
      <c r="P17" s="236">
        <f>'[11]Лист1'!BD11</f>
        <v>1518.2980073</v>
      </c>
      <c r="Q17" s="236">
        <f>'[11]Лист1'!BE11</f>
        <v>462.1300000000001</v>
      </c>
      <c r="R17" s="237"/>
      <c r="S17" s="237"/>
    </row>
    <row r="18" spans="1:19" ht="13.5" hidden="1" thickBot="1">
      <c r="A18" s="238" t="s">
        <v>47</v>
      </c>
      <c r="B18" s="239">
        <f>'[11]Лист1'!B12</f>
        <v>347</v>
      </c>
      <c r="C18" s="240">
        <f t="shared" si="0"/>
        <v>3001.55</v>
      </c>
      <c r="D18" s="241">
        <f>'[11]Лист1'!D12</f>
        <v>375.19375</v>
      </c>
      <c r="E18" s="232">
        <f>'[11]Лист1'!S12</f>
        <v>1401.9099999999999</v>
      </c>
      <c r="F18" s="234">
        <f>'[11]Лист1'!T12</f>
        <v>770.85</v>
      </c>
      <c r="G18" s="242">
        <f>'[11]Лист1'!AB12</f>
        <v>1402.6</v>
      </c>
      <c r="H18" s="234">
        <f>'[11]Лист1'!AC12</f>
        <v>2548.64375</v>
      </c>
      <c r="I18" s="243"/>
      <c r="J18" s="242">
        <f>'[11]Лист1'!AG12</f>
        <v>187.38</v>
      </c>
      <c r="K18" s="232">
        <f>'[11]Лист1'!AI12+'[11]Лист1'!AJ12</f>
        <v>310.800613</v>
      </c>
      <c r="L18" s="232">
        <f>'[11]Лист1'!AH12+'[11]Лист1'!AK12+'[11]Лист1'!AL12+'[11]Лист1'!AM12+'[11]Лист1'!AN12+'[11]Лист1'!AO12+'[11]Лист1'!AP12+'[11]Лист1'!AQ12+'[11]Лист1'!AR12</f>
        <v>1017.49191592</v>
      </c>
      <c r="M18" s="233">
        <f>'[11]Лист1'!AS12+'[11]Лист1'!AT12+'[11]Лист1'!AU12+'[11]Лист1'!AZ12+'[11]Лист1'!BA12</f>
        <v>0</v>
      </c>
      <c r="N18" s="234">
        <f>'[11]Лист1'!BB12</f>
        <v>1833.8477289200002</v>
      </c>
      <c r="O18" s="235"/>
      <c r="P18" s="236">
        <f>'[11]Лист1'!BD12</f>
        <v>714.79602108</v>
      </c>
      <c r="Q18" s="236">
        <f>'[11]Лист1'!BE12</f>
        <v>0.6900000000000546</v>
      </c>
      <c r="R18" s="237"/>
      <c r="S18" s="237"/>
    </row>
    <row r="19" spans="1:19" ht="13.5" hidden="1" thickBot="1">
      <c r="A19" s="238" t="s">
        <v>48</v>
      </c>
      <c r="B19" s="239">
        <f>'[11]Лист1'!B13</f>
        <v>347</v>
      </c>
      <c r="C19" s="240">
        <f t="shared" si="0"/>
        <v>3001.55</v>
      </c>
      <c r="D19" s="241">
        <f>'[11]Лист1'!D13</f>
        <v>577.8599999999997</v>
      </c>
      <c r="E19" s="232">
        <f>'[11]Лист1'!S13</f>
        <v>1563.57</v>
      </c>
      <c r="F19" s="234">
        <f>'[11]Лист1'!T13</f>
        <v>860.12</v>
      </c>
      <c r="G19" s="242">
        <f>'[11]Лист1'!AB13</f>
        <v>1101.03</v>
      </c>
      <c r="H19" s="234">
        <f>'[11]Лист1'!AC13</f>
        <v>2539.0099999999993</v>
      </c>
      <c r="I19" s="243"/>
      <c r="J19" s="242">
        <f>'[11]Лист1'!AG13</f>
        <v>208.2</v>
      </c>
      <c r="K19" s="232">
        <f>'[11]Лист1'!AI13+'[11]Лист1'!AJ13</f>
        <v>348.041</v>
      </c>
      <c r="L19" s="232">
        <f>'[11]Лист1'!AH13+'[11]Лист1'!AK13+'[11]Лист1'!AL13+'[11]Лист1'!AM13+'[11]Лист1'!AN13+'[11]Лист1'!AO13+'[11]Лист1'!AP13+'[11]Лист1'!AQ13+'[11]Лист1'!AR13</f>
        <v>1192.0144</v>
      </c>
      <c r="M19" s="233">
        <f>'[11]Лист1'!AS13+'[11]Лист1'!AT13+'[11]Лист1'!AU13+'[11]Лист1'!AZ13+'[11]Лист1'!BA13</f>
        <v>0</v>
      </c>
      <c r="N19" s="234">
        <f>'[11]Лист1'!BB13</f>
        <v>1800.3925199999999</v>
      </c>
      <c r="O19" s="235"/>
      <c r="P19" s="236">
        <f>'[11]Лист1'!BD13</f>
        <v>738.6174799999994</v>
      </c>
      <c r="Q19" s="236">
        <f>'[11]Лист1'!BE13</f>
        <v>-462.53999999999996</v>
      </c>
      <c r="R19" s="237"/>
      <c r="S19" s="237"/>
    </row>
    <row r="20" spans="1:19" ht="13.5" hidden="1" thickBot="1">
      <c r="A20" s="238" t="s">
        <v>49</v>
      </c>
      <c r="B20" s="239">
        <f>'[11]Лист1'!B14</f>
        <v>347</v>
      </c>
      <c r="C20" s="240">
        <f t="shared" si="0"/>
        <v>3001.55</v>
      </c>
      <c r="D20" s="241">
        <f>'[11]Лист1'!D14</f>
        <v>577.73</v>
      </c>
      <c r="E20" s="232">
        <f>'[11]Лист1'!S14</f>
        <v>1563.7</v>
      </c>
      <c r="F20" s="234">
        <f>'[11]Лист1'!T14</f>
        <v>860.12</v>
      </c>
      <c r="G20" s="242">
        <f>'[11]Лист1'!AB14</f>
        <v>1864.8400000000001</v>
      </c>
      <c r="H20" s="234">
        <f>'[11]Лист1'!AC14</f>
        <v>3302.69</v>
      </c>
      <c r="I20" s="243"/>
      <c r="J20" s="242">
        <f>'[11]Лист1'!AG14</f>
        <v>208.2</v>
      </c>
      <c r="K20" s="232">
        <f>'[11]Лист1'!AI14+'[11]Лист1'!AJ14</f>
        <v>348.041</v>
      </c>
      <c r="L20" s="232">
        <f>'[11]Лист1'!AH14+'[11]Лист1'!AK14+'[11]Лист1'!AL14+'[11]Лист1'!AM14+'[11]Лист1'!AN14+'[11]Лист1'!AO14+'[11]Лист1'!AP14+'[11]Лист1'!AQ14+'[11]Лист1'!AR14</f>
        <v>1192.04563</v>
      </c>
      <c r="M20" s="233">
        <f>'[11]Лист1'!AS14+'[11]Лист1'!AT14+'[11]Лист1'!AU14+'[11]Лист1'!AZ14+'[11]Лист1'!BA14</f>
        <v>0</v>
      </c>
      <c r="N20" s="234">
        <f>'[11]Лист1'!BB14</f>
        <v>1794.47655</v>
      </c>
      <c r="O20" s="235"/>
      <c r="P20" s="236">
        <f>'[11]Лист1'!BD14</f>
        <v>1508.21345</v>
      </c>
      <c r="Q20" s="236">
        <f>'[11]Лист1'!BE14</f>
        <v>301.1400000000001</v>
      </c>
      <c r="R20" s="237"/>
      <c r="S20" s="237"/>
    </row>
    <row r="21" spans="1:19" ht="13.5" hidden="1" thickBot="1">
      <c r="A21" s="238" t="s">
        <v>50</v>
      </c>
      <c r="B21" s="239">
        <f>'[11]Лист1'!B15</f>
        <v>347</v>
      </c>
      <c r="C21" s="240">
        <f t="shared" si="0"/>
        <v>3001.55</v>
      </c>
      <c r="D21" s="241">
        <f>'[11]Лист1'!D15</f>
        <v>595.9700000000003</v>
      </c>
      <c r="E21" s="232">
        <f>'[11]Лист1'!S15</f>
        <v>1553.6399999999999</v>
      </c>
      <c r="F21" s="234">
        <f>'[11]Лист1'!T15</f>
        <v>851.9399999999999</v>
      </c>
      <c r="G21" s="242">
        <f>'[11]Лист1'!AB15</f>
        <v>1230.87</v>
      </c>
      <c r="H21" s="234">
        <f>'[11]Лист1'!AC15</f>
        <v>2678.78</v>
      </c>
      <c r="I21" s="243"/>
      <c r="J21" s="242">
        <f>'[11]Лист1'!AG15</f>
        <v>208.2</v>
      </c>
      <c r="K21" s="232">
        <f>'[11]Лист1'!AI15+'[11]Лист1'!AJ15</f>
        <v>343.0988178</v>
      </c>
      <c r="L21" s="232">
        <f>'[11]Лист1'!AH15+'[11]Лист1'!AK15+'[11]Лист1'!AL15+'[11]Лист1'!AM15+'[11]Лист1'!AN15+'[11]Лист1'!AO15+'[11]Лист1'!AP15+'[11]Лист1'!AQ15+'[11]Лист1'!AR15</f>
        <v>1180.18489934</v>
      </c>
      <c r="M21" s="233">
        <f>'[11]Лист1'!AS15+'[11]Лист1'!AT15+'[11]Лист1'!AU15+'[11]Лист1'!AZ15+'[11]Лист1'!BA15</f>
        <v>0</v>
      </c>
      <c r="N21" s="234">
        <f>'[11]Лист1'!BB15</f>
        <v>1780.64723714</v>
      </c>
      <c r="O21" s="235"/>
      <c r="P21" s="236">
        <f>'[11]Лист1'!BD15</f>
        <v>898.1327628600002</v>
      </c>
      <c r="Q21" s="236">
        <f>'[11]Лист1'!BE15</f>
        <v>-322.77</v>
      </c>
      <c r="R21" s="237"/>
      <c r="S21" s="237"/>
    </row>
    <row r="22" spans="1:19" ht="13.5" hidden="1" thickBot="1">
      <c r="A22" s="238" t="s">
        <v>51</v>
      </c>
      <c r="B22" s="239">
        <f>'[11]Лист1'!B16</f>
        <v>347</v>
      </c>
      <c r="C22" s="240">
        <f t="shared" si="0"/>
        <v>3001.55</v>
      </c>
      <c r="D22" s="241">
        <f>'[11]Лист1'!D16</f>
        <v>577.73</v>
      </c>
      <c r="E22" s="232">
        <f>'[11]Лист1'!S16</f>
        <v>1563.7</v>
      </c>
      <c r="F22" s="234">
        <f>'[11]Лист1'!T16</f>
        <v>860.12</v>
      </c>
      <c r="G22" s="242">
        <f>'[11]Лист1'!AB16</f>
        <v>1843.1499999999999</v>
      </c>
      <c r="H22" s="234">
        <f>'[11]Лист1'!AC16</f>
        <v>3281</v>
      </c>
      <c r="I22" s="243"/>
      <c r="J22" s="242">
        <f>'[11]Лист1'!AG16</f>
        <v>208.2</v>
      </c>
      <c r="K22" s="232">
        <f>'[11]Лист1'!AI16+'[11]Лист1'!AJ16</f>
        <v>342.9073952499999</v>
      </c>
      <c r="L22" s="232">
        <f>'[11]Лист1'!AH16+'[11]Лист1'!AK16+'[11]Лист1'!AL16+'[11]Лист1'!AM16+'[11]Лист1'!AN16+'[11]Лист1'!AO16+'[11]Лист1'!AP16+'[11]Лист1'!AQ16+'[11]Лист1'!AR16</f>
        <v>1179.93693314</v>
      </c>
      <c r="M22" s="233">
        <f>'[11]Лист1'!AS16+'[11]Лист1'!AT16+'[11]Лист1'!AU16+'[11]Лист1'!AZ16+'[11]Лист1'!BA16</f>
        <v>0</v>
      </c>
      <c r="N22" s="234">
        <f>'[11]Лист1'!BB16</f>
        <v>1789.1286483900003</v>
      </c>
      <c r="O22" s="235"/>
      <c r="P22" s="236">
        <f>'[11]Лист1'!BD16</f>
        <v>1491.8713516099997</v>
      </c>
      <c r="Q22" s="236">
        <f>'[11]Лист1'!BE16</f>
        <v>279.4499999999998</v>
      </c>
      <c r="R22" s="237"/>
      <c r="S22" s="237"/>
    </row>
    <row r="23" spans="1:19" ht="13.5" hidden="1" thickBot="1">
      <c r="A23" s="238" t="s">
        <v>39</v>
      </c>
      <c r="B23" s="239">
        <f>'[11]Лист1'!B17</f>
        <v>347</v>
      </c>
      <c r="C23" s="240">
        <f t="shared" si="0"/>
        <v>3001.55</v>
      </c>
      <c r="D23" s="241">
        <f>'[11]Лист1'!D17</f>
        <v>577.73</v>
      </c>
      <c r="E23" s="232">
        <f>'[11]Лист1'!S17</f>
        <v>1563.7</v>
      </c>
      <c r="F23" s="234">
        <f>'[11]Лист1'!T17</f>
        <v>860.12</v>
      </c>
      <c r="G23" s="242">
        <f>'[11]Лист1'!AB17</f>
        <v>1231.0300000000002</v>
      </c>
      <c r="H23" s="234">
        <f>'[11]Лист1'!AC17</f>
        <v>2668.88</v>
      </c>
      <c r="I23" s="243"/>
      <c r="J23" s="242">
        <f>'[11]Лист1'!AG17</f>
        <v>208.2</v>
      </c>
      <c r="K23" s="232">
        <f>'[11]Лист1'!AI17+'[11]Лист1'!AJ17</f>
        <v>342.84822827999994</v>
      </c>
      <c r="L23" s="232">
        <f>'[11]Лист1'!AH17+'[11]Лист1'!AK17+'[11]Лист1'!AL17+'[11]Лист1'!AM17+'[11]Лист1'!AN17+'[11]Лист1'!AO17+'[11]Лист1'!AP17+'[11]Лист1'!AQ17+'[11]Лист1'!AR17</f>
        <v>1179.8602711239998</v>
      </c>
      <c r="M23" s="233">
        <f>'[11]Лист1'!AS17+'[11]Лист1'!AT17+'[11]Лист1'!AU17+'[11]Лист1'!AZ17+'[11]Лист1'!BA17</f>
        <v>0</v>
      </c>
      <c r="N23" s="234">
        <f>'[11]Лист1'!BB17</f>
        <v>1800.0942594039993</v>
      </c>
      <c r="O23" s="235"/>
      <c r="P23" s="236">
        <f>'[11]Лист1'!BD17</f>
        <v>868.7857405960008</v>
      </c>
      <c r="Q23" s="236">
        <f>'[11]Лист1'!BE17</f>
        <v>-332.66999999999985</v>
      </c>
      <c r="R23" s="237"/>
      <c r="S23" s="237"/>
    </row>
    <row r="24" spans="1:19" ht="13.5" hidden="1" thickBot="1">
      <c r="A24" s="238" t="s">
        <v>40</v>
      </c>
      <c r="B24" s="239">
        <f>'[11]Лист1'!B18</f>
        <v>347</v>
      </c>
      <c r="C24" s="240">
        <f t="shared" si="0"/>
        <v>3001.55</v>
      </c>
      <c r="D24" s="241">
        <f>'[11]Лист1'!D18</f>
        <v>577.73</v>
      </c>
      <c r="E24" s="232">
        <f>'[11]Лист1'!S18</f>
        <v>1563.7</v>
      </c>
      <c r="F24" s="234">
        <f>'[11]Лист1'!T18</f>
        <v>860.12</v>
      </c>
      <c r="G24" s="242">
        <f>'[11]Лист1'!AB18</f>
        <v>1939.5499999999997</v>
      </c>
      <c r="H24" s="234">
        <f>'[11]Лист1'!AC18</f>
        <v>3377.3999999999996</v>
      </c>
      <c r="I24" s="243"/>
      <c r="J24" s="242">
        <f>'[11]Лист1'!AG18</f>
        <v>208.2</v>
      </c>
      <c r="K24" s="232">
        <f>'[11]Лист1'!AI18+'[11]Лист1'!AJ18</f>
        <v>346.81262</v>
      </c>
      <c r="L24" s="232">
        <f>'[11]Лист1'!AH18+'[11]Лист1'!AK18+'[11]Лист1'!AL18+'[11]Лист1'!AM18+'[11]Лист1'!AN18+'[11]Лист1'!AO18+'[11]Лист1'!AP18+'[11]Лист1'!AQ18+'[11]Лист1'!AR18</f>
        <v>1190.0018</v>
      </c>
      <c r="M24" s="233">
        <f>'[11]Лист1'!AS18+'[11]Лист1'!AT18+'[11]Лист1'!AU18+'[11]Лист1'!AZ18+'[11]Лист1'!BA18</f>
        <v>0</v>
      </c>
      <c r="N24" s="234">
        <f>'[11]Лист1'!BB18</f>
        <v>1829.2664200000002</v>
      </c>
      <c r="O24" s="235"/>
      <c r="P24" s="236">
        <f>'[11]Лист1'!BD18</f>
        <v>1548.1335799999995</v>
      </c>
      <c r="Q24" s="236">
        <f>'[11]Лист1'!BE18</f>
        <v>375.8499999999997</v>
      </c>
      <c r="R24" s="237"/>
      <c r="S24" s="237"/>
    </row>
    <row r="25" spans="1:19" ht="13.5" hidden="1" thickBot="1">
      <c r="A25" s="244" t="s">
        <v>41</v>
      </c>
      <c r="B25" s="239">
        <f>'[11]Лист1'!B19</f>
        <v>347</v>
      </c>
      <c r="C25" s="245">
        <f t="shared" si="0"/>
        <v>3001.55</v>
      </c>
      <c r="D25" s="241">
        <f>'[11]Лист1'!D19</f>
        <v>577.73</v>
      </c>
      <c r="E25" s="232">
        <f>'[11]Лист1'!S19</f>
        <v>1563.7</v>
      </c>
      <c r="F25" s="234">
        <f>'[11]Лист1'!T19</f>
        <v>860.12</v>
      </c>
      <c r="G25" s="242">
        <f>'[11]Лист1'!AB19</f>
        <v>1230.9</v>
      </c>
      <c r="H25" s="234">
        <f>'[11]Лист1'!AC19</f>
        <v>2668.75</v>
      </c>
      <c r="I25" s="243"/>
      <c r="J25" s="242">
        <f>'[11]Лист1'!AG19</f>
        <v>208.2</v>
      </c>
      <c r="K25" s="232">
        <f>'[11]Лист1'!AI19+'[11]Лист1'!AJ19</f>
        <v>348.041</v>
      </c>
      <c r="L25" s="232">
        <f>'[11]Лист1'!AH19+'[11]Лист1'!AK19+'[11]Лист1'!AL19+'[11]Лист1'!AM19+'[11]Лист1'!AN19+'[11]Лист1'!AO19+'[11]Лист1'!AP19+'[11]Лист1'!AQ19+'[11]Лист1'!AR19</f>
        <v>1191.3204</v>
      </c>
      <c r="M25" s="233">
        <f>'[11]Лист1'!AS19+'[11]Лист1'!AT19+'[11]Лист1'!AU19+'[11]Лист1'!AZ19+'[11]Лист1'!BA19</f>
        <v>0</v>
      </c>
      <c r="N25" s="234">
        <f>'[11]Лист1'!BB19</f>
        <v>1840.7342</v>
      </c>
      <c r="O25" s="235"/>
      <c r="P25" s="236">
        <f>'[11]Лист1'!BD19</f>
        <v>828.0157999999999</v>
      </c>
      <c r="Q25" s="236">
        <f>'[11]Лист1'!BE19</f>
        <v>-332.79999999999995</v>
      </c>
      <c r="R25" s="237"/>
      <c r="S25" s="237"/>
    </row>
    <row r="26" spans="1:19" s="255" customFormat="1" ht="13.5" hidden="1" thickBot="1">
      <c r="A26" s="246" t="s">
        <v>3</v>
      </c>
      <c r="B26" s="247"/>
      <c r="C26" s="248">
        <f aca="true" t="shared" si="1" ref="C26:Q26">SUM(C14:C25)</f>
        <v>33017.049999999996</v>
      </c>
      <c r="D26" s="249">
        <f t="shared" si="1"/>
        <v>5563.254999999999</v>
      </c>
      <c r="E26" s="248">
        <f t="shared" si="1"/>
        <v>16545.510000000002</v>
      </c>
      <c r="F26" s="250">
        <f t="shared" si="1"/>
        <v>9096.060000000001</v>
      </c>
      <c r="G26" s="249">
        <f t="shared" si="1"/>
        <v>16055.549999999997</v>
      </c>
      <c r="H26" s="250">
        <f t="shared" si="1"/>
        <v>30714.864999999998</v>
      </c>
      <c r="I26" s="251"/>
      <c r="J26" s="249">
        <f t="shared" si="1"/>
        <v>2206.92</v>
      </c>
      <c r="K26" s="248">
        <f t="shared" si="1"/>
        <v>3635.6594948300003</v>
      </c>
      <c r="L26" s="248">
        <f t="shared" si="1"/>
        <v>12400.211564704</v>
      </c>
      <c r="M26" s="248">
        <f t="shared" si="1"/>
        <v>1569.4</v>
      </c>
      <c r="N26" s="250">
        <f t="shared" si="1"/>
        <v>20582.551699533997</v>
      </c>
      <c r="O26" s="252"/>
      <c r="P26" s="253">
        <f t="shared" si="1"/>
        <v>10132.313300466</v>
      </c>
      <c r="Q26" s="253">
        <f t="shared" si="1"/>
        <v>-489.96000000000004</v>
      </c>
      <c r="R26" s="254"/>
      <c r="S26" s="254"/>
    </row>
    <row r="27" spans="1:19" ht="13.5" thickBot="1">
      <c r="A27" s="497" t="s">
        <v>118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256"/>
      <c r="R27" s="237"/>
      <c r="S27" s="237"/>
    </row>
    <row r="28" spans="1:19" s="255" customFormat="1" ht="13.5" hidden="1" thickBot="1">
      <c r="A28" s="257" t="s">
        <v>52</v>
      </c>
      <c r="B28" s="258"/>
      <c r="C28" s="259">
        <f>'2012 полн'!C8</f>
        <v>323397.55000000005</v>
      </c>
      <c r="D28" s="259">
        <f>'2012 полн'!D8</f>
        <v>37531.41632630004</v>
      </c>
      <c r="E28" s="259">
        <f>'2012 полн'!U8</f>
        <v>246794.31</v>
      </c>
      <c r="F28" s="259">
        <f>'2012 полн'!V8</f>
        <v>38421.509999999995</v>
      </c>
      <c r="G28" s="259">
        <f>'2012 полн'!AF8</f>
        <v>227485.15999999997</v>
      </c>
      <c r="H28" s="259">
        <f>'2012 полн'!AG8</f>
        <v>303438.08632630005</v>
      </c>
      <c r="I28" s="259">
        <f>'2012 полн'!AJ8</f>
        <v>41400.49164000001</v>
      </c>
      <c r="J28" s="259">
        <f>'2012 полн'!AK8</f>
        <v>22099.992</v>
      </c>
      <c r="K28" s="259">
        <f>'2012 полн'!AL8</f>
        <v>7405.2997904</v>
      </c>
      <c r="L28" s="259">
        <f>'2012 полн'!AM8+'2012 полн'!AO8+'2012 полн'!AP8+'2012 полн'!AS8+'2012 полн'!AT8+'2012 полн'!AX8+'2012 полн'!AY8</f>
        <v>169217.6899174428</v>
      </c>
      <c r="M28" s="259">
        <f>'2012 полн'!AU8+'2012 полн'!AW8</f>
        <v>67663.6852</v>
      </c>
      <c r="N28" s="259">
        <f>'2012 полн'!BD8</f>
        <v>16953.2044749942</v>
      </c>
      <c r="O28" s="259">
        <f>'2012 полн'!BE8</f>
        <v>283339.87138283707</v>
      </c>
      <c r="P28" s="259">
        <f>'2012 полн'!BF8</f>
        <v>61498.70658346305</v>
      </c>
      <c r="Q28" s="259">
        <f>'2012 полн'!BG8</f>
        <v>-19309.149999999998</v>
      </c>
      <c r="R28" s="260"/>
      <c r="S28" s="254"/>
    </row>
    <row r="29" spans="1:19" ht="12.75" hidden="1">
      <c r="A29" s="224" t="s">
        <v>119</v>
      </c>
      <c r="B29" s="225"/>
      <c r="C29" s="226"/>
      <c r="D29" s="227"/>
      <c r="E29" s="228"/>
      <c r="F29" s="229"/>
      <c r="G29" s="230"/>
      <c r="H29" s="229"/>
      <c r="I29" s="231"/>
      <c r="J29" s="230"/>
      <c r="K29" s="232"/>
      <c r="L29" s="232"/>
      <c r="M29" s="233"/>
      <c r="N29" s="234"/>
      <c r="O29" s="234"/>
      <c r="P29" s="236"/>
      <c r="Q29" s="236"/>
      <c r="R29" s="237"/>
      <c r="S29" s="237"/>
    </row>
    <row r="30" spans="1:19" ht="12.75" hidden="1">
      <c r="A30" s="238" t="s">
        <v>43</v>
      </c>
      <c r="B30" s="239">
        <f>'2012 полн'!B10</f>
        <v>1385</v>
      </c>
      <c r="C30" s="240">
        <f>'2012 полн'!C10</f>
        <v>11841.750000000002</v>
      </c>
      <c r="D30" s="241">
        <f>'2012 полн'!D10</f>
        <v>72.318</v>
      </c>
      <c r="E30" s="232">
        <f>'2012 полн'!U10</f>
        <v>12004.84</v>
      </c>
      <c r="F30" s="232">
        <f>'2012 полн'!V10</f>
        <v>0</v>
      </c>
      <c r="G30" s="242">
        <f>'2012 полн'!AF10</f>
        <v>8060.669999999999</v>
      </c>
      <c r="H30" s="234">
        <f>'2012 полн'!AG10</f>
        <v>8132.987999999999</v>
      </c>
      <c r="I30" s="243">
        <f>'2012 полн'!AJ10</f>
        <v>2499.9139999999998</v>
      </c>
      <c r="J30" s="242">
        <f>'2012 полн'!AK10</f>
        <v>927.95</v>
      </c>
      <c r="K30" s="242">
        <f>'2012 полн'!AL10</f>
        <v>277</v>
      </c>
      <c r="L30" s="232">
        <f>'2012 полн'!AM10+'2012 полн'!AN10+'2012 полн'!AO10+'2012 полн'!AP10+'2012 полн'!AQ10+'2012 полн'!AR10+'2012 полн'!AS10+'2012 полн'!AT10+'2012 полн'!AX10</f>
        <v>9745.669999999998</v>
      </c>
      <c r="M30" s="233">
        <f>'2012 полн'!AU10+'2012 полн'!AV10+'2012 полн'!AW10</f>
        <v>12000</v>
      </c>
      <c r="N30" s="234">
        <f>'2012 полн'!BD10</f>
        <v>1522.3629999999998</v>
      </c>
      <c r="O30" s="234">
        <f>'2012 полн'!BE10</f>
        <v>24472.983</v>
      </c>
      <c r="P30" s="236">
        <f>'2012 полн'!BF10</f>
        <v>-13840.081000000002</v>
      </c>
      <c r="Q30" s="236">
        <f>'2012 полн'!BG10</f>
        <v>-3944.170000000001</v>
      </c>
      <c r="R30" s="237"/>
      <c r="S30" s="237"/>
    </row>
    <row r="31" spans="1:19" ht="12.75" hidden="1">
      <c r="A31" s="238" t="s">
        <v>44</v>
      </c>
      <c r="B31" s="239">
        <f>'2012 полн'!B11</f>
        <v>1385</v>
      </c>
      <c r="C31" s="240">
        <f>'2012 полн'!C11</f>
        <v>11841.750000000002</v>
      </c>
      <c r="D31" s="241">
        <f>'2012 полн'!D11</f>
        <v>72.318</v>
      </c>
      <c r="E31" s="232">
        <f>'2012 полн'!U11</f>
        <v>11788.82</v>
      </c>
      <c r="F31" s="232">
        <f>'2012 полн'!V11</f>
        <v>0</v>
      </c>
      <c r="G31" s="242">
        <f>'2012 полн'!AF11</f>
        <v>9745.789999999999</v>
      </c>
      <c r="H31" s="234">
        <f>'2012 полн'!AG11</f>
        <v>9818.107999999998</v>
      </c>
      <c r="I31" s="243">
        <f>'2012 полн'!AJ11</f>
        <v>2499.9139999999998</v>
      </c>
      <c r="J31" s="242">
        <f>'2012 полн'!AK11</f>
        <v>927.95</v>
      </c>
      <c r="K31" s="242">
        <f>'2012 полн'!AL11</f>
        <v>277</v>
      </c>
      <c r="L31" s="232">
        <f>'2012 полн'!AM11+'2012 полн'!AN11+'2012 полн'!AO11+'2012 полн'!AP11+'2012 полн'!AQ11+'2012 полн'!AR11+'2012 полн'!AS11+'2012 полн'!AT11+'2012 полн'!AX11</f>
        <v>9619.189999999999</v>
      </c>
      <c r="M31" s="233">
        <f>'2012 полн'!AU11+'2012 полн'!AV11+'2012 полн'!AW11</f>
        <v>672</v>
      </c>
      <c r="N31" s="234">
        <f>'2012 полн'!BD11</f>
        <v>1522.3629999999998</v>
      </c>
      <c r="O31" s="234">
        <f>'2012 полн'!BE11</f>
        <v>13018.502999999999</v>
      </c>
      <c r="P31" s="236">
        <f>'2012 полн'!BF11</f>
        <v>-700.4810000000016</v>
      </c>
      <c r="Q31" s="236">
        <f>'2012 полн'!BG11</f>
        <v>-2043.0300000000007</v>
      </c>
      <c r="R31" s="237"/>
      <c r="S31" s="237"/>
    </row>
    <row r="32" spans="1:19" ht="12.75" hidden="1">
      <c r="A32" s="238" t="s">
        <v>45</v>
      </c>
      <c r="B32" s="239">
        <f>'2012 полн'!B12</f>
        <v>1385</v>
      </c>
      <c r="C32" s="240">
        <f>'2012 полн'!C12</f>
        <v>11841.750000000002</v>
      </c>
      <c r="D32" s="241">
        <f>'2012 полн'!D12</f>
        <v>72.318</v>
      </c>
      <c r="E32" s="232">
        <f>'2012 полн'!U12</f>
        <v>11896.830000000002</v>
      </c>
      <c r="F32" s="232">
        <f>'2012 полн'!V12</f>
        <v>0</v>
      </c>
      <c r="G32" s="242">
        <f>'2012 полн'!AF12</f>
        <v>11323.62</v>
      </c>
      <c r="H32" s="234">
        <f>'2012 полн'!AG12</f>
        <v>11395.938</v>
      </c>
      <c r="I32" s="243">
        <f>'2012 полн'!AJ12</f>
        <v>2499.9139999999998</v>
      </c>
      <c r="J32" s="242">
        <f>'2012 полн'!AK12</f>
        <v>927.95</v>
      </c>
      <c r="K32" s="242">
        <f>'2012 полн'!AL12</f>
        <v>277</v>
      </c>
      <c r="L32" s="232">
        <f>'2012 полн'!AM12+'2012 полн'!AN12+'2012 полн'!AO12+'2012 полн'!AP12+'2012 полн'!AQ12+'2012 полн'!AR12+'2012 полн'!AS12+'2012 полн'!AT12+'2012 полн'!AX12</f>
        <v>9841.669999999998</v>
      </c>
      <c r="M32" s="233">
        <f>'2012 полн'!AU12+'2012 полн'!AV12+'2012 полн'!AW12</f>
        <v>1323</v>
      </c>
      <c r="N32" s="234">
        <f>'2012 полн'!BD12</f>
        <v>1522.3629999999998</v>
      </c>
      <c r="O32" s="234">
        <f>'2012 полн'!BE12</f>
        <v>13891.982999999998</v>
      </c>
      <c r="P32" s="236">
        <f>'2012 полн'!BF12</f>
        <v>3.8690000000005966</v>
      </c>
      <c r="Q32" s="236">
        <f>'2012 полн'!BG12</f>
        <v>-573.210000000001</v>
      </c>
      <c r="R32" s="237"/>
      <c r="S32" s="237"/>
    </row>
    <row r="33" spans="1:19" ht="12.75" hidden="1">
      <c r="A33" s="238" t="s">
        <v>46</v>
      </c>
      <c r="B33" s="239">
        <f>'2012 полн'!B13</f>
        <v>1385</v>
      </c>
      <c r="C33" s="240">
        <f>'2012 полн'!C13</f>
        <v>11841.750000000002</v>
      </c>
      <c r="D33" s="241">
        <f>'2012 полн'!D13</f>
        <v>72.318</v>
      </c>
      <c r="E33" s="232">
        <f>'2012 полн'!U13</f>
        <v>11896.81</v>
      </c>
      <c r="F33" s="232">
        <f>'2012 полн'!V13</f>
        <v>0</v>
      </c>
      <c r="G33" s="242">
        <f>'2012 полн'!AF13</f>
        <v>11457.52</v>
      </c>
      <c r="H33" s="234">
        <f>'2012 полн'!AG13</f>
        <v>11529.838</v>
      </c>
      <c r="I33" s="243">
        <f>'2012 полн'!AJ13</f>
        <v>2499.9139999999998</v>
      </c>
      <c r="J33" s="242">
        <f>'2012 полн'!AK13</f>
        <v>927.95</v>
      </c>
      <c r="K33" s="242">
        <f>'2012 полн'!AL13</f>
        <v>277</v>
      </c>
      <c r="L33" s="232">
        <f>'2012 полн'!AM13+'2012 полн'!AN13+'2012 полн'!AO13+'2012 полн'!AP13+'2012 полн'!AQ13+'2012 полн'!AR13+'2012 полн'!AS13+'2012 полн'!AT13+'2012 полн'!AX13</f>
        <v>8197.919999999998</v>
      </c>
      <c r="M33" s="233">
        <f>'2012 полн'!AU13+'2012 полн'!AV13+'2012 полн'!AW13</f>
        <v>0</v>
      </c>
      <c r="N33" s="234">
        <f>'2012 полн'!BD13</f>
        <v>1522.3629999999998</v>
      </c>
      <c r="O33" s="234">
        <f>'2012 полн'!BE13</f>
        <v>10925.232999999998</v>
      </c>
      <c r="P33" s="236">
        <f>'2012 полн'!BF13</f>
        <v>3104.519000000002</v>
      </c>
      <c r="Q33" s="236">
        <f>'2012 полн'!BG13</f>
        <v>-439.28999999999905</v>
      </c>
      <c r="R33" s="237"/>
      <c r="S33" s="237"/>
    </row>
    <row r="34" spans="1:19" ht="12.75" hidden="1">
      <c r="A34" s="238" t="s">
        <v>47</v>
      </c>
      <c r="B34" s="239">
        <f>'2012 полн'!B14</f>
        <v>1385</v>
      </c>
      <c r="C34" s="240">
        <f>'2012 полн'!C14</f>
        <v>11841.750000000002</v>
      </c>
      <c r="D34" s="241">
        <f>'2012 полн'!D14</f>
        <v>72.318</v>
      </c>
      <c r="E34" s="232">
        <f>'2012 полн'!U14</f>
        <v>11896.830000000002</v>
      </c>
      <c r="F34" s="232">
        <f>'2012 полн'!V14</f>
        <v>0</v>
      </c>
      <c r="G34" s="242">
        <f>'2012 полн'!AF14</f>
        <v>11407.26</v>
      </c>
      <c r="H34" s="234">
        <f>'2012 полн'!AG14</f>
        <v>11479.578</v>
      </c>
      <c r="I34" s="243">
        <f>'2012 полн'!AJ14</f>
        <v>2613.9139999999998</v>
      </c>
      <c r="J34" s="242">
        <f>'2012 полн'!AK14</f>
        <v>927.95</v>
      </c>
      <c r="K34" s="242">
        <f>'2012 полн'!AL14</f>
        <v>277</v>
      </c>
      <c r="L34" s="232">
        <f>'2012 полн'!AM14+'2012 полн'!AN14+'2012 полн'!AO14+'2012 полн'!AP14+'2012 полн'!AQ14+'2012 полн'!AR14+'2012 полн'!AS14+'2012 полн'!AT14+'2012 полн'!AX14</f>
        <v>8152.919999999999</v>
      </c>
      <c r="M34" s="233">
        <f>'2012 полн'!AU14+'2012 полн'!AV14+'2012 полн'!AW14</f>
        <v>371</v>
      </c>
      <c r="N34" s="234">
        <f>'2012 полн'!BD14</f>
        <v>1550.8629999999998</v>
      </c>
      <c r="O34" s="234">
        <f>'2012 полн'!BE14</f>
        <v>11279.732999999998</v>
      </c>
      <c r="P34" s="236">
        <f>'2012 полн'!BF14</f>
        <v>2813.759</v>
      </c>
      <c r="Q34" s="236">
        <f>'2012 полн'!BG14</f>
        <v>-489.5700000000015</v>
      </c>
      <c r="R34" s="237"/>
      <c r="S34" s="237"/>
    </row>
    <row r="35" spans="1:19" ht="12.75" hidden="1">
      <c r="A35" s="238" t="s">
        <v>48</v>
      </c>
      <c r="B35" s="239">
        <f>'2012 полн'!B15</f>
        <v>1385</v>
      </c>
      <c r="C35" s="240">
        <f>'2012 полн'!C15</f>
        <v>11841.750000000002</v>
      </c>
      <c r="D35" s="241">
        <f>'2012 полн'!D15</f>
        <v>72.318</v>
      </c>
      <c r="E35" s="232">
        <f>'2012 полн'!U15</f>
        <v>11896.830000000002</v>
      </c>
      <c r="F35" s="232">
        <f>'2012 полн'!V15</f>
        <v>0</v>
      </c>
      <c r="G35" s="242">
        <f>'2012 полн'!AF15</f>
        <v>12009.84</v>
      </c>
      <c r="H35" s="234">
        <f>'2012 полн'!AG15</f>
        <v>12082.158</v>
      </c>
      <c r="I35" s="243">
        <f>'2012 полн'!AJ15</f>
        <v>2613.9139999999998</v>
      </c>
      <c r="J35" s="242">
        <f>'2012 полн'!AK15</f>
        <v>927.95</v>
      </c>
      <c r="K35" s="242">
        <f>'2012 полн'!AL15</f>
        <v>277</v>
      </c>
      <c r="L35" s="232">
        <f>'2012 полн'!AM15+'2012 полн'!AN15+'2012 полн'!AO15+'2012 полн'!AP15+'2012 полн'!AQ15+'2012 полн'!AR15+'2012 полн'!AS15+'2012 полн'!AT15+'2012 полн'!AX15</f>
        <v>8152.919999999999</v>
      </c>
      <c r="M35" s="233">
        <f>'2012 полн'!AU15+'2012 полн'!AV15+'2012 полн'!AW15</f>
        <v>0</v>
      </c>
      <c r="N35" s="234">
        <f>'2012 полн'!BD15</f>
        <v>1550.8629999999998</v>
      </c>
      <c r="O35" s="234">
        <f>'2012 полн'!BE15</f>
        <v>10908.732999999998</v>
      </c>
      <c r="P35" s="236">
        <f>'2012 полн'!BF15</f>
        <v>3787.3390000000018</v>
      </c>
      <c r="Q35" s="236">
        <f>'2012 полн'!BG15</f>
        <v>113.0099999999984</v>
      </c>
      <c r="R35" s="237"/>
      <c r="S35" s="237"/>
    </row>
    <row r="36" spans="1:17" ht="12.75" hidden="1">
      <c r="A36" s="238" t="s">
        <v>49</v>
      </c>
      <c r="B36" s="239">
        <f>'2012 полн'!B16</f>
        <v>1385</v>
      </c>
      <c r="C36" s="240">
        <f>'2012 полн'!C16</f>
        <v>11841.750000000002</v>
      </c>
      <c r="D36" s="241">
        <f>'2012 полн'!D16</f>
        <v>72.318</v>
      </c>
      <c r="E36" s="232">
        <f>'2012 полн'!U16</f>
        <v>11896.84</v>
      </c>
      <c r="F36" s="232">
        <f>'2012 полн'!V16</f>
        <v>0</v>
      </c>
      <c r="G36" s="242">
        <f>'2012 полн'!AF16</f>
        <v>10544.660000000002</v>
      </c>
      <c r="H36" s="234">
        <f>'2012 полн'!AG16</f>
        <v>10616.978000000001</v>
      </c>
      <c r="I36" s="243">
        <f>'2012 полн'!AJ16</f>
        <v>2613.9139999999998</v>
      </c>
      <c r="J36" s="242">
        <f>'2012 полн'!AK16</f>
        <v>927.95</v>
      </c>
      <c r="K36" s="242">
        <f>'2012 полн'!AL16</f>
        <v>277</v>
      </c>
      <c r="L36" s="232">
        <f>'2012 полн'!AM16+'2012 полн'!AN16+'2012 полн'!AO16+'2012 полн'!AP16+'2012 полн'!AQ16+'2012 полн'!AR16+'2012 полн'!AS16+'2012 полн'!AT16+'2012 полн'!AX16</f>
        <v>8373.779999999999</v>
      </c>
      <c r="M36" s="233">
        <f>'2012 полн'!AU16+'2012 полн'!AV16+'2012 полн'!AW16</f>
        <v>603</v>
      </c>
      <c r="N36" s="234">
        <f>'2012 полн'!BD16</f>
        <v>1550.8629999999998</v>
      </c>
      <c r="O36" s="234">
        <f>'2012 полн'!BE16</f>
        <v>11732.592999999999</v>
      </c>
      <c r="P36" s="236">
        <f>'2012 полн'!BF16</f>
        <v>1498.299000000001</v>
      </c>
      <c r="Q36" s="236">
        <f>'2012 полн'!BG16</f>
        <v>-1352.1799999999985</v>
      </c>
    </row>
    <row r="37" spans="1:17" ht="12.75" hidden="1">
      <c r="A37" s="238" t="s">
        <v>50</v>
      </c>
      <c r="B37" s="239">
        <f>'2012 полн'!B17</f>
        <v>1385</v>
      </c>
      <c r="C37" s="240">
        <f>'2012 полн'!C17</f>
        <v>11841.750000000002</v>
      </c>
      <c r="D37" s="241">
        <f>'2012 полн'!D17</f>
        <v>72.318</v>
      </c>
      <c r="E37" s="232">
        <f>'2012 полн'!U17</f>
        <v>11896.830000000002</v>
      </c>
      <c r="F37" s="232">
        <f>'2012 полн'!V17</f>
        <v>0</v>
      </c>
      <c r="G37" s="242">
        <f>'2012 полн'!AF17</f>
        <v>11531.240000000002</v>
      </c>
      <c r="H37" s="234">
        <f>'2012 полн'!AG17</f>
        <v>11603.558</v>
      </c>
      <c r="I37" s="243">
        <f>'2012 полн'!AJ17</f>
        <v>2613.9139999999998</v>
      </c>
      <c r="J37" s="242">
        <f>'2012 полн'!AK17</f>
        <v>927.95</v>
      </c>
      <c r="K37" s="242">
        <f>'2012 полн'!AL17</f>
        <v>277</v>
      </c>
      <c r="L37" s="232">
        <f>'2012 полн'!AM17+'2012 полн'!AN17+'2012 полн'!AO17+'2012 полн'!AP17+'2012 полн'!AQ17+'2012 полн'!AR17+'2012 полн'!AS17+'2012 полн'!AT17+'2012 полн'!AX17</f>
        <v>8152.919999999999</v>
      </c>
      <c r="M37" s="233">
        <f>'2012 полн'!AU17+'2012 полн'!AV17+'2012 полн'!AW17</f>
        <v>4031</v>
      </c>
      <c r="N37" s="234">
        <f>'2012 полн'!BD17</f>
        <v>1550.8629999999998</v>
      </c>
      <c r="O37" s="234">
        <f>'2012 полн'!BE17</f>
        <v>14939.732999999998</v>
      </c>
      <c r="P37" s="236">
        <f>'2012 полн'!BF17</f>
        <v>-722.2609999999968</v>
      </c>
      <c r="Q37" s="236">
        <f>'2012 полн'!BG17</f>
        <v>-365.59000000000015</v>
      </c>
    </row>
    <row r="38" spans="1:17" ht="12.75" hidden="1">
      <c r="A38" s="238" t="s">
        <v>51</v>
      </c>
      <c r="B38" s="239">
        <f>'2012 полн'!B18</f>
        <v>1385</v>
      </c>
      <c r="C38" s="240">
        <f>'2012 полн'!C18</f>
        <v>11841.750000000002</v>
      </c>
      <c r="D38" s="241">
        <f>'2012 полн'!D18</f>
        <v>72.318</v>
      </c>
      <c r="E38" s="232">
        <f>'2012 полн'!U18</f>
        <v>12075.49</v>
      </c>
      <c r="F38" s="232">
        <f>'2012 полн'!V18</f>
        <v>0</v>
      </c>
      <c r="G38" s="242">
        <f>'2012 полн'!AF18</f>
        <v>12894.41</v>
      </c>
      <c r="H38" s="234">
        <f>'2012 полн'!AG18</f>
        <v>12966.728</v>
      </c>
      <c r="I38" s="243">
        <f>'2012 полн'!AJ18</f>
        <v>2613.9139999999998</v>
      </c>
      <c r="J38" s="242">
        <f>'2012 полн'!AK18</f>
        <v>927.95</v>
      </c>
      <c r="K38" s="242">
        <f>'2012 полн'!AL18</f>
        <v>277</v>
      </c>
      <c r="L38" s="232">
        <f>'2012 полн'!AM18+'2012 полн'!AN18+'2012 полн'!AO18+'2012 полн'!AP18+'2012 полн'!AQ18+'2012 полн'!AR18+'2012 полн'!AS18+'2012 полн'!AT18+'2012 полн'!AX18</f>
        <v>8391.259999999998</v>
      </c>
      <c r="M38" s="233">
        <f>'2012 полн'!AU18+'2012 полн'!AV18+'2012 полн'!AW18</f>
        <v>2868</v>
      </c>
      <c r="N38" s="234">
        <f>'2012 полн'!BD18</f>
        <v>1550.8629999999998</v>
      </c>
      <c r="O38" s="234">
        <f>'2012 полн'!BE18</f>
        <v>14015.072999999999</v>
      </c>
      <c r="P38" s="236">
        <f>'2012 полн'!BF18</f>
        <v>1565.5690000000013</v>
      </c>
      <c r="Q38" s="236">
        <f>'2012 полн'!BG18</f>
        <v>818.9200000000001</v>
      </c>
    </row>
    <row r="39" spans="1:17" ht="12.75" hidden="1">
      <c r="A39" s="238" t="s">
        <v>39</v>
      </c>
      <c r="B39" s="239">
        <f>'2012 полн'!B19</f>
        <v>1385</v>
      </c>
      <c r="C39" s="240">
        <f>'2012 полн'!C19</f>
        <v>11841.750000000002</v>
      </c>
      <c r="D39" s="241">
        <f>'2012 полн'!D19</f>
        <v>72.318</v>
      </c>
      <c r="E39" s="232">
        <f>'2012 полн'!U19</f>
        <v>12075.48</v>
      </c>
      <c r="F39" s="232">
        <f>'2012 полн'!V19</f>
        <v>0</v>
      </c>
      <c r="G39" s="242">
        <f>'2012 полн'!AF19</f>
        <v>11264.17</v>
      </c>
      <c r="H39" s="234">
        <f>'2012 полн'!AG19</f>
        <v>11336.488</v>
      </c>
      <c r="I39" s="243">
        <f>'2012 полн'!AJ19</f>
        <v>2613.9139999999998</v>
      </c>
      <c r="J39" s="242">
        <f>'2012 полн'!AK19</f>
        <v>927.95</v>
      </c>
      <c r="K39" s="242">
        <f>'2012 полн'!AL19</f>
        <v>277</v>
      </c>
      <c r="L39" s="232">
        <f>'2012 полн'!AM19+'2012 полн'!AN19+'2012 полн'!AO19+'2012 полн'!AP19+'2012 полн'!AQ19+'2012 полн'!AR19+'2012 полн'!AS19+'2012 полн'!AT19+'2012 полн'!AX19</f>
        <v>9756.119999999999</v>
      </c>
      <c r="M39" s="233">
        <f>'2012 полн'!AU19+'2012 полн'!AV19+'2012 полн'!AW19</f>
        <v>0</v>
      </c>
      <c r="N39" s="234">
        <f>'2012 полн'!BD19</f>
        <v>1550.8629999999998</v>
      </c>
      <c r="O39" s="234">
        <f>'2012 полн'!BE19</f>
        <v>12511.932999999999</v>
      </c>
      <c r="P39" s="236">
        <f>'2012 полн'!BF19</f>
        <v>1438.4689999999991</v>
      </c>
      <c r="Q39" s="236">
        <f>'2012 полн'!BG19</f>
        <v>-811.3099999999995</v>
      </c>
    </row>
    <row r="40" spans="1:17" ht="12.75" hidden="1">
      <c r="A40" s="238" t="s">
        <v>40</v>
      </c>
      <c r="B40" s="239">
        <f>'2012 полн'!B20</f>
        <v>1385</v>
      </c>
      <c r="C40" s="240">
        <f>'2012 полн'!C20</f>
        <v>11841.750000000002</v>
      </c>
      <c r="D40" s="241">
        <f>'2012 полн'!D20</f>
        <v>72.318</v>
      </c>
      <c r="E40" s="232">
        <f>'2012 полн'!U20</f>
        <v>12075.48</v>
      </c>
      <c r="F40" s="232">
        <f>'2012 полн'!V20</f>
        <v>0</v>
      </c>
      <c r="G40" s="242">
        <f>'2012 полн'!AF20</f>
        <v>12708.2</v>
      </c>
      <c r="H40" s="234">
        <f>'2012 полн'!AG20</f>
        <v>12780.518</v>
      </c>
      <c r="I40" s="243">
        <f>'2012 полн'!AJ20</f>
        <v>2613.9139999999998</v>
      </c>
      <c r="J40" s="242">
        <f>'2012 полн'!AK20</f>
        <v>927.95</v>
      </c>
      <c r="K40" s="242">
        <f>'2012 полн'!AL20</f>
        <v>277</v>
      </c>
      <c r="L40" s="232">
        <f>'2012 полн'!AM20+'2012 полн'!AN20+'2012 полн'!AO20+'2012 полн'!AP20+'2012 полн'!AQ20+'2012 полн'!AR20+'2012 полн'!AS20+'2012 полн'!AT20+'2012 полн'!AX20</f>
        <v>9763.229999999998</v>
      </c>
      <c r="M40" s="233">
        <f>'2012 полн'!AU20+'2012 полн'!AV20+'2012 полн'!AW20</f>
        <v>0</v>
      </c>
      <c r="N40" s="234">
        <f>'2012 полн'!BD20</f>
        <v>1550.8629999999998</v>
      </c>
      <c r="O40" s="234">
        <f>'2012 полн'!BE20</f>
        <v>12519.042999999998</v>
      </c>
      <c r="P40" s="236">
        <f>'2012 полн'!BF20</f>
        <v>2875.389000000003</v>
      </c>
      <c r="Q40" s="236">
        <f>'2012 полн'!BG20</f>
        <v>632.7200000000012</v>
      </c>
    </row>
    <row r="41" spans="1:17" ht="13.5" hidden="1" thickBot="1">
      <c r="A41" s="238" t="s">
        <v>41</v>
      </c>
      <c r="B41" s="239">
        <f>'2012 полн'!B21</f>
        <v>1385</v>
      </c>
      <c r="C41" s="240">
        <f>'2012 полн'!C21</f>
        <v>11841.750000000002</v>
      </c>
      <c r="D41" s="241">
        <f>'2012 полн'!D21</f>
        <v>72.318</v>
      </c>
      <c r="E41" s="232">
        <f>'2012 полн'!U21</f>
        <v>12104.27</v>
      </c>
      <c r="F41" s="232">
        <f>'2012 полн'!V21</f>
        <v>0</v>
      </c>
      <c r="G41" s="242">
        <f>'2012 полн'!AF21</f>
        <v>12169.380000000001</v>
      </c>
      <c r="H41" s="234">
        <f>'2012 полн'!AG21</f>
        <v>12241.698</v>
      </c>
      <c r="I41" s="243">
        <f>'2012 полн'!AJ21</f>
        <v>2613.9139999999998</v>
      </c>
      <c r="J41" s="242">
        <f>'2012 полн'!AK21</f>
        <v>927.95</v>
      </c>
      <c r="K41" s="242">
        <f>'2012 полн'!AL21</f>
        <v>277</v>
      </c>
      <c r="L41" s="232">
        <f>'2012 полн'!AM21+'2012 полн'!AN21+'2012 полн'!AO21+'2012 полн'!AP21+'2012 полн'!AQ21+'2012 полн'!AR21+'2012 полн'!AS21+'2012 полн'!AT21+'2012 полн'!AX21</f>
        <v>11521.669999999998</v>
      </c>
      <c r="M41" s="233">
        <f>'2012 полн'!AU21+'2012 полн'!AV21+'2012 полн'!AW21</f>
        <v>357</v>
      </c>
      <c r="N41" s="234">
        <f>'2012 полн'!BD21</f>
        <v>1550.8629999999998</v>
      </c>
      <c r="O41" s="234">
        <f>'2012 полн'!BE21</f>
        <v>14634.482999999998</v>
      </c>
      <c r="P41" s="236">
        <f>'2012 полн'!BF21</f>
        <v>221.12900000000263</v>
      </c>
      <c r="Q41" s="236">
        <f>'2012 полн'!BG21</f>
        <v>65.11000000000058</v>
      </c>
    </row>
    <row r="42" spans="1:19" s="255" customFormat="1" ht="13.5" hidden="1" thickBot="1">
      <c r="A42" s="246" t="s">
        <v>3</v>
      </c>
      <c r="B42" s="247"/>
      <c r="C42" s="253">
        <f aca="true" t="shared" si="2" ref="C42:P42">SUM(C30:C41)</f>
        <v>142101.00000000003</v>
      </c>
      <c r="D42" s="253">
        <f t="shared" si="2"/>
        <v>867.8159999999999</v>
      </c>
      <c r="E42" s="253">
        <f t="shared" si="2"/>
        <v>143505.35</v>
      </c>
      <c r="F42" s="253">
        <f t="shared" si="2"/>
        <v>0</v>
      </c>
      <c r="G42" s="253">
        <f t="shared" si="2"/>
        <v>135116.76</v>
      </c>
      <c r="H42" s="253">
        <f t="shared" si="2"/>
        <v>135984.576</v>
      </c>
      <c r="I42" s="253">
        <f t="shared" si="2"/>
        <v>30910.968000000004</v>
      </c>
      <c r="J42" s="253">
        <f t="shared" si="2"/>
        <v>11135.400000000001</v>
      </c>
      <c r="K42" s="253">
        <f t="shared" si="2"/>
        <v>3324</v>
      </c>
      <c r="L42" s="253">
        <f t="shared" si="2"/>
        <v>109669.26999999997</v>
      </c>
      <c r="M42" s="253">
        <f t="shared" si="2"/>
        <v>22225</v>
      </c>
      <c r="N42" s="253">
        <f t="shared" si="2"/>
        <v>18496.355999999996</v>
      </c>
      <c r="O42" s="253">
        <f t="shared" si="2"/>
        <v>164850.02599999998</v>
      </c>
      <c r="P42" s="253">
        <f t="shared" si="2"/>
        <v>2045.518000000011</v>
      </c>
      <c r="Q42" s="253">
        <f>SUM(Q30:Q41)</f>
        <v>-8388.59</v>
      </c>
      <c r="R42" s="254"/>
      <c r="S42" s="254"/>
    </row>
    <row r="43" spans="1:19" ht="13.5" hidden="1" thickBot="1">
      <c r="A43" s="497" t="s">
        <v>68</v>
      </c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256"/>
      <c r="R43" s="237"/>
      <c r="S43" s="237"/>
    </row>
    <row r="44" spans="1:19" s="255" customFormat="1" ht="13.5" thickBot="1">
      <c r="A44" s="257" t="s">
        <v>52</v>
      </c>
      <c r="B44" s="258"/>
      <c r="C44" s="259">
        <f aca="true" t="shared" si="3" ref="C44:Q44">C42+C28</f>
        <v>465498.55000000005</v>
      </c>
      <c r="D44" s="259">
        <f t="shared" si="3"/>
        <v>38399.232326300036</v>
      </c>
      <c r="E44" s="259">
        <f t="shared" si="3"/>
        <v>390299.66000000003</v>
      </c>
      <c r="F44" s="259">
        <f t="shared" si="3"/>
        <v>38421.509999999995</v>
      </c>
      <c r="G44" s="259">
        <f t="shared" si="3"/>
        <v>362601.92</v>
      </c>
      <c r="H44" s="259">
        <f t="shared" si="3"/>
        <v>439422.66232630005</v>
      </c>
      <c r="I44" s="259">
        <f t="shared" si="3"/>
        <v>72311.45964000002</v>
      </c>
      <c r="J44" s="259">
        <f t="shared" si="3"/>
        <v>33235.392</v>
      </c>
      <c r="K44" s="259">
        <f t="shared" si="3"/>
        <v>10729.2997904</v>
      </c>
      <c r="L44" s="259">
        <f t="shared" si="3"/>
        <v>278886.95991744276</v>
      </c>
      <c r="M44" s="259">
        <f t="shared" si="3"/>
        <v>89888.6852</v>
      </c>
      <c r="N44" s="259">
        <f t="shared" si="3"/>
        <v>35449.5604749942</v>
      </c>
      <c r="O44" s="259">
        <f t="shared" si="3"/>
        <v>448189.897382837</v>
      </c>
      <c r="P44" s="259">
        <f t="shared" si="3"/>
        <v>63544.22458346306</v>
      </c>
      <c r="Q44" s="259">
        <f t="shared" si="3"/>
        <v>-27697.739999999998</v>
      </c>
      <c r="R44" s="260"/>
      <c r="S44" s="254"/>
    </row>
    <row r="45" spans="1:19" ht="12.75">
      <c r="A45" s="224" t="s">
        <v>125</v>
      </c>
      <c r="B45" s="225"/>
      <c r="C45" s="226"/>
      <c r="D45" s="227"/>
      <c r="E45" s="228"/>
      <c r="F45" s="229"/>
      <c r="G45" s="230"/>
      <c r="H45" s="229"/>
      <c r="I45" s="231"/>
      <c r="J45" s="230"/>
      <c r="K45" s="232"/>
      <c r="L45" s="232"/>
      <c r="M45" s="233"/>
      <c r="N45" s="234"/>
      <c r="O45" s="234"/>
      <c r="P45" s="236"/>
      <c r="Q45" s="236"/>
      <c r="R45" s="237"/>
      <c r="S45" s="237"/>
    </row>
    <row r="46" spans="1:19" ht="12.75">
      <c r="A46" s="238" t="s">
        <v>43</v>
      </c>
      <c r="B46" s="239">
        <f>'2012 полн'!B26</f>
        <v>1385</v>
      </c>
      <c r="C46" s="240">
        <f>'2012 полн'!C26</f>
        <v>11841.750000000002</v>
      </c>
      <c r="D46" s="241">
        <f>'2012 полн'!D26</f>
        <v>72.31800000000001</v>
      </c>
      <c r="E46" s="232">
        <f>'2012 полн'!U26</f>
        <v>12075.48</v>
      </c>
      <c r="F46" s="232">
        <f>'2012 полн'!V26</f>
        <v>0</v>
      </c>
      <c r="G46" s="242">
        <f>'2012 полн'!AF26</f>
        <v>9790.81</v>
      </c>
      <c r="H46" s="234">
        <f>'2012 полн'!AG26</f>
        <v>9863.127999999999</v>
      </c>
      <c r="I46" s="243">
        <f>'2012 полн'!AJ26</f>
        <v>3195.065</v>
      </c>
      <c r="J46" s="242">
        <f>'2012 полн'!AK26</f>
        <v>927.95</v>
      </c>
      <c r="K46" s="242">
        <f>'2012 полн'!AL26</f>
        <v>277</v>
      </c>
      <c r="L46" s="232">
        <f>'2012 полн'!AM26+'2012 полн'!AN26+'2012 полн'!AO26+'2012 полн'!AP26+'2012 полн'!AQ26+'2012 полн'!AR26+'2012 полн'!AS26+'2012 полн'!AT26+'2012 полн'!AX26</f>
        <v>9745.669999999998</v>
      </c>
      <c r="M46" s="233">
        <f>'2012 полн'!AU26+'2012 полн'!AV26+'2012 полн'!AW26</f>
        <v>0</v>
      </c>
      <c r="N46" s="234">
        <f>'2012 полн'!BD26</f>
        <v>1550.8629999999998</v>
      </c>
      <c r="O46" s="234">
        <f>'2012 полн'!BE26</f>
        <v>12501.482999999998</v>
      </c>
      <c r="P46" s="236">
        <f>'2012 полн'!BF26</f>
        <v>556.710000000001</v>
      </c>
      <c r="Q46" s="236">
        <f>'2012 полн'!BG26</f>
        <v>-2284.67</v>
      </c>
      <c r="R46" s="237"/>
      <c r="S46" s="237"/>
    </row>
    <row r="47" spans="1:19" ht="12.75">
      <c r="A47" s="238" t="s">
        <v>44</v>
      </c>
      <c r="B47" s="239">
        <f>'2012 полн'!B27</f>
        <v>1385</v>
      </c>
      <c r="C47" s="240">
        <f>'2012 полн'!C27</f>
        <v>11841.750000000002</v>
      </c>
      <c r="D47" s="241">
        <f>'2012 полн'!D27</f>
        <v>72.31800000000001</v>
      </c>
      <c r="E47" s="232">
        <f>'2012 полн'!U27</f>
        <v>12075.48</v>
      </c>
      <c r="F47" s="232">
        <f>'2012 полн'!V27</f>
        <v>0</v>
      </c>
      <c r="G47" s="242">
        <f>'2012 полн'!AF27</f>
        <v>11631.19</v>
      </c>
      <c r="H47" s="234">
        <f>'2012 полн'!AG27</f>
        <v>11703.508</v>
      </c>
      <c r="I47" s="243">
        <f>'2012 полн'!AJ27</f>
        <v>3195.065</v>
      </c>
      <c r="J47" s="242">
        <f>'2012 полн'!AK27</f>
        <v>927.95</v>
      </c>
      <c r="K47" s="242">
        <f>'2012 полн'!AL27</f>
        <v>277</v>
      </c>
      <c r="L47" s="232">
        <f>'2012 полн'!AM27+'2012 полн'!AN27+'2012 полн'!AO27+'2012 полн'!AP27+'2012 полн'!AQ27+'2012 полн'!AR27+'2012 полн'!AS27+'2012 полн'!AT27+'2012 полн'!AX27</f>
        <v>11128.669999999998</v>
      </c>
      <c r="M47" s="233">
        <f>'2012 полн'!AU27+'2012 полн'!AV27+'2012 полн'!AW27</f>
        <v>2181</v>
      </c>
      <c r="N47" s="234">
        <f>'2012 полн'!BD27</f>
        <v>1550.8629999999998</v>
      </c>
      <c r="O47" s="234">
        <f>'2012 полн'!BE27</f>
        <v>16065.482999999998</v>
      </c>
      <c r="P47" s="236">
        <f>'2012 полн'!BF27</f>
        <v>-1166.909999999998</v>
      </c>
      <c r="Q47" s="236">
        <f>'2012 полн'!BG27</f>
        <v>-444.28999999999905</v>
      </c>
      <c r="R47" s="237"/>
      <c r="S47" s="237"/>
    </row>
    <row r="48" spans="1:19" ht="12.75">
      <c r="A48" s="238" t="s">
        <v>45</v>
      </c>
      <c r="B48" s="239">
        <f>'2012 полн'!B28</f>
        <v>1385</v>
      </c>
      <c r="C48" s="240">
        <f>'2012 полн'!C28</f>
        <v>11841.750000000002</v>
      </c>
      <c r="D48" s="241">
        <f>'2012 полн'!D28</f>
        <v>72.31800000000001</v>
      </c>
      <c r="E48" s="232">
        <f>'2012 полн'!U28</f>
        <v>12075.48</v>
      </c>
      <c r="F48" s="232">
        <f>'2012 полн'!V28</f>
        <v>0</v>
      </c>
      <c r="G48" s="242">
        <f>'2012 полн'!AF28</f>
        <v>14913.410000000002</v>
      </c>
      <c r="H48" s="234">
        <f>'2012 полн'!AG28</f>
        <v>14985.728000000001</v>
      </c>
      <c r="I48" s="243">
        <f>'2012 полн'!AJ28</f>
        <v>3195.065</v>
      </c>
      <c r="J48" s="242">
        <f>'2012 полн'!AK28</f>
        <v>927.95</v>
      </c>
      <c r="K48" s="242">
        <f>'2012 полн'!AL28</f>
        <v>277</v>
      </c>
      <c r="L48" s="232">
        <f>'2012 полн'!AM28+'2012 полн'!AN28+'2012 полн'!AO28+'2012 полн'!AP28+'2012 полн'!AQ28+'2012 полн'!AR28+'2012 полн'!AS28+'2012 полн'!AT28+'2012 полн'!AX28</f>
        <v>11985.669999999998</v>
      </c>
      <c r="M48" s="233">
        <f>'2012 полн'!AU28+'2012 полн'!AV28+'2012 полн'!AW28</f>
        <v>22038</v>
      </c>
      <c r="N48" s="234">
        <f>'2012 полн'!BD28</f>
        <v>1550.8629999999998</v>
      </c>
      <c r="O48" s="234">
        <f>'2012 полн'!BE28</f>
        <v>36779.48299999999</v>
      </c>
      <c r="P48" s="236">
        <f>'2012 полн'!BF28</f>
        <v>-18598.68999999999</v>
      </c>
      <c r="Q48" s="236">
        <f>'2012 полн'!BG28</f>
        <v>2837.930000000002</v>
      </c>
      <c r="R48" s="237"/>
      <c r="S48" s="237"/>
    </row>
    <row r="49" spans="1:19" ht="12.75">
      <c r="A49" s="238" t="s">
        <v>46</v>
      </c>
      <c r="B49" s="239">
        <f>'2012 полн'!B29</f>
        <v>1385</v>
      </c>
      <c r="C49" s="240">
        <f>'2012 полн'!C29</f>
        <v>11841.750000000002</v>
      </c>
      <c r="D49" s="241">
        <f>'2012 полн'!D29</f>
        <v>72.31800000000001</v>
      </c>
      <c r="E49" s="232">
        <f>'2012 полн'!U29</f>
        <v>12075.48</v>
      </c>
      <c r="F49" s="232">
        <f>'2012 полн'!V29</f>
        <v>0</v>
      </c>
      <c r="G49" s="242">
        <f>'2012 полн'!AF29</f>
        <v>10091.59</v>
      </c>
      <c r="H49" s="234">
        <f>'2012 полн'!AG29</f>
        <v>10163.908</v>
      </c>
      <c r="I49" s="243">
        <f>'2012 полн'!AJ29</f>
        <v>3195.065</v>
      </c>
      <c r="J49" s="242">
        <f>'2012 полн'!AK29</f>
        <v>927.95</v>
      </c>
      <c r="K49" s="242">
        <f>'2012 полн'!AL29</f>
        <v>277</v>
      </c>
      <c r="L49" s="232">
        <f>'2012 полн'!AM29+'2012 полн'!AN29+'2012 полн'!AO29+'2012 полн'!AP29+'2012 полн'!AQ29+'2012 полн'!AR29+'2012 полн'!AS29+'2012 полн'!AT29+'2012 полн'!AX29</f>
        <v>12111.919999999998</v>
      </c>
      <c r="M49" s="233">
        <f>'2012 полн'!AU29+'2012 полн'!AV29+'2012 полн'!AW29</f>
        <v>12494</v>
      </c>
      <c r="N49" s="234">
        <f>'2012 полн'!BD29</f>
        <v>1550.8629999999998</v>
      </c>
      <c r="O49" s="234">
        <f>'2012 полн'!BE29</f>
        <v>27361.733</v>
      </c>
      <c r="P49" s="236">
        <f>'2012 полн'!BF29</f>
        <v>-14002.76</v>
      </c>
      <c r="Q49" s="236">
        <f>'2012 полн'!BG29</f>
        <v>-1983.8899999999994</v>
      </c>
      <c r="R49" s="237"/>
      <c r="S49" s="237"/>
    </row>
    <row r="50" spans="1:19" ht="12.75">
      <c r="A50" s="238" t="s">
        <v>47</v>
      </c>
      <c r="B50" s="239">
        <f>'2012 полн'!B30</f>
        <v>1385</v>
      </c>
      <c r="C50" s="240">
        <f>'2012 полн'!C30</f>
        <v>11841.750000000002</v>
      </c>
      <c r="D50" s="241">
        <f>'2012 полн'!D30</f>
        <v>72.31800000000001</v>
      </c>
      <c r="E50" s="232">
        <f>'2012 полн'!U30</f>
        <v>12075.48</v>
      </c>
      <c r="F50" s="232">
        <f>'2012 полн'!V30</f>
        <v>0</v>
      </c>
      <c r="G50" s="242">
        <f>'2012 полн'!AF30</f>
        <v>10959.47</v>
      </c>
      <c r="H50" s="234">
        <f>'2012 полн'!AG30</f>
        <v>11031.787999999999</v>
      </c>
      <c r="I50" s="243">
        <f>'2012 полн'!AJ30</f>
        <v>3195.065</v>
      </c>
      <c r="J50" s="242">
        <f>'2012 полн'!AK30</f>
        <v>927.95</v>
      </c>
      <c r="K50" s="242">
        <f>'2012 полн'!AL30</f>
        <v>277</v>
      </c>
      <c r="L50" s="232">
        <f>'2012 полн'!AM30+'2012 полн'!AN30+'2012 полн'!AO30+'2012 полн'!AP30+'2012 полн'!AQ30+'2012 полн'!AR30+'2012 полн'!AS30+'2012 полн'!AT30+'2012 полн'!AX30</f>
        <v>12434.119999999999</v>
      </c>
      <c r="M50" s="233">
        <f>'2012 полн'!AU30+'2012 полн'!AV30+'2012 полн'!AW30</f>
        <v>0</v>
      </c>
      <c r="N50" s="234">
        <f>'2012 полн'!BD30</f>
        <v>1550.8629999999998</v>
      </c>
      <c r="O50" s="234">
        <f>'2012 полн'!BE30</f>
        <v>15189.932999999999</v>
      </c>
      <c r="P50" s="236">
        <f>'2012 полн'!BF30</f>
        <v>-963.0799999999999</v>
      </c>
      <c r="Q50" s="236">
        <f>'2012 полн'!BG30</f>
        <v>-1116.0100000000002</v>
      </c>
      <c r="R50" s="237"/>
      <c r="S50" s="237"/>
    </row>
    <row r="51" spans="1:19" ht="12.75">
      <c r="A51" s="238" t="s">
        <v>48</v>
      </c>
      <c r="B51" s="239">
        <f>'2012 полн'!B31</f>
        <v>1385</v>
      </c>
      <c r="C51" s="240">
        <f>'2012 полн'!C31</f>
        <v>11841.750000000002</v>
      </c>
      <c r="D51" s="241">
        <f>'2012 полн'!D31</f>
        <v>72.31800000000001</v>
      </c>
      <c r="E51" s="232">
        <f>'2012 полн'!U31</f>
        <v>12075.47</v>
      </c>
      <c r="F51" s="232">
        <f>'2012 полн'!V31</f>
        <v>0</v>
      </c>
      <c r="G51" s="242">
        <f>'2012 полн'!AF31</f>
        <v>9897.640000000001</v>
      </c>
      <c r="H51" s="234">
        <f>'2012 полн'!AG31</f>
        <v>9969.958</v>
      </c>
      <c r="I51" s="243">
        <f>'2012 полн'!AJ31</f>
        <v>3295.065</v>
      </c>
      <c r="J51" s="242">
        <f>'2012 полн'!AK31</f>
        <v>927.95</v>
      </c>
      <c r="K51" s="242">
        <f>'2012 полн'!AL31</f>
        <v>277</v>
      </c>
      <c r="L51" s="232">
        <f>'2012 полн'!AM31+'2012 полн'!AN31+'2012 полн'!AO31+'2012 полн'!AP31+'2012 полн'!AQ31+'2012 полн'!AR31+'2012 полн'!AS31+'2012 полн'!AT31+'2012 полн'!AX31</f>
        <v>8152.919999999999</v>
      </c>
      <c r="M51" s="233">
        <f>'2012 полн'!AU31+'2012 полн'!AV31+'2012 полн'!AW31</f>
        <v>0</v>
      </c>
      <c r="N51" s="234">
        <f>'2012 полн'!BD31</f>
        <v>1575.8629999999998</v>
      </c>
      <c r="O51" s="234">
        <f>'2012 полн'!BE31</f>
        <v>10933.732999999998</v>
      </c>
      <c r="P51" s="236">
        <f>'2012 полн'!BF31</f>
        <v>2331.2900000000027</v>
      </c>
      <c r="Q51" s="236">
        <f>'2012 полн'!BG31</f>
        <v>-2177.829999999998</v>
      </c>
      <c r="R51" s="237"/>
      <c r="S51" s="237"/>
    </row>
    <row r="52" spans="1:17" ht="12.75">
      <c r="A52" s="238" t="s">
        <v>49</v>
      </c>
      <c r="B52" s="239">
        <f>'2012 полн'!B32</f>
        <v>1385</v>
      </c>
      <c r="C52" s="240">
        <f>'2012 полн'!C32</f>
        <v>13171.35</v>
      </c>
      <c r="D52" s="241">
        <f>'2012 полн'!D32</f>
        <v>96.77850000000001</v>
      </c>
      <c r="E52" s="232">
        <f>'2012 полн'!U32</f>
        <v>13432.1</v>
      </c>
      <c r="F52" s="232">
        <f>'2012 полн'!V32</f>
        <v>0</v>
      </c>
      <c r="G52" s="242">
        <f>'2012 полн'!AF32</f>
        <v>9600.61</v>
      </c>
      <c r="H52" s="234">
        <f>'2012 полн'!AG32</f>
        <v>9697.388500000001</v>
      </c>
      <c r="I52" s="243">
        <f>'2012 полн'!AJ32</f>
        <v>100</v>
      </c>
      <c r="J52" s="242">
        <f>'2012 полн'!AK32</f>
        <v>1038.75</v>
      </c>
      <c r="K52" s="242">
        <f>'2012 полн'!AL32</f>
        <v>277</v>
      </c>
      <c r="L52" s="232">
        <f>'2012 полн'!AM32+'2012 полн'!AN32+'2012 полн'!AO32+'2012 полн'!AP32+'2012 полн'!AQ32+'2012 полн'!AR32+'2012 полн'!AS32+'2012 полн'!AT32+'2012 полн'!AX32</f>
        <v>8152.919999999999</v>
      </c>
      <c r="M52" s="233">
        <f>'2012 полн'!AU32+'2012 полн'!AV32+'2012 полн'!AW32</f>
        <v>2939</v>
      </c>
      <c r="N52" s="234">
        <f>'2012 полн'!BD32</f>
        <v>1575.8629999999998</v>
      </c>
      <c r="O52" s="234">
        <f>'2012 полн'!BE32</f>
        <v>13983.532999999998</v>
      </c>
      <c r="P52" s="236">
        <f>'2012 полн'!BF32</f>
        <v>-4186.144499999997</v>
      </c>
      <c r="Q52" s="236">
        <f>'2012 полн'!BG32</f>
        <v>-3831.49</v>
      </c>
    </row>
    <row r="53" spans="1:17" ht="12.75">
      <c r="A53" s="238" t="s">
        <v>50</v>
      </c>
      <c r="B53" s="239">
        <f>'2012 полн'!B33</f>
        <v>1385</v>
      </c>
      <c r="C53" s="240">
        <f>'2012 полн'!C33</f>
        <v>13171.35</v>
      </c>
      <c r="D53" s="241">
        <f>'2012 полн'!D33</f>
        <v>0</v>
      </c>
      <c r="E53" s="232">
        <f>'2012 полн'!U33</f>
        <v>13432.1</v>
      </c>
      <c r="F53" s="232">
        <f>'2012 полн'!V33</f>
        <v>0</v>
      </c>
      <c r="G53" s="242">
        <f>'2012 полн'!AF33</f>
        <v>13263.45</v>
      </c>
      <c r="H53" s="234">
        <f>'2012 полн'!AG33</f>
        <v>13263.45</v>
      </c>
      <c r="I53" s="243">
        <f>'2012 полн'!AJ33</f>
        <v>3295.065</v>
      </c>
      <c r="J53" s="242">
        <f>'2012 полн'!AK33</f>
        <v>1038.75</v>
      </c>
      <c r="K53" s="242">
        <f>'2012 полн'!AL33</f>
        <v>277</v>
      </c>
      <c r="L53" s="232">
        <f>'2012 полн'!AM33+'2012 полн'!AN33+'2012 полн'!AO33+'2012 полн'!AP33+'2012 полн'!AQ33+'2012 полн'!AR33+'2012 полн'!AS33+'2012 полн'!AT33+'2012 полн'!AX33</f>
        <v>13156.919999999998</v>
      </c>
      <c r="M53" s="233">
        <f>'2012 полн'!AU33+'2012 полн'!AV33+'2012 полн'!AW33</f>
        <v>20671</v>
      </c>
      <c r="N53" s="234">
        <f>'2012 полн'!BD33</f>
        <v>1575.8629999999998</v>
      </c>
      <c r="O53" s="234">
        <f>'2012 полн'!BE33</f>
        <v>36719.532999999996</v>
      </c>
      <c r="P53" s="236">
        <f>'2012 полн'!BF33</f>
        <v>-20161.017999999996</v>
      </c>
      <c r="Q53" s="236">
        <f>'2012 полн'!BG33</f>
        <v>-168.64999999999964</v>
      </c>
    </row>
    <row r="54" spans="1:17" ht="12.75">
      <c r="A54" s="238" t="s">
        <v>51</v>
      </c>
      <c r="B54" s="239">
        <f>'2012 полн'!B34</f>
        <v>1385</v>
      </c>
      <c r="C54" s="240">
        <f>'2012 полн'!C34</f>
        <v>13171.35</v>
      </c>
      <c r="D54" s="241">
        <f>'2012 полн'!D34</f>
        <v>0</v>
      </c>
      <c r="E54" s="232">
        <f>'2012 полн'!U34</f>
        <v>13432.1</v>
      </c>
      <c r="F54" s="232">
        <f>'2012 полн'!V34</f>
        <v>0</v>
      </c>
      <c r="G54" s="242">
        <f>'2012 полн'!AF34</f>
        <v>10781.68</v>
      </c>
      <c r="H54" s="234">
        <f>'2012 полн'!AG34</f>
        <v>10781.68</v>
      </c>
      <c r="I54" s="243">
        <f>'2012 полн'!AJ34</f>
        <v>3295.065</v>
      </c>
      <c r="J54" s="242">
        <f>'2012 полн'!AK34</f>
        <v>1038.75</v>
      </c>
      <c r="K54" s="242">
        <f>'2012 полн'!AL34</f>
        <v>277</v>
      </c>
      <c r="L54" s="232">
        <f>'2012 полн'!AM34+'2012 полн'!AN34+'2012 полн'!AO34+'2012 полн'!AP34+'2012 полн'!AQ34+'2012 полн'!AR34+'2012 полн'!AS34+'2012 полн'!AT34+'2012 полн'!AX34</f>
        <v>8152.919999999999</v>
      </c>
      <c r="M54" s="233">
        <f>'2012 полн'!AU34+'2012 полн'!AV34+'2012 полн'!AW34</f>
        <v>208</v>
      </c>
      <c r="N54" s="234">
        <f>'2012 полн'!BD34</f>
        <v>1575.8629999999998</v>
      </c>
      <c r="O54" s="234">
        <f>'2012 полн'!BE34</f>
        <v>11252.532999999998</v>
      </c>
      <c r="P54" s="236">
        <f>'2012 полн'!BF34</f>
        <v>2824.212000000003</v>
      </c>
      <c r="Q54" s="236">
        <f>'2012 полн'!BG34</f>
        <v>-2650.42</v>
      </c>
    </row>
    <row r="55" spans="1:17" ht="12.75">
      <c r="A55" s="238" t="s">
        <v>39</v>
      </c>
      <c r="B55" s="239">
        <f>'2012 полн'!B35</f>
        <v>1385</v>
      </c>
      <c r="C55" s="240">
        <f>'2012 полн'!C35</f>
        <v>13171.35</v>
      </c>
      <c r="D55" s="241">
        <f>'2012 полн'!D35</f>
        <v>0</v>
      </c>
      <c r="E55" s="232">
        <f>'2012 полн'!U35</f>
        <v>13442.15</v>
      </c>
      <c r="F55" s="232">
        <f>'2012 полн'!V35</f>
        <v>0</v>
      </c>
      <c r="G55" s="242">
        <f>'2012 полн'!AF35</f>
        <v>15526.74</v>
      </c>
      <c r="H55" s="234">
        <f>'2012 полн'!AG35</f>
        <v>15526.74</v>
      </c>
      <c r="I55" s="243">
        <f>'2012 полн'!AJ35</f>
        <v>3295.065</v>
      </c>
      <c r="J55" s="242">
        <f>'2012 полн'!AK35</f>
        <v>1038.75</v>
      </c>
      <c r="K55" s="242">
        <f>'2012 полн'!AL35</f>
        <v>277</v>
      </c>
      <c r="L55" s="232">
        <f>'2012 полн'!AM35+'2012 полн'!AN35+'2012 полн'!AO35+'2012 полн'!AP35+'2012 полн'!AQ35+'2012 полн'!AR35+'2012 полн'!AS35+'2012 полн'!AT35+'2012 полн'!AX35</f>
        <v>16074.669999999998</v>
      </c>
      <c r="M55" s="233">
        <f>'2012 полн'!AU35+'2012 полн'!AV35+'2012 полн'!AW35</f>
        <v>0</v>
      </c>
      <c r="N55" s="234">
        <f>'2012 полн'!BD35</f>
        <v>1575.8629999999998</v>
      </c>
      <c r="O55" s="234">
        <f>'2012 полн'!BE35</f>
        <v>18966.283</v>
      </c>
      <c r="P55" s="236">
        <f>'2012 полн'!BF35</f>
        <v>-144.47799999999916</v>
      </c>
      <c r="Q55" s="236">
        <f>'2012 полн'!BG35</f>
        <v>2084.59</v>
      </c>
    </row>
    <row r="56" spans="1:17" ht="12.75">
      <c r="A56" s="238" t="s">
        <v>40</v>
      </c>
      <c r="B56" s="239">
        <f>'2012 полн'!B36</f>
        <v>1385</v>
      </c>
      <c r="C56" s="240">
        <f>'2012 полн'!C36</f>
        <v>13171.35</v>
      </c>
      <c r="D56" s="241">
        <f>'2012 полн'!D36</f>
        <v>0</v>
      </c>
      <c r="E56" s="232">
        <f>'2012 полн'!U36</f>
        <v>13452.17</v>
      </c>
      <c r="F56" s="232">
        <f>'2012 полн'!V36</f>
        <v>0</v>
      </c>
      <c r="G56" s="242">
        <f>'2012 полн'!AF36</f>
        <v>11979.76</v>
      </c>
      <c r="H56" s="234">
        <f>'2012 полн'!AG36</f>
        <v>11979.76</v>
      </c>
      <c r="I56" s="243">
        <f>'2012 полн'!AJ36</f>
        <v>3295.065</v>
      </c>
      <c r="J56" s="242">
        <f>'2012 полн'!AK36</f>
        <v>1038.75</v>
      </c>
      <c r="K56" s="242">
        <f>'2012 полн'!AL36</f>
        <v>277</v>
      </c>
      <c r="L56" s="232">
        <f>'2012 полн'!AM36+'2012 полн'!AN36+'2012 полн'!AO36+'2012 полн'!AP36+'2012 полн'!AQ36+'2012 полн'!AR36+'2012 полн'!AS36+'2012 полн'!AT36+'2012 полн'!AX36</f>
        <v>9769.669999999998</v>
      </c>
      <c r="M56" s="233">
        <f>'2012 полн'!AU36+'2012 полн'!AV36+'2012 полн'!AW36</f>
        <v>220</v>
      </c>
      <c r="N56" s="234">
        <f>'2012 полн'!BD36</f>
        <v>1575.8629999999998</v>
      </c>
      <c r="O56" s="234">
        <f>'2012 полн'!BE36</f>
        <v>12881.282999999998</v>
      </c>
      <c r="P56" s="236">
        <f>'2012 полн'!BF36</f>
        <v>2393.542000000003</v>
      </c>
      <c r="Q56" s="236">
        <f>'2012 полн'!BG36</f>
        <v>-1472.4099999999999</v>
      </c>
    </row>
    <row r="57" spans="1:17" ht="13.5" thickBot="1">
      <c r="A57" s="238" t="s">
        <v>41</v>
      </c>
      <c r="B57" s="239">
        <f>'2012 полн'!B37</f>
        <v>1385</v>
      </c>
      <c r="C57" s="240">
        <f>'2012 полн'!C37</f>
        <v>13171.35</v>
      </c>
      <c r="D57" s="241">
        <f>'2012 полн'!D37</f>
        <v>0</v>
      </c>
      <c r="E57" s="232">
        <f>'2012 полн'!U37</f>
        <v>13471.74</v>
      </c>
      <c r="F57" s="232">
        <f>'2012 полн'!V37</f>
        <v>0</v>
      </c>
      <c r="G57" s="242">
        <f>'2012 полн'!AF37</f>
        <v>13032.19</v>
      </c>
      <c r="H57" s="234">
        <f>'2012 полн'!AG37</f>
        <v>13032.19</v>
      </c>
      <c r="I57" s="243">
        <f>'2012 полн'!AJ37</f>
        <v>3295.065</v>
      </c>
      <c r="J57" s="242">
        <f>'2012 полн'!AK37</f>
        <v>1038.75</v>
      </c>
      <c r="K57" s="242">
        <f>'2012 полн'!AL37</f>
        <v>277</v>
      </c>
      <c r="L57" s="232">
        <f>'2012 полн'!AM37+'2012 полн'!AN37+'2012 полн'!AO37+'2012 полн'!AP37+'2012 полн'!AQ37+'2012 полн'!AR37+'2012 полн'!AS37+'2012 полн'!AT37+'2012 полн'!AX37</f>
        <v>11455.669999999998</v>
      </c>
      <c r="M57" s="233">
        <f>'2012 полн'!AU37+'2012 полн'!AV37+'2012 полн'!AW37</f>
        <v>23537</v>
      </c>
      <c r="N57" s="234">
        <f>'2012 полн'!BD37</f>
        <v>1575.8629999999998</v>
      </c>
      <c r="O57" s="234">
        <f>'2012 полн'!BE37</f>
        <v>37884.282999999996</v>
      </c>
      <c r="P57" s="236">
        <f>'2012 полн'!BF37</f>
        <v>-21557.027999999995</v>
      </c>
      <c r="Q57" s="236">
        <f>'2012 полн'!BG37</f>
        <v>-439.5499999999993</v>
      </c>
    </row>
    <row r="58" spans="1:19" s="255" customFormat="1" ht="13.5" thickBot="1">
      <c r="A58" s="246" t="s">
        <v>3</v>
      </c>
      <c r="B58" s="247"/>
      <c r="C58" s="253">
        <f aca="true" t="shared" si="4" ref="C58:P58">SUM(C46:C57)</f>
        <v>150078.60000000003</v>
      </c>
      <c r="D58" s="253">
        <f t="shared" si="4"/>
        <v>530.6865</v>
      </c>
      <c r="E58" s="253">
        <f t="shared" si="4"/>
        <v>153115.23</v>
      </c>
      <c r="F58" s="253">
        <f t="shared" si="4"/>
        <v>0</v>
      </c>
      <c r="G58" s="253">
        <f t="shared" si="4"/>
        <v>141468.54</v>
      </c>
      <c r="H58" s="253">
        <f t="shared" si="4"/>
        <v>141999.2265</v>
      </c>
      <c r="I58" s="253">
        <f t="shared" si="4"/>
        <v>35845.715</v>
      </c>
      <c r="J58" s="253">
        <f t="shared" si="4"/>
        <v>11800.2</v>
      </c>
      <c r="K58" s="253">
        <f t="shared" si="4"/>
        <v>3324</v>
      </c>
      <c r="L58" s="253">
        <f t="shared" si="4"/>
        <v>132321.74</v>
      </c>
      <c r="M58" s="253">
        <f t="shared" si="4"/>
        <v>84288</v>
      </c>
      <c r="N58" s="253">
        <f t="shared" si="4"/>
        <v>18785.355999999996</v>
      </c>
      <c r="O58" s="253">
        <f t="shared" si="4"/>
        <v>250519.29599999997</v>
      </c>
      <c r="P58" s="253">
        <f t="shared" si="4"/>
        <v>-72674.35449999997</v>
      </c>
      <c r="Q58" s="253">
        <f>SUM(Q46:Q57)</f>
        <v>-11646.689999999993</v>
      </c>
      <c r="R58" s="254"/>
      <c r="S58" s="254"/>
    </row>
    <row r="59" spans="1:19" ht="13.5" thickBot="1">
      <c r="A59" s="497" t="s">
        <v>68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256"/>
      <c r="R59" s="237"/>
      <c r="S59" s="237"/>
    </row>
    <row r="60" spans="1:19" s="255" customFormat="1" ht="13.5" thickBot="1">
      <c r="A60" s="257" t="s">
        <v>52</v>
      </c>
      <c r="B60" s="258"/>
      <c r="C60" s="259">
        <f aca="true" t="shared" si="5" ref="C60:Q60">C58+C44</f>
        <v>615577.1500000001</v>
      </c>
      <c r="D60" s="259">
        <f t="shared" si="5"/>
        <v>38929.91882630004</v>
      </c>
      <c r="E60" s="259">
        <f t="shared" si="5"/>
        <v>543414.89</v>
      </c>
      <c r="F60" s="259">
        <f t="shared" si="5"/>
        <v>38421.509999999995</v>
      </c>
      <c r="G60" s="259">
        <f t="shared" si="5"/>
        <v>504070.45999999996</v>
      </c>
      <c r="H60" s="259">
        <f t="shared" si="5"/>
        <v>581421.8888263</v>
      </c>
      <c r="I60" s="259">
        <f t="shared" si="5"/>
        <v>108157.17464000001</v>
      </c>
      <c r="J60" s="259">
        <f t="shared" si="5"/>
        <v>45035.592000000004</v>
      </c>
      <c r="K60" s="259">
        <f t="shared" si="5"/>
        <v>14053.2997904</v>
      </c>
      <c r="L60" s="259">
        <f t="shared" si="5"/>
        <v>411208.69991744275</v>
      </c>
      <c r="M60" s="259">
        <f t="shared" si="5"/>
        <v>174176.6852</v>
      </c>
      <c r="N60" s="259">
        <f t="shared" si="5"/>
        <v>54234.9164749942</v>
      </c>
      <c r="O60" s="259">
        <f t="shared" si="5"/>
        <v>698709.193382837</v>
      </c>
      <c r="P60" s="259">
        <f t="shared" si="5"/>
        <v>-9130.129916536913</v>
      </c>
      <c r="Q60" s="259">
        <f t="shared" si="5"/>
        <v>-39344.42999999999</v>
      </c>
      <c r="R60" s="260"/>
      <c r="S60" s="254"/>
    </row>
    <row r="61" ht="9.75" customHeight="1"/>
    <row r="62" spans="1:19" ht="12.75">
      <c r="A62" s="255" t="s">
        <v>69</v>
      </c>
      <c r="D62" s="216" t="s">
        <v>126</v>
      </c>
      <c r="R62" s="237"/>
      <c r="S62" s="237"/>
    </row>
    <row r="63" spans="1:19" ht="12.75">
      <c r="A63" s="261" t="s">
        <v>70</v>
      </c>
      <c r="B63" s="261" t="s">
        <v>71</v>
      </c>
      <c r="C63" s="262" t="s">
        <v>72</v>
      </c>
      <c r="D63" s="263"/>
      <c r="R63" s="237"/>
      <c r="S63" s="237"/>
    </row>
    <row r="64" spans="1:19" ht="12.75">
      <c r="A64" s="214">
        <v>165839.55</v>
      </c>
      <c r="B64" s="215">
        <v>174210</v>
      </c>
      <c r="C64" s="499">
        <f>A64-B64</f>
        <v>-8370.450000000012</v>
      </c>
      <c r="D64" s="500"/>
      <c r="R64" s="237"/>
      <c r="S64" s="237"/>
    </row>
    <row r="65" spans="1:19" ht="8.25" customHeight="1">
      <c r="A65" s="264"/>
      <c r="R65" s="237"/>
      <c r="S65" s="237"/>
    </row>
    <row r="66" spans="1:19" ht="12.75">
      <c r="A66" s="216" t="s">
        <v>77</v>
      </c>
      <c r="G66" s="216" t="s">
        <v>78</v>
      </c>
      <c r="R66" s="237"/>
      <c r="S66" s="237"/>
    </row>
    <row r="67" ht="6.75" customHeight="1">
      <c r="A67" s="237"/>
    </row>
    <row r="68" ht="12.75">
      <c r="A68" s="216" t="s">
        <v>120</v>
      </c>
    </row>
    <row r="69" ht="12.75">
      <c r="A69" s="216" t="s">
        <v>79</v>
      </c>
    </row>
  </sheetData>
  <sheetProtection/>
  <mergeCells count="28">
    <mergeCell ref="E8:F9"/>
    <mergeCell ref="G8:H9"/>
    <mergeCell ref="B1:H1"/>
    <mergeCell ref="B2:H2"/>
    <mergeCell ref="A5:P5"/>
    <mergeCell ref="A6:G6"/>
    <mergeCell ref="A7:D7"/>
    <mergeCell ref="E7:F7"/>
    <mergeCell ref="D8:D11"/>
    <mergeCell ref="Q8:Q11"/>
    <mergeCell ref="E10:F10"/>
    <mergeCell ref="H10:H11"/>
    <mergeCell ref="J10:J11"/>
    <mergeCell ref="K10:K11"/>
    <mergeCell ref="L10:L11"/>
    <mergeCell ref="M10:M11"/>
    <mergeCell ref="N10:N11"/>
    <mergeCell ref="O10:O11"/>
    <mergeCell ref="A59:P59"/>
    <mergeCell ref="A27:P27"/>
    <mergeCell ref="A43:P43"/>
    <mergeCell ref="C64:D64"/>
    <mergeCell ref="I8:I11"/>
    <mergeCell ref="J8:O9"/>
    <mergeCell ref="P8:P11"/>
    <mergeCell ref="A8:A11"/>
    <mergeCell ref="B8:B11"/>
    <mergeCell ref="C8:C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2012-08-15T04:05:23Z</cp:lastPrinted>
  <dcterms:created xsi:type="dcterms:W3CDTF">2010-04-02T05:03:24Z</dcterms:created>
  <dcterms:modified xsi:type="dcterms:W3CDTF">2013-07-18T02:24:19Z</dcterms:modified>
  <cp:category/>
  <cp:version/>
  <cp:contentType/>
  <cp:contentStatus/>
</cp:coreProperties>
</file>