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7370" windowHeight="9210" tabRatio="601" firstSheet="1" activeTab="1"/>
  </bookViews>
  <sheets>
    <sheet name="2012" sheetId="1" state="hidden" r:id="rId1"/>
    <sheet name="2012 печать" sheetId="2" r:id="rId2"/>
  </sheets>
  <externalReferences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<sst xmlns="http://schemas.openxmlformats.org/spreadsheetml/2006/main" count="121" uniqueCount="77">
  <si>
    <t>Площадь</t>
  </si>
  <si>
    <t>Тариф 100 %</t>
  </si>
  <si>
    <t>Дотация</t>
  </si>
  <si>
    <t>ИТОГО</t>
  </si>
  <si>
    <t>СОБРАНО НАСЕЛЕНИЕМ</t>
  </si>
  <si>
    <t>Собрано всего (+льгота и дотация)</t>
  </si>
  <si>
    <t xml:space="preserve">Расходы </t>
  </si>
  <si>
    <t>Остаток на Л/СЧ МКД (доходы- расходы)</t>
  </si>
  <si>
    <t>Долг(-)/ переплата(+)  жителей (разница между начислено и собрано)</t>
  </si>
  <si>
    <t>Текущий ремонт</t>
  </si>
  <si>
    <t>Плата за управление</t>
  </si>
  <si>
    <t>льгота</t>
  </si>
  <si>
    <t>По всем услугам</t>
  </si>
  <si>
    <t>Услуга по управлению</t>
  </si>
  <si>
    <t>Услуги начисления</t>
  </si>
  <si>
    <t>Тек. Ремонт</t>
  </si>
  <si>
    <t>По решению суда</t>
  </si>
  <si>
    <t>Расходов всего</t>
  </si>
  <si>
    <t>октябрь</t>
  </si>
  <si>
    <t>ноябрь</t>
  </si>
  <si>
    <t>декабрь</t>
  </si>
  <si>
    <t>июнь</t>
  </si>
  <si>
    <t>июль</t>
  </si>
  <si>
    <t>август</t>
  </si>
  <si>
    <t>сентябрь</t>
  </si>
  <si>
    <t>ВСЕГО:</t>
  </si>
  <si>
    <t>Общество с ограниченной ответственностью</t>
  </si>
  <si>
    <t>«Таштагольская управляющая компания»</t>
  </si>
  <si>
    <t>тариф на содержание и тек. ремонт</t>
  </si>
  <si>
    <t>месяц</t>
  </si>
  <si>
    <t>Начислено квартплаты</t>
  </si>
  <si>
    <t>Остаток на Л/СЧ дома (доходы- расходы)</t>
  </si>
  <si>
    <t>по содержанию и тек. ремонту</t>
  </si>
  <si>
    <t>от населения</t>
  </si>
  <si>
    <t>Услуга управления</t>
  </si>
  <si>
    <t>Содержание</t>
  </si>
  <si>
    <t>населению</t>
  </si>
  <si>
    <t>на конец отчетного периода</t>
  </si>
  <si>
    <t>Доходы по нежил.помещениям</t>
  </si>
  <si>
    <t>для счетов-фактур</t>
  </si>
  <si>
    <t>Расходы по нежил. помещениям</t>
  </si>
  <si>
    <t>Собрано</t>
  </si>
  <si>
    <t>Списано</t>
  </si>
  <si>
    <t>Остаток на счете</t>
  </si>
  <si>
    <t>Директор ООО "Таштагольская управляющая компания"</t>
  </si>
  <si>
    <t>_______________________________/ С.С. Малыгин</t>
  </si>
  <si>
    <t>№ п/п</t>
  </si>
  <si>
    <t>Начислено населению</t>
  </si>
  <si>
    <t>Льгота</t>
  </si>
  <si>
    <t>Собрано всего по жил. услугам</t>
  </si>
  <si>
    <t>Содержание жилья</t>
  </si>
  <si>
    <t>Тек. ремонт ООО "ТУК"</t>
  </si>
  <si>
    <t>2011 год</t>
  </si>
  <si>
    <t>ВСЕГО</t>
  </si>
  <si>
    <t>Собрано квартплаты от населения</t>
  </si>
  <si>
    <t>Услуга начисления</t>
  </si>
  <si>
    <t>Собрано за содержание и тек.рем.</t>
  </si>
  <si>
    <t>Исп. В.В. Колмогорова</t>
  </si>
  <si>
    <t>тел. 3-48-80</t>
  </si>
  <si>
    <t>Тек. ремонт ООО "ФОРУМ"</t>
  </si>
  <si>
    <t>Доп. работы по содержанию и текущ. Ремонту</t>
  </si>
  <si>
    <t>расходы по жилым</t>
  </si>
  <si>
    <t>расходов всего</t>
  </si>
  <si>
    <t>Социальный найм</t>
  </si>
  <si>
    <t>Выписка по лицевому счету по адресу г. Таштагол ул. Коммунистическая, д. 4</t>
  </si>
  <si>
    <t>Доходы по нежилым помещениям</t>
  </si>
  <si>
    <t>Расходы по нежилым помещениям</t>
  </si>
  <si>
    <t>январь</t>
  </si>
  <si>
    <t>февраль</t>
  </si>
  <si>
    <t>март</t>
  </si>
  <si>
    <t>апрель</t>
  </si>
  <si>
    <t>май</t>
  </si>
  <si>
    <t>2012 год</t>
  </si>
  <si>
    <t>Лицевой счет по адресу г. Таштагол, ул. Коммунистическая, д.4</t>
  </si>
  <si>
    <t>*по состоянию на 01.05.2013 г.</t>
  </si>
  <si>
    <t>Тариф по содержанию и тек.ремонту 100 % (13,65 руб.*площадь)</t>
  </si>
  <si>
    <t>на 01.01.2013 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</si>
</sst>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  <numFmt numFmtId="166" formatCode="_(* #,##0.00_);_(* \(#,##0.00\);_(* &quot;-&quot;??_);_(@_)"/>
  </numFmts>
  <fonts count="49"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Times New Roman"/>
      <family val="1"/>
    </font>
    <font>
      <sz val="8"/>
      <name val="Arial Cyr"/>
      <family val="0"/>
    </font>
    <font>
      <b/>
      <sz val="10"/>
      <color indexed="10"/>
      <name val="Arial Cyr"/>
      <family val="0"/>
    </font>
    <font>
      <sz val="10"/>
      <color indexed="10"/>
      <name val="Arial Cyr"/>
      <family val="0"/>
    </font>
    <font>
      <u val="single"/>
      <sz val="10"/>
      <name val="Arial Cyr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5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" fillId="0" borderId="0">
      <alignment horizontal="right" vertical="center"/>
      <protection/>
    </xf>
    <xf numFmtId="0" fontId="3" fillId="0" borderId="0">
      <alignment horizontal="left" vertical="center"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21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4" fontId="1" fillId="0" borderId="11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right" vertical="center" wrapText="1"/>
    </xf>
    <xf numFmtId="4" fontId="1" fillId="0" borderId="13" xfId="0" applyNumberFormat="1" applyFont="1" applyFill="1" applyBorder="1" applyAlignment="1">
      <alignment horizontal="right" wrapText="1"/>
    </xf>
    <xf numFmtId="4" fontId="1" fillId="0" borderId="14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/>
    </xf>
    <xf numFmtId="0" fontId="1" fillId="0" borderId="12" xfId="0" applyFont="1" applyFill="1" applyBorder="1" applyAlignment="1">
      <alignment horizontal="left"/>
    </xf>
    <xf numFmtId="4" fontId="1" fillId="0" borderId="14" xfId="0" applyNumberFormat="1" applyFont="1" applyFill="1" applyBorder="1" applyAlignment="1">
      <alignment horizontal="right"/>
    </xf>
    <xf numFmtId="4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2" fontId="1" fillId="0" borderId="15" xfId="0" applyNumberFormat="1" applyFont="1" applyFill="1" applyBorder="1" applyAlignment="1">
      <alignment horizontal="center" vertical="center" textRotation="90" wrapText="1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4" fontId="1" fillId="33" borderId="11" xfId="0" applyNumberFormat="1" applyFont="1" applyFill="1" applyBorder="1" applyAlignment="1">
      <alignment horizontal="right"/>
    </xf>
    <xf numFmtId="0" fontId="1" fillId="0" borderId="18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0" fillId="0" borderId="17" xfId="0" applyFont="1" applyFill="1" applyBorder="1" applyAlignment="1">
      <alignment/>
    </xf>
    <xf numFmtId="0" fontId="8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center"/>
    </xf>
    <xf numFmtId="0" fontId="1" fillId="0" borderId="19" xfId="0" applyFont="1" applyFill="1" applyBorder="1" applyAlignment="1">
      <alignment horizontal="left"/>
    </xf>
    <xf numFmtId="4" fontId="1" fillId="33" borderId="20" xfId="0" applyNumberFormat="1" applyFont="1" applyFill="1" applyBorder="1" applyAlignment="1">
      <alignment horizontal="right"/>
    </xf>
    <xf numFmtId="4" fontId="1" fillId="34" borderId="11" xfId="0" applyNumberFormat="1" applyFont="1" applyFill="1" applyBorder="1" applyAlignment="1">
      <alignment horizontal="right"/>
    </xf>
    <xf numFmtId="0" fontId="1" fillId="0" borderId="17" xfId="0" applyFont="1" applyFill="1" applyBorder="1" applyAlignment="1">
      <alignment horizontal="left"/>
    </xf>
    <xf numFmtId="4" fontId="0" fillId="0" borderId="17" xfId="0" applyNumberFormat="1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2" fillId="0" borderId="16" xfId="0" applyFont="1" applyBorder="1" applyAlignment="1">
      <alignment horizontal="center"/>
    </xf>
    <xf numFmtId="43" fontId="2" fillId="34" borderId="21" xfId="66" applyFont="1" applyFill="1" applyBorder="1" applyAlignment="1">
      <alignment horizontal="center" vertical="center" wrapText="1"/>
    </xf>
    <xf numFmtId="4" fontId="1" fillId="0" borderId="22" xfId="0" applyNumberFormat="1" applyFont="1" applyBorder="1" applyAlignment="1">
      <alignment/>
    </xf>
    <xf numFmtId="0" fontId="2" fillId="0" borderId="17" xfId="0" applyFon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0" fontId="10" fillId="0" borderId="16" xfId="0" applyFont="1" applyBorder="1" applyAlignment="1">
      <alignment/>
    </xf>
    <xf numFmtId="4" fontId="1" fillId="34" borderId="21" xfId="55" applyNumberFormat="1" applyFont="1" applyFill="1" applyBorder="1">
      <alignment/>
      <protection/>
    </xf>
    <xf numFmtId="0" fontId="0" fillId="0" borderId="23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4" fontId="1" fillId="0" borderId="13" xfId="0" applyNumberFormat="1" applyFont="1" applyFill="1" applyBorder="1" applyAlignment="1">
      <alignment/>
    </xf>
    <xf numFmtId="0" fontId="0" fillId="0" borderId="24" xfId="0" applyFont="1" applyFill="1" applyBorder="1" applyAlignment="1">
      <alignment/>
    </xf>
    <xf numFmtId="4" fontId="1" fillId="0" borderId="25" xfId="0" applyNumberFormat="1" applyFont="1" applyFill="1" applyBorder="1" applyAlignment="1">
      <alignment/>
    </xf>
    <xf numFmtId="0" fontId="1" fillId="0" borderId="23" xfId="0" applyFont="1" applyFill="1" applyBorder="1" applyAlignment="1">
      <alignment horizontal="center" textRotation="90" wrapText="1"/>
    </xf>
    <xf numFmtId="0" fontId="1" fillId="0" borderId="26" xfId="0" applyFont="1" applyFill="1" applyBorder="1" applyAlignment="1">
      <alignment horizontal="center" textRotation="90"/>
    </xf>
    <xf numFmtId="4" fontId="0" fillId="0" borderId="27" xfId="0" applyNumberFormat="1" applyFont="1" applyFill="1" applyBorder="1" applyAlignment="1">
      <alignment horizontal="right" wrapText="1"/>
    </xf>
    <xf numFmtId="4" fontId="2" fillId="0" borderId="28" xfId="34" applyNumberFormat="1" applyFont="1" applyFill="1" applyBorder="1" applyAlignment="1">
      <alignment horizontal="right" vertical="center" wrapText="1"/>
      <protection/>
    </xf>
    <xf numFmtId="4" fontId="2" fillId="0" borderId="10" xfId="34" applyNumberFormat="1" applyFont="1" applyFill="1" applyBorder="1" applyAlignment="1">
      <alignment horizontal="right" vertical="center" wrapText="1"/>
      <protection/>
    </xf>
    <xf numFmtId="4" fontId="0" fillId="0" borderId="27" xfId="0" applyNumberFormat="1" applyFont="1" applyFill="1" applyBorder="1" applyAlignment="1">
      <alignment horizontal="right"/>
    </xf>
    <xf numFmtId="4" fontId="0" fillId="0" borderId="29" xfId="0" applyNumberFormat="1" applyFont="1" applyFill="1" applyBorder="1" applyAlignment="1">
      <alignment horizontal="right"/>
    </xf>
    <xf numFmtId="4" fontId="0" fillId="0" borderId="10" xfId="0" applyNumberFormat="1" applyFont="1" applyFill="1" applyBorder="1" applyAlignment="1">
      <alignment horizontal="right"/>
    </xf>
    <xf numFmtId="4" fontId="0" fillId="0" borderId="30" xfId="0" applyNumberFormat="1" applyFont="1" applyFill="1" applyBorder="1" applyAlignment="1">
      <alignment horizontal="right"/>
    </xf>
    <xf numFmtId="4" fontId="0" fillId="0" borderId="17" xfId="0" applyNumberFormat="1" applyFont="1" applyFill="1" applyBorder="1" applyAlignment="1">
      <alignment horizontal="right"/>
    </xf>
    <xf numFmtId="4" fontId="0" fillId="0" borderId="17" xfId="0" applyNumberFormat="1" applyFont="1" applyFill="1" applyBorder="1" applyAlignment="1">
      <alignment horizontal="right" vertical="center" wrapText="1"/>
    </xf>
    <xf numFmtId="4" fontId="0" fillId="0" borderId="16" xfId="0" applyNumberFormat="1" applyFont="1" applyFill="1" applyBorder="1" applyAlignment="1">
      <alignment horizontal="right"/>
    </xf>
    <xf numFmtId="4" fontId="0" fillId="0" borderId="22" xfId="0" applyNumberFormat="1" applyFont="1" applyFill="1" applyBorder="1" applyAlignment="1">
      <alignment horizontal="right"/>
    </xf>
    <xf numFmtId="0" fontId="0" fillId="0" borderId="18" xfId="0" applyFont="1" applyFill="1" applyBorder="1" applyAlignment="1">
      <alignment/>
    </xf>
    <xf numFmtId="2" fontId="0" fillId="0" borderId="16" xfId="0" applyNumberFormat="1" applyBorder="1" applyAlignment="1">
      <alignment horizontal="center"/>
    </xf>
    <xf numFmtId="4" fontId="0" fillId="0" borderId="31" xfId="0" applyNumberFormat="1" applyFont="1" applyFill="1" applyBorder="1" applyAlignment="1">
      <alignment/>
    </xf>
    <xf numFmtId="0" fontId="0" fillId="0" borderId="0" xfId="0" applyFill="1" applyAlignment="1">
      <alignment/>
    </xf>
    <xf numFmtId="4" fontId="0" fillId="0" borderId="17" xfId="0" applyNumberFormat="1" applyFill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2" fillId="0" borderId="16" xfId="0" applyFont="1" applyBorder="1" applyAlignment="1">
      <alignment/>
    </xf>
    <xf numFmtId="4" fontId="11" fillId="0" borderId="18" xfId="34" applyNumberFormat="1" applyFont="1" applyFill="1" applyBorder="1" applyAlignment="1">
      <alignment horizontal="center" vertical="center" wrapText="1"/>
      <protection/>
    </xf>
    <xf numFmtId="43" fontId="11" fillId="34" borderId="21" xfId="66" applyFont="1" applyFill="1" applyBorder="1" applyAlignment="1">
      <alignment horizontal="center" vertical="center" wrapText="1"/>
    </xf>
    <xf numFmtId="4" fontId="7" fillId="0" borderId="17" xfId="0" applyNumberFormat="1" applyFont="1" applyBorder="1" applyAlignment="1">
      <alignment horizontal="center"/>
    </xf>
    <xf numFmtId="4" fontId="7" fillId="0" borderId="21" xfId="0" applyNumberFormat="1" applyFont="1" applyBorder="1" applyAlignment="1">
      <alignment horizontal="center"/>
    </xf>
    <xf numFmtId="4" fontId="6" fillId="0" borderId="22" xfId="0" applyNumberFormat="1" applyFont="1" applyBorder="1" applyAlignment="1">
      <alignment/>
    </xf>
    <xf numFmtId="0" fontId="11" fillId="0" borderId="17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2" fillId="0" borderId="22" xfId="0" applyFont="1" applyBorder="1" applyAlignment="1">
      <alignment/>
    </xf>
    <xf numFmtId="4" fontId="7" fillId="34" borderId="21" xfId="55" applyNumberFormat="1" applyFont="1" applyFill="1" applyBorder="1">
      <alignment/>
      <protection/>
    </xf>
    <xf numFmtId="4" fontId="7" fillId="0" borderId="17" xfId="55" applyNumberFormat="1" applyFont="1" applyFill="1" applyBorder="1">
      <alignment/>
      <protection/>
    </xf>
    <xf numFmtId="4" fontId="7" fillId="33" borderId="17" xfId="55" applyNumberFormat="1" applyFont="1" applyFill="1" applyBorder="1">
      <alignment/>
      <protection/>
    </xf>
    <xf numFmtId="4" fontId="6" fillId="0" borderId="21" xfId="55" applyNumberFormat="1" applyFont="1" applyFill="1" applyBorder="1">
      <alignment/>
      <protection/>
    </xf>
    <xf numFmtId="4" fontId="7" fillId="35" borderId="17" xfId="55" applyNumberFormat="1" applyFont="1" applyFill="1" applyBorder="1">
      <alignment/>
      <protection/>
    </xf>
    <xf numFmtId="4" fontId="2" fillId="0" borderId="18" xfId="34" applyNumberFormat="1" applyFont="1" applyFill="1" applyBorder="1" applyAlignment="1">
      <alignment horizontal="center" vertical="center" wrapText="1"/>
      <protection/>
    </xf>
    <xf numFmtId="4" fontId="0" fillId="34" borderId="21" xfId="55" applyNumberFormat="1" applyFont="1" applyFill="1" applyBorder="1">
      <alignment/>
      <protection/>
    </xf>
    <xf numFmtId="4" fontId="0" fillId="0" borderId="17" xfId="55" applyNumberFormat="1" applyFont="1" applyFill="1" applyBorder="1">
      <alignment/>
      <protection/>
    </xf>
    <xf numFmtId="4" fontId="0" fillId="33" borderId="17" xfId="55" applyNumberFormat="1" applyFont="1" applyFill="1" applyBorder="1">
      <alignment/>
      <protection/>
    </xf>
    <xf numFmtId="4" fontId="0" fillId="0" borderId="21" xfId="55" applyNumberFormat="1" applyFont="1" applyFill="1" applyBorder="1">
      <alignment/>
      <protection/>
    </xf>
    <xf numFmtId="4" fontId="0" fillId="35" borderId="17" xfId="55" applyNumberFormat="1" applyFont="1" applyFill="1" applyBorder="1">
      <alignment/>
      <protection/>
    </xf>
    <xf numFmtId="4" fontId="0" fillId="0" borderId="17" xfId="0" applyNumberFormat="1" applyFont="1" applyBorder="1" applyAlignment="1">
      <alignment horizontal="center"/>
    </xf>
    <xf numFmtId="4" fontId="0" fillId="0" borderId="16" xfId="0" applyNumberFormat="1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4" fontId="0" fillId="33" borderId="17" xfId="55" applyNumberFormat="1" applyFont="1" applyFill="1" applyBorder="1" applyAlignment="1">
      <alignment horizontal="center"/>
      <protection/>
    </xf>
    <xf numFmtId="4" fontId="7" fillId="0" borderId="32" xfId="0" applyNumberFormat="1" applyFont="1" applyBorder="1" applyAlignment="1">
      <alignment horizontal="center"/>
    </xf>
    <xf numFmtId="4" fontId="2" fillId="0" borderId="32" xfId="0" applyNumberFormat="1" applyFont="1" applyBorder="1" applyAlignment="1">
      <alignment horizontal="center"/>
    </xf>
    <xf numFmtId="4" fontId="0" fillId="0" borderId="32" xfId="0" applyNumberFormat="1" applyFont="1" applyBorder="1" applyAlignment="1">
      <alignment horizontal="center"/>
    </xf>
    <xf numFmtId="4" fontId="0" fillId="0" borderId="33" xfId="0" applyNumberFormat="1" applyFont="1" applyBorder="1" applyAlignment="1">
      <alignment horizontal="center"/>
    </xf>
    <xf numFmtId="4" fontId="0" fillId="36" borderId="17" xfId="55" applyNumberFormat="1" applyFont="1" applyFill="1" applyBorder="1">
      <alignment/>
      <protection/>
    </xf>
    <xf numFmtId="4" fontId="0" fillId="0" borderId="34" xfId="0" applyNumberFormat="1" applyFont="1" applyFill="1" applyBorder="1" applyAlignment="1">
      <alignment horizontal="right"/>
    </xf>
    <xf numFmtId="4" fontId="0" fillId="0" borderId="21" xfId="0" applyNumberFormat="1" applyFont="1" applyFill="1" applyBorder="1" applyAlignment="1">
      <alignment horizontal="right" vertical="center" wrapText="1"/>
    </xf>
    <xf numFmtId="0" fontId="0" fillId="37" borderId="17" xfId="0" applyFont="1" applyFill="1" applyBorder="1" applyAlignment="1">
      <alignment/>
    </xf>
    <xf numFmtId="4" fontId="0" fillId="37" borderId="17" xfId="0" applyNumberFormat="1" applyFont="1" applyFill="1" applyBorder="1" applyAlignment="1">
      <alignment/>
    </xf>
    <xf numFmtId="4" fontId="1" fillId="37" borderId="13" xfId="0" applyNumberFormat="1" applyFont="1" applyFill="1" applyBorder="1" applyAlignment="1">
      <alignment/>
    </xf>
    <xf numFmtId="0" fontId="0" fillId="37" borderId="24" xfId="0" applyFont="1" applyFill="1" applyBorder="1" applyAlignment="1">
      <alignment/>
    </xf>
    <xf numFmtId="4" fontId="1" fillId="37" borderId="25" xfId="0" applyNumberFormat="1" applyFont="1" applyFill="1" applyBorder="1" applyAlignment="1">
      <alignment/>
    </xf>
    <xf numFmtId="4" fontId="15" fillId="0" borderId="17" xfId="0" applyNumberFormat="1" applyFont="1" applyBorder="1" applyAlignment="1">
      <alignment horizontal="center"/>
    </xf>
    <xf numFmtId="4" fontId="0" fillId="35" borderId="21" xfId="55" applyNumberFormat="1" applyFont="1" applyFill="1" applyBorder="1">
      <alignment/>
      <protection/>
    </xf>
    <xf numFmtId="4" fontId="0" fillId="0" borderId="21" xfId="0" applyNumberFormat="1" applyFont="1" applyBorder="1" applyAlignment="1">
      <alignment horizontal="center"/>
    </xf>
    <xf numFmtId="0" fontId="0" fillId="38" borderId="16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4" fontId="0" fillId="0" borderId="22" xfId="0" applyNumberFormat="1" applyFont="1" applyBorder="1" applyAlignment="1">
      <alignment horizontal="center"/>
    </xf>
    <xf numFmtId="4" fontId="15" fillId="0" borderId="32" xfId="0" applyNumberFormat="1" applyFont="1" applyBorder="1" applyAlignment="1">
      <alignment horizontal="center"/>
    </xf>
    <xf numFmtId="4" fontId="2" fillId="0" borderId="21" xfId="0" applyNumberFormat="1" applyFont="1" applyBorder="1" applyAlignment="1">
      <alignment horizontal="center"/>
    </xf>
    <xf numFmtId="4" fontId="0" fillId="0" borderId="28" xfId="0" applyNumberFormat="1" applyFont="1" applyFill="1" applyBorder="1" applyAlignment="1">
      <alignment horizontal="right" wrapText="1"/>
    </xf>
    <xf numFmtId="4" fontId="2" fillId="0" borderId="34" xfId="34" applyNumberFormat="1" applyFont="1" applyFill="1" applyBorder="1" applyAlignment="1">
      <alignment horizontal="right" vertical="center" wrapText="1"/>
      <protection/>
    </xf>
    <xf numFmtId="4" fontId="0" fillId="0" borderId="28" xfId="0" applyNumberFormat="1" applyFont="1" applyFill="1" applyBorder="1" applyAlignment="1">
      <alignment horizontal="right"/>
    </xf>
    <xf numFmtId="4" fontId="0" fillId="0" borderId="21" xfId="0" applyNumberFormat="1" applyFont="1" applyFill="1" applyBorder="1" applyAlignment="1">
      <alignment horizontal="right"/>
    </xf>
    <xf numFmtId="0" fontId="1" fillId="0" borderId="35" xfId="0" applyFont="1" applyFill="1" applyBorder="1" applyAlignment="1">
      <alignment horizontal="center" vertical="center" wrapText="1"/>
    </xf>
    <xf numFmtId="0" fontId="0" fillId="0" borderId="36" xfId="0" applyFont="1" applyBorder="1" applyAlignment="1">
      <alignment/>
    </xf>
    <xf numFmtId="0" fontId="1" fillId="0" borderId="37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38" borderId="37" xfId="0" applyFont="1" applyFill="1" applyBorder="1" applyAlignment="1">
      <alignment horizontal="center" vertical="center" wrapText="1"/>
    </xf>
    <xf numFmtId="0" fontId="1" fillId="38" borderId="38" xfId="0" applyFont="1" applyFill="1" applyBorder="1" applyAlignment="1">
      <alignment horizontal="center" vertical="center" wrapText="1"/>
    </xf>
    <xf numFmtId="2" fontId="1" fillId="35" borderId="37" xfId="0" applyNumberFormat="1" applyFont="1" applyFill="1" applyBorder="1" applyAlignment="1">
      <alignment horizontal="center" vertical="center" wrapText="1"/>
    </xf>
    <xf numFmtId="2" fontId="1" fillId="35" borderId="38" xfId="0" applyNumberFormat="1" applyFont="1" applyFill="1" applyBorder="1" applyAlignment="1">
      <alignment horizontal="center" vertical="center" wrapText="1"/>
    </xf>
    <xf numFmtId="2" fontId="1" fillId="0" borderId="37" xfId="0" applyNumberFormat="1" applyFont="1" applyFill="1" applyBorder="1" applyAlignment="1">
      <alignment horizontal="center" vertical="center" wrapText="1"/>
    </xf>
    <xf numFmtId="2" fontId="1" fillId="0" borderId="38" xfId="0" applyNumberFormat="1" applyFont="1" applyFill="1" applyBorder="1" applyAlignment="1">
      <alignment horizontal="center" vertical="center" wrapText="1"/>
    </xf>
    <xf numFmtId="2" fontId="1" fillId="0" borderId="40" xfId="0" applyNumberFormat="1" applyFont="1" applyFill="1" applyBorder="1" applyAlignment="1">
      <alignment horizontal="center" vertical="center" wrapText="1"/>
    </xf>
    <xf numFmtId="2" fontId="1" fillId="0" borderId="31" xfId="0" applyNumberFormat="1" applyFont="1" applyFill="1" applyBorder="1" applyAlignment="1">
      <alignment horizontal="center" vertical="center" wrapText="1"/>
    </xf>
    <xf numFmtId="2" fontId="1" fillId="0" borderId="41" xfId="0" applyNumberFormat="1" applyFont="1" applyFill="1" applyBorder="1" applyAlignment="1">
      <alignment horizontal="center" vertical="center" wrapText="1"/>
    </xf>
    <xf numFmtId="2" fontId="1" fillId="0" borderId="42" xfId="0" applyNumberFormat="1" applyFont="1" applyFill="1" applyBorder="1" applyAlignment="1">
      <alignment horizontal="center" vertical="center" wrapText="1"/>
    </xf>
    <xf numFmtId="2" fontId="1" fillId="33" borderId="37" xfId="55" applyNumberFormat="1" applyFont="1" applyFill="1" applyBorder="1" applyAlignment="1">
      <alignment horizontal="center" vertical="center" wrapText="1"/>
      <protection/>
    </xf>
    <xf numFmtId="2" fontId="1" fillId="33" borderId="39" xfId="55" applyNumberFormat="1" applyFont="1" applyFill="1" applyBorder="1" applyAlignment="1">
      <alignment horizontal="center" vertical="center" wrapText="1"/>
      <protection/>
    </xf>
    <xf numFmtId="2" fontId="1" fillId="33" borderId="37" xfId="0" applyNumberFormat="1" applyFont="1" applyFill="1" applyBorder="1" applyAlignment="1">
      <alignment horizontal="center" vertical="center" wrapText="1"/>
    </xf>
    <xf numFmtId="2" fontId="1" fillId="33" borderId="39" xfId="0" applyNumberFormat="1" applyFont="1" applyFill="1" applyBorder="1" applyAlignment="1">
      <alignment horizontal="center" vertical="center" wrapText="1"/>
    </xf>
    <xf numFmtId="2" fontId="1" fillId="36" borderId="37" xfId="55" applyNumberFormat="1" applyFont="1" applyFill="1" applyBorder="1" applyAlignment="1">
      <alignment horizontal="center" vertical="center" wrapText="1"/>
      <protection/>
    </xf>
    <xf numFmtId="2" fontId="1" fillId="36" borderId="39" xfId="55" applyNumberFormat="1" applyFont="1" applyFill="1" applyBorder="1" applyAlignment="1">
      <alignment horizontal="center" vertical="center" wrapText="1"/>
      <protection/>
    </xf>
    <xf numFmtId="0" fontId="1" fillId="0" borderId="43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center" wrapText="1"/>
    </xf>
    <xf numFmtId="2" fontId="1" fillId="34" borderId="37" xfId="0" applyNumberFormat="1" applyFont="1" applyFill="1" applyBorder="1" applyAlignment="1">
      <alignment horizontal="center" vertical="center" wrapText="1"/>
    </xf>
    <xf numFmtId="2" fontId="1" fillId="34" borderId="38" xfId="0" applyNumberFormat="1" applyFont="1" applyFill="1" applyBorder="1" applyAlignment="1">
      <alignment horizontal="center" vertical="center" wrapText="1"/>
    </xf>
    <xf numFmtId="2" fontId="1" fillId="0" borderId="35" xfId="0" applyNumberFormat="1" applyFont="1" applyBorder="1" applyAlignment="1">
      <alignment horizontal="center" vertical="center" wrapText="1"/>
    </xf>
    <xf numFmtId="2" fontId="1" fillId="0" borderId="46" xfId="0" applyNumberFormat="1" applyFont="1" applyBorder="1" applyAlignment="1">
      <alignment horizontal="center" vertical="center" wrapText="1"/>
    </xf>
    <xf numFmtId="2" fontId="1" fillId="0" borderId="43" xfId="0" applyNumberFormat="1" applyFont="1" applyBorder="1" applyAlignment="1">
      <alignment horizontal="center" vertical="center" wrapText="1"/>
    </xf>
    <xf numFmtId="2" fontId="1" fillId="0" borderId="47" xfId="0" applyNumberFormat="1" applyFont="1" applyBorder="1" applyAlignment="1">
      <alignment horizontal="center" vertical="center" wrapText="1"/>
    </xf>
    <xf numFmtId="2" fontId="1" fillId="0" borderId="48" xfId="0" applyNumberFormat="1" applyFont="1" applyBorder="1" applyAlignment="1">
      <alignment horizontal="center" vertical="center" wrapText="1"/>
    </xf>
    <xf numFmtId="2" fontId="1" fillId="0" borderId="49" xfId="0" applyNumberFormat="1" applyFont="1" applyBorder="1" applyAlignment="1">
      <alignment horizontal="center" vertical="center" wrapText="1"/>
    </xf>
    <xf numFmtId="2" fontId="1" fillId="0" borderId="50" xfId="0" applyNumberFormat="1" applyFont="1" applyFill="1" applyBorder="1" applyAlignment="1">
      <alignment horizontal="center" vertical="center" wrapText="1"/>
    </xf>
    <xf numFmtId="2" fontId="1" fillId="0" borderId="51" xfId="0" applyNumberFormat="1" applyFont="1" applyFill="1" applyBorder="1" applyAlignment="1">
      <alignment horizontal="center" vertical="center" wrapText="1"/>
    </xf>
    <xf numFmtId="2" fontId="1" fillId="33" borderId="41" xfId="55" applyNumberFormat="1" applyFont="1" applyFill="1" applyBorder="1" applyAlignment="1">
      <alignment horizontal="center" vertical="center" wrapText="1"/>
      <protection/>
    </xf>
    <xf numFmtId="2" fontId="1" fillId="33" borderId="52" xfId="55" applyNumberFormat="1" applyFont="1" applyFill="1" applyBorder="1" applyAlignment="1">
      <alignment horizontal="center" vertical="center" wrapText="1"/>
      <protection/>
    </xf>
    <xf numFmtId="0" fontId="1" fillId="0" borderId="35" xfId="0" applyFont="1" applyFill="1" applyBorder="1" applyAlignment="1">
      <alignment horizontal="center" vertical="center"/>
    </xf>
    <xf numFmtId="0" fontId="1" fillId="0" borderId="46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0" fontId="1" fillId="0" borderId="47" xfId="0" applyFont="1" applyFill="1" applyBorder="1" applyAlignment="1">
      <alignment horizontal="center" vertical="center"/>
    </xf>
    <xf numFmtId="0" fontId="1" fillId="0" borderId="48" xfId="0" applyFont="1" applyFill="1" applyBorder="1" applyAlignment="1">
      <alignment horizontal="center" vertical="center"/>
    </xf>
    <xf numFmtId="0" fontId="1" fillId="0" borderId="49" xfId="0" applyFont="1" applyFill="1" applyBorder="1" applyAlignment="1">
      <alignment horizontal="center" vertical="center"/>
    </xf>
    <xf numFmtId="2" fontId="1" fillId="0" borderId="37" xfId="0" applyNumberFormat="1" applyFont="1" applyBorder="1" applyAlignment="1">
      <alignment horizontal="center" vertical="center" wrapText="1"/>
    </xf>
    <xf numFmtId="2" fontId="1" fillId="0" borderId="38" xfId="0" applyNumberFormat="1" applyFont="1" applyBorder="1" applyAlignment="1">
      <alignment horizontal="center" vertical="center" wrapText="1"/>
    </xf>
    <xf numFmtId="2" fontId="1" fillId="0" borderId="37" xfId="55" applyNumberFormat="1" applyFont="1" applyFill="1" applyBorder="1" applyAlignment="1">
      <alignment horizontal="center" vertical="center" wrapText="1"/>
      <protection/>
    </xf>
    <xf numFmtId="2" fontId="1" fillId="0" borderId="39" xfId="55" applyNumberFormat="1" applyFont="1" applyFill="1" applyBorder="1" applyAlignment="1">
      <alignment horizontal="center" vertical="center" wrapText="1"/>
      <protection/>
    </xf>
    <xf numFmtId="0" fontId="1" fillId="0" borderId="0" xfId="0" applyFont="1" applyFill="1" applyBorder="1" applyAlignment="1">
      <alignment horizontal="center"/>
    </xf>
    <xf numFmtId="0" fontId="1" fillId="0" borderId="53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" fontId="1" fillId="0" borderId="37" xfId="0" applyNumberFormat="1" applyFont="1" applyFill="1" applyBorder="1" applyAlignment="1">
      <alignment horizontal="center" vertical="center" wrapText="1"/>
    </xf>
    <xf numFmtId="4" fontId="1" fillId="0" borderId="38" xfId="0" applyNumberFormat="1" applyFont="1" applyFill="1" applyBorder="1" applyAlignment="1">
      <alignment horizontal="center" vertical="center" wrapText="1"/>
    </xf>
    <xf numFmtId="4" fontId="1" fillId="0" borderId="43" xfId="0" applyNumberFormat="1" applyFont="1" applyFill="1" applyBorder="1" applyAlignment="1">
      <alignment horizontal="center" vertical="center" wrapText="1"/>
    </xf>
    <xf numFmtId="4" fontId="1" fillId="0" borderId="44" xfId="0" applyNumberFormat="1" applyFont="1" applyFill="1" applyBorder="1" applyAlignment="1">
      <alignment horizontal="center" vertical="center" wrapText="1"/>
    </xf>
    <xf numFmtId="43" fontId="6" fillId="34" borderId="37" xfId="65" applyFont="1" applyFill="1" applyBorder="1" applyAlignment="1">
      <alignment horizontal="center" vertical="center" wrapText="1"/>
    </xf>
    <xf numFmtId="43" fontId="6" fillId="34" borderId="38" xfId="65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 vertical="center" wrapText="1"/>
    </xf>
    <xf numFmtId="0" fontId="1" fillId="0" borderId="49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left"/>
    </xf>
    <xf numFmtId="0" fontId="1" fillId="0" borderId="46" xfId="0" applyFont="1" applyFill="1" applyBorder="1" applyAlignment="1">
      <alignment horizontal="left"/>
    </xf>
    <xf numFmtId="0" fontId="0" fillId="0" borderId="17" xfId="0" applyFont="1" applyFill="1" applyBorder="1" applyAlignment="1">
      <alignment horizontal="center"/>
    </xf>
    <xf numFmtId="2" fontId="0" fillId="0" borderId="21" xfId="0" applyNumberFormat="1" applyFont="1" applyFill="1" applyBorder="1" applyAlignment="1">
      <alignment horizontal="center"/>
    </xf>
    <xf numFmtId="2" fontId="0" fillId="0" borderId="54" xfId="0" applyNumberFormat="1" applyFont="1" applyFill="1" applyBorder="1" applyAlignment="1">
      <alignment horizontal="center"/>
    </xf>
    <xf numFmtId="2" fontId="1" fillId="0" borderId="53" xfId="0" applyNumberFormat="1" applyFont="1" applyFill="1" applyBorder="1" applyAlignment="1">
      <alignment horizontal="center" vertical="center" wrapText="1"/>
    </xf>
    <xf numFmtId="2" fontId="1" fillId="0" borderId="55" xfId="0" applyNumberFormat="1" applyFont="1" applyFill="1" applyBorder="1" applyAlignment="1">
      <alignment horizontal="center" vertical="center" wrapText="1"/>
    </xf>
    <xf numFmtId="2" fontId="1" fillId="0" borderId="56" xfId="0" applyNumberFormat="1" applyFont="1" applyFill="1" applyBorder="1" applyAlignment="1">
      <alignment horizontal="center" vertical="center" wrapText="1"/>
    </xf>
    <xf numFmtId="2" fontId="1" fillId="0" borderId="57" xfId="0" applyNumberFormat="1" applyFont="1" applyFill="1" applyBorder="1" applyAlignment="1">
      <alignment horizontal="center" vertical="center" wrapText="1"/>
    </xf>
    <xf numFmtId="2" fontId="1" fillId="0" borderId="18" xfId="0" applyNumberFormat="1" applyFont="1" applyFill="1" applyBorder="1" applyAlignment="1">
      <alignment horizontal="center" vertical="center" wrapText="1"/>
    </xf>
    <xf numFmtId="2" fontId="1" fillId="0" borderId="17" xfId="0" applyNumberFormat="1" applyFont="1" applyFill="1" applyBorder="1" applyAlignment="1">
      <alignment horizontal="center" vertical="center" wrapText="1"/>
    </xf>
    <xf numFmtId="2" fontId="1" fillId="0" borderId="21" xfId="0" applyNumberFormat="1" applyFont="1" applyFill="1" applyBorder="1" applyAlignment="1">
      <alignment horizontal="center" vertical="center" wrapText="1"/>
    </xf>
    <xf numFmtId="2" fontId="1" fillId="0" borderId="16" xfId="0" applyNumberFormat="1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4" fontId="1" fillId="0" borderId="55" xfId="0" applyNumberFormat="1" applyFont="1" applyFill="1" applyBorder="1" applyAlignment="1">
      <alignment horizontal="center" vertical="center" textRotation="90" wrapText="1"/>
    </xf>
    <xf numFmtId="4" fontId="1" fillId="0" borderId="17" xfId="0" applyNumberFormat="1" applyFont="1" applyFill="1" applyBorder="1" applyAlignment="1">
      <alignment horizontal="center" vertical="center" textRotation="90" wrapText="1"/>
    </xf>
    <xf numFmtId="4" fontId="1" fillId="0" borderId="23" xfId="0" applyNumberFormat="1" applyFont="1" applyFill="1" applyBorder="1" applyAlignment="1">
      <alignment horizontal="center" vertical="center" textRotation="90" wrapText="1"/>
    </xf>
    <xf numFmtId="4" fontId="1" fillId="0" borderId="56" xfId="0" applyNumberFormat="1" applyFont="1" applyFill="1" applyBorder="1" applyAlignment="1">
      <alignment horizontal="center" vertical="center" textRotation="90" wrapText="1"/>
    </xf>
    <xf numFmtId="4" fontId="1" fillId="0" borderId="21" xfId="0" applyNumberFormat="1" applyFont="1" applyFill="1" applyBorder="1" applyAlignment="1">
      <alignment horizontal="center" vertical="center" textRotation="90" wrapText="1"/>
    </xf>
    <xf numFmtId="4" fontId="1" fillId="0" borderId="58" xfId="0" applyNumberFormat="1" applyFont="1" applyFill="1" applyBorder="1" applyAlignment="1">
      <alignment horizontal="center" vertical="center" textRotation="90" wrapText="1"/>
    </xf>
    <xf numFmtId="4" fontId="1" fillId="0" borderId="53" xfId="0" applyNumberFormat="1" applyFont="1" applyFill="1" applyBorder="1" applyAlignment="1">
      <alignment horizontal="center" vertical="center" textRotation="90" wrapText="1"/>
    </xf>
    <xf numFmtId="4" fontId="1" fillId="0" borderId="18" xfId="0" applyNumberFormat="1" applyFont="1" applyFill="1" applyBorder="1" applyAlignment="1">
      <alignment horizontal="center" vertical="center" textRotation="90" wrapText="1"/>
    </xf>
    <xf numFmtId="4" fontId="1" fillId="0" borderId="15" xfId="0" applyNumberFormat="1" applyFont="1" applyFill="1" applyBorder="1" applyAlignment="1">
      <alignment horizontal="center" vertical="center" textRotation="90" wrapText="1"/>
    </xf>
    <xf numFmtId="0" fontId="1" fillId="0" borderId="59" xfId="0" applyFont="1" applyFill="1" applyBorder="1" applyAlignment="1">
      <alignment horizontal="center" vertical="center" wrapText="1"/>
    </xf>
    <xf numFmtId="2" fontId="1" fillId="0" borderId="16" xfId="0" applyNumberFormat="1" applyFont="1" applyFill="1" applyBorder="1" applyAlignment="1">
      <alignment horizontal="center" vertical="center" textRotation="90" wrapText="1"/>
    </xf>
    <xf numFmtId="2" fontId="1" fillId="0" borderId="26" xfId="0" applyNumberFormat="1" applyFont="1" applyFill="1" applyBorder="1" applyAlignment="1">
      <alignment horizontal="center" vertical="center" textRotation="90" wrapText="1"/>
    </xf>
    <xf numFmtId="2" fontId="1" fillId="0" borderId="18" xfId="0" applyNumberFormat="1" applyFont="1" applyFill="1" applyBorder="1" applyAlignment="1">
      <alignment horizontal="center" vertical="center" textRotation="90" wrapText="1"/>
    </xf>
    <xf numFmtId="2" fontId="1" fillId="0" borderId="15" xfId="0" applyNumberFormat="1" applyFont="1" applyFill="1" applyBorder="1" applyAlignment="1">
      <alignment horizontal="center" vertical="center" textRotation="90" wrapText="1"/>
    </xf>
    <xf numFmtId="2" fontId="1" fillId="0" borderId="17" xfId="0" applyNumberFormat="1" applyFont="1" applyFill="1" applyBorder="1" applyAlignment="1">
      <alignment horizontal="center" vertical="center" textRotation="90" wrapText="1"/>
    </xf>
    <xf numFmtId="2" fontId="1" fillId="0" borderId="23" xfId="0" applyNumberFormat="1" applyFont="1" applyFill="1" applyBorder="1" applyAlignment="1">
      <alignment horizontal="center" vertical="center" textRotation="90" wrapText="1"/>
    </xf>
    <xf numFmtId="0" fontId="1" fillId="0" borderId="60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wrapText="1"/>
    </xf>
    <xf numFmtId="0" fontId="1" fillId="0" borderId="43" xfId="0" applyFont="1" applyFill="1" applyBorder="1" applyAlignment="1">
      <alignment horizontal="center" wrapText="1"/>
    </xf>
    <xf numFmtId="0" fontId="1" fillId="0" borderId="61" xfId="0" applyFont="1" applyFill="1" applyBorder="1" applyAlignment="1">
      <alignment horizontal="center" wrapText="1"/>
    </xf>
    <xf numFmtId="0" fontId="1" fillId="0" borderId="45" xfId="0" applyFont="1" applyFill="1" applyBorder="1" applyAlignment="1">
      <alignment horizontal="center" wrapText="1"/>
    </xf>
    <xf numFmtId="2" fontId="1" fillId="0" borderId="37" xfId="0" applyNumberFormat="1" applyFont="1" applyFill="1" applyBorder="1" applyAlignment="1">
      <alignment horizontal="center" vertical="center" textRotation="90" wrapText="1"/>
    </xf>
    <xf numFmtId="2" fontId="1" fillId="0" borderId="38" xfId="0" applyNumberFormat="1" applyFont="1" applyFill="1" applyBorder="1" applyAlignment="1">
      <alignment horizontal="center" vertical="center" textRotation="90" wrapText="1"/>
    </xf>
    <xf numFmtId="2" fontId="1" fillId="0" borderId="39" xfId="0" applyNumberFormat="1" applyFont="1" applyFill="1" applyBorder="1" applyAlignment="1">
      <alignment horizontal="center" vertical="center" textRotation="90" wrapText="1"/>
    </xf>
    <xf numFmtId="0" fontId="0" fillId="0" borderId="48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34" borderId="0" xfId="0" applyFont="1" applyFill="1" applyBorder="1" applyAlignment="1">
      <alignment horizontal="left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3" xfId="33"/>
    <cellStyle name="S4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_ЛИЦ СЧЕТА 1 кв 201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Финансовый_ЛИЦ СЧЕТА 1 кв 2011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180975</xdr:colOff>
      <xdr:row>3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9429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ERVER\Share\&#1070;&#1083;&#1080;&#1103;%20&#1057;&#1077;&#1088;&#1075;&#1077;&#1077;&#1074;&#1085;&#1072;\2011%20&#1075;&#1086;&#1076;\&#1083;&#1080;&#1094;.&#1089;&#1095;&#1077;&#1090;&#1072;%20&#1085;&#1077;&#1078;&#1080;&#1083;.%20&#1087;&#1086;&#1084;.%20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ERVER\Share\&#1070;&#1083;&#1080;&#1103;%20&#1057;&#1077;&#1088;&#1075;&#1077;&#1077;&#1074;&#1085;&#1072;\2012%20&#1075;&#1086;&#1076;\&#1083;&#1080;&#1094;.&#1089;&#1095;&#1077;&#1090;&#1072;%20&#1085;&#1077;&#1078;&#1080;&#1083;.%20&#1087;&#1086;&#1084;.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01"/>
      <sheetName val="Т02"/>
      <sheetName val="Т03"/>
      <sheetName val="Т04"/>
      <sheetName val="Т05"/>
      <sheetName val="Т06"/>
      <sheetName val="Т07"/>
      <sheetName val="Т08"/>
      <sheetName val="Т09"/>
      <sheetName val="Т10"/>
      <sheetName val="Т11"/>
      <sheetName val="Т12"/>
      <sheetName val="Лист3"/>
    </sheetNames>
    <sheetDataSet>
      <sheetData sheetId="5">
        <row r="246">
          <cell r="J246">
            <v>0</v>
          </cell>
          <cell r="S246">
            <v>0</v>
          </cell>
        </row>
        <row r="247">
          <cell r="J247">
            <v>0</v>
          </cell>
          <cell r="S247">
            <v>0</v>
          </cell>
        </row>
        <row r="248">
          <cell r="J248">
            <v>263.52</v>
          </cell>
          <cell r="S248">
            <v>130.56</v>
          </cell>
        </row>
        <row r="249">
          <cell r="J249">
            <v>307.44</v>
          </cell>
          <cell r="S249">
            <v>152.32</v>
          </cell>
        </row>
        <row r="250">
          <cell r="J250">
            <v>0</v>
          </cell>
          <cell r="S250">
            <v>0</v>
          </cell>
        </row>
      </sheetData>
      <sheetData sheetId="6">
        <row r="248">
          <cell r="J248">
            <v>578.0840000000001</v>
          </cell>
          <cell r="S248">
            <v>143.072</v>
          </cell>
        </row>
        <row r="249">
          <cell r="J249">
            <v>4643.6616</v>
          </cell>
          <cell r="S249">
            <v>1150.3424</v>
          </cell>
        </row>
        <row r="250">
          <cell r="J250">
            <v>263.52</v>
          </cell>
          <cell r="S250">
            <v>130.56</v>
          </cell>
        </row>
        <row r="251">
          <cell r="J251">
            <v>307.44</v>
          </cell>
          <cell r="S251">
            <v>152.32</v>
          </cell>
        </row>
        <row r="252">
          <cell r="J252">
            <v>3375.262</v>
          </cell>
          <cell r="S252">
            <v>836.1279999999999</v>
          </cell>
        </row>
      </sheetData>
      <sheetData sheetId="7">
        <row r="259">
          <cell r="J259">
            <v>680.76</v>
          </cell>
          <cell r="S259">
            <v>337.28</v>
          </cell>
        </row>
        <row r="260">
          <cell r="J260">
            <v>289.03700000000003</v>
          </cell>
          <cell r="S260">
            <v>143.072</v>
          </cell>
        </row>
        <row r="261">
          <cell r="J261">
            <v>2321.8308</v>
          </cell>
          <cell r="S261">
            <v>1150.3424</v>
          </cell>
        </row>
        <row r="262">
          <cell r="J262">
            <v>263.52</v>
          </cell>
          <cell r="S262">
            <v>130.56</v>
          </cell>
        </row>
        <row r="263">
          <cell r="J263">
            <v>307.44</v>
          </cell>
          <cell r="S263">
            <v>152.32</v>
          </cell>
        </row>
        <row r="265">
          <cell r="J265">
            <v>728.36</v>
          </cell>
          <cell r="S265">
            <v>378.08</v>
          </cell>
        </row>
      </sheetData>
      <sheetData sheetId="8">
        <row r="260">
          <cell r="J260">
            <v>289.03700000000003</v>
          </cell>
          <cell r="S260">
            <v>143.072</v>
          </cell>
        </row>
        <row r="261">
          <cell r="J261">
            <v>2321.8308</v>
          </cell>
          <cell r="S261">
            <v>1150.3424</v>
          </cell>
        </row>
        <row r="262">
          <cell r="J262">
            <v>263.52</v>
          </cell>
          <cell r="S262">
            <v>130.56</v>
          </cell>
        </row>
        <row r="263">
          <cell r="J263">
            <v>307.44</v>
          </cell>
          <cell r="S263">
            <v>152.32</v>
          </cell>
        </row>
        <row r="264">
          <cell r="J264">
            <v>1687.626</v>
          </cell>
          <cell r="S264">
            <v>836.1279999999999</v>
          </cell>
        </row>
        <row r="265">
          <cell r="J265">
            <v>538.02</v>
          </cell>
          <cell r="S265">
            <v>266.56</v>
          </cell>
        </row>
      </sheetData>
      <sheetData sheetId="9">
        <row r="260">
          <cell r="J260">
            <v>289.03700000000003</v>
          </cell>
        </row>
        <row r="261">
          <cell r="J261">
            <v>2321.8308</v>
          </cell>
        </row>
        <row r="262">
          <cell r="J262">
            <v>263.52</v>
          </cell>
        </row>
        <row r="263">
          <cell r="J263">
            <v>307.44</v>
          </cell>
        </row>
        <row r="264">
          <cell r="J264">
            <v>1687.626</v>
          </cell>
        </row>
        <row r="265">
          <cell r="J265">
            <v>538.02</v>
          </cell>
        </row>
      </sheetData>
      <sheetData sheetId="10">
        <row r="260">
          <cell r="J260">
            <v>289.03700000000003</v>
          </cell>
          <cell r="S260">
            <v>143.072</v>
          </cell>
        </row>
        <row r="261">
          <cell r="J261">
            <v>2321.8308</v>
          </cell>
          <cell r="S261">
            <v>1150.3424</v>
          </cell>
        </row>
        <row r="262">
          <cell r="J262">
            <v>263.52</v>
          </cell>
          <cell r="S262">
            <v>130.56</v>
          </cell>
        </row>
        <row r="263">
          <cell r="J263">
            <v>307.44</v>
          </cell>
          <cell r="S263">
            <v>152.32</v>
          </cell>
        </row>
        <row r="264">
          <cell r="J264">
            <v>1687.626</v>
          </cell>
          <cell r="S264">
            <v>836.1279999999999</v>
          </cell>
        </row>
        <row r="265">
          <cell r="J265">
            <v>538.02</v>
          </cell>
          <cell r="S265">
            <v>266.56</v>
          </cell>
        </row>
      </sheetData>
      <sheetData sheetId="11">
        <row r="284">
          <cell r="J284">
            <v>289.03700000000003</v>
          </cell>
          <cell r="S284">
            <v>143.072</v>
          </cell>
        </row>
        <row r="285">
          <cell r="J285">
            <v>2321.8308</v>
          </cell>
          <cell r="S285">
            <v>1150.3424</v>
          </cell>
        </row>
        <row r="286">
          <cell r="J286">
            <v>263.52</v>
          </cell>
          <cell r="S286">
            <v>130.56</v>
          </cell>
        </row>
        <row r="287">
          <cell r="J287">
            <v>307.44</v>
          </cell>
          <cell r="S287">
            <v>152.32</v>
          </cell>
        </row>
        <row r="288">
          <cell r="J288">
            <v>1687.626</v>
          </cell>
          <cell r="S288">
            <v>836.1279999999999</v>
          </cell>
        </row>
        <row r="289">
          <cell r="J289">
            <v>538.02</v>
          </cell>
          <cell r="S289">
            <v>266.56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01"/>
      <sheetName val="Т02"/>
      <sheetName val="Т03"/>
      <sheetName val="Т04"/>
      <sheetName val="Т05"/>
      <sheetName val="Т06"/>
      <sheetName val="Т07"/>
      <sheetName val="Т08"/>
      <sheetName val="Т09"/>
      <sheetName val="Т10"/>
      <sheetName val="Т11"/>
      <sheetName val="Т12"/>
    </sheetNames>
    <sheetDataSet>
      <sheetData sheetId="0">
        <row r="281">
          <cell r="J281">
            <v>0</v>
          </cell>
          <cell r="S281">
            <v>130.56</v>
          </cell>
        </row>
        <row r="282">
          <cell r="J282">
            <v>2159.485</v>
          </cell>
          <cell r="S282">
            <v>836.1279999999999</v>
          </cell>
        </row>
        <row r="283">
          <cell r="J283">
            <v>393.40000000000003</v>
          </cell>
          <cell r="S283">
            <v>152.32</v>
          </cell>
        </row>
        <row r="284">
          <cell r="J284">
            <v>688.45</v>
          </cell>
          <cell r="S284">
            <v>266.56</v>
          </cell>
        </row>
        <row r="290">
          <cell r="J290">
            <v>2971.0130000000004</v>
          </cell>
          <cell r="S290">
            <v>1150.3424</v>
          </cell>
        </row>
        <row r="291">
          <cell r="J291">
            <v>376.54</v>
          </cell>
          <cell r="S291">
            <v>145.792</v>
          </cell>
        </row>
      </sheetData>
      <sheetData sheetId="2">
        <row r="282">
          <cell r="J282">
            <v>1011.6000000000001</v>
          </cell>
        </row>
        <row r="283">
          <cell r="J283">
            <v>2159.485</v>
          </cell>
        </row>
        <row r="284">
          <cell r="J284">
            <v>393.40000000000003</v>
          </cell>
        </row>
        <row r="285">
          <cell r="J285">
            <v>688.45</v>
          </cell>
        </row>
        <row r="291">
          <cell r="J291">
            <v>2971.0130000000004</v>
          </cell>
        </row>
        <row r="292">
          <cell r="J292">
            <v>376.54</v>
          </cell>
        </row>
      </sheetData>
      <sheetData sheetId="3">
        <row r="282">
          <cell r="J282">
            <v>337.20000000000005</v>
          </cell>
        </row>
        <row r="283">
          <cell r="J283">
            <v>2159.485</v>
          </cell>
        </row>
        <row r="284">
          <cell r="J284">
            <v>393.40000000000003</v>
          </cell>
        </row>
        <row r="285">
          <cell r="J285">
            <v>688.45</v>
          </cell>
        </row>
        <row r="291">
          <cell r="J291">
            <v>2971.0130000000004</v>
          </cell>
        </row>
        <row r="292">
          <cell r="J292">
            <v>376.54</v>
          </cell>
        </row>
      </sheetData>
      <sheetData sheetId="6">
        <row r="322">
          <cell r="J322">
            <v>337.20000000000005</v>
          </cell>
          <cell r="S322">
            <v>130.56</v>
          </cell>
        </row>
        <row r="323">
          <cell r="J323">
            <v>2159.485</v>
          </cell>
          <cell r="S323">
            <v>836.1279999999999</v>
          </cell>
        </row>
        <row r="324">
          <cell r="J324">
            <v>393.40000000000003</v>
          </cell>
          <cell r="S324">
            <v>152.32</v>
          </cell>
        </row>
        <row r="325">
          <cell r="J325">
            <v>688.45</v>
          </cell>
          <cell r="S325">
            <v>266.56</v>
          </cell>
        </row>
        <row r="331">
          <cell r="J331">
            <v>2971.0130000000004</v>
          </cell>
          <cell r="S331">
            <v>1150.3424</v>
          </cell>
        </row>
        <row r="332">
          <cell r="J332">
            <v>376.54</v>
          </cell>
          <cell r="S332">
            <v>145.792</v>
          </cell>
        </row>
      </sheetData>
      <sheetData sheetId="7">
        <row r="357">
          <cell r="J357">
            <v>337.20000000000005</v>
          </cell>
          <cell r="S357">
            <v>130.56</v>
          </cell>
        </row>
        <row r="358">
          <cell r="J358">
            <v>2159.485</v>
          </cell>
          <cell r="S358">
            <v>836.1279999999999</v>
          </cell>
        </row>
        <row r="359">
          <cell r="J359">
            <v>393.40000000000003</v>
          </cell>
          <cell r="S359">
            <v>152.32</v>
          </cell>
        </row>
        <row r="360">
          <cell r="J360">
            <v>688.45</v>
          </cell>
          <cell r="S360">
            <v>266.56</v>
          </cell>
        </row>
        <row r="366">
          <cell r="J366">
            <v>2971.0130000000004</v>
          </cell>
          <cell r="S366">
            <v>1150.3424</v>
          </cell>
        </row>
        <row r="367">
          <cell r="J367">
            <v>376.54</v>
          </cell>
          <cell r="S367">
            <v>145.792</v>
          </cell>
        </row>
      </sheetData>
      <sheetData sheetId="8">
        <row r="357">
          <cell r="J357">
            <v>337.20000000000005</v>
          </cell>
          <cell r="S357">
            <v>130.56</v>
          </cell>
        </row>
        <row r="358">
          <cell r="J358">
            <v>2159.485</v>
          </cell>
          <cell r="S358">
            <v>836.1279999999999</v>
          </cell>
        </row>
        <row r="359">
          <cell r="J359">
            <v>393.40000000000003</v>
          </cell>
          <cell r="S359">
            <v>152.32</v>
          </cell>
        </row>
        <row r="360">
          <cell r="J360">
            <v>688.45</v>
          </cell>
          <cell r="S360">
            <v>266.56</v>
          </cell>
        </row>
        <row r="366">
          <cell r="J366">
            <v>2971.0130000000004</v>
          </cell>
          <cell r="S366">
            <v>1150.3424</v>
          </cell>
        </row>
        <row r="367">
          <cell r="J367">
            <v>376.54</v>
          </cell>
          <cell r="S367">
            <v>145.792</v>
          </cell>
        </row>
      </sheetData>
      <sheetData sheetId="10">
        <row r="358">
          <cell r="J358">
            <v>337.20000000000005</v>
          </cell>
        </row>
        <row r="359">
          <cell r="J359">
            <v>2159.485</v>
          </cell>
        </row>
        <row r="360">
          <cell r="J360">
            <v>393.40000000000003</v>
          </cell>
        </row>
        <row r="361">
          <cell r="J361">
            <v>688.45</v>
          </cell>
        </row>
        <row r="367">
          <cell r="J367">
            <v>2971.0130000000004</v>
          </cell>
        </row>
        <row r="368">
          <cell r="J368">
            <v>376.54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36"/>
  <sheetViews>
    <sheetView zoomScalePageLayoutView="0" workbookViewId="0" topLeftCell="A1">
      <pane xSplit="2" ySplit="2" topLeftCell="S6" activePane="bottomRight" state="frozen"/>
      <selection pane="topLeft" activeCell="A1" sqref="A1"/>
      <selection pane="topRight" activeCell="C1" sqref="C1"/>
      <selection pane="bottomLeft" activeCell="A8" sqref="A8"/>
      <selection pane="bottomRight" activeCell="D43" sqref="D43"/>
    </sheetView>
  </sheetViews>
  <sheetFormatPr defaultColWidth="9.00390625" defaultRowHeight="12.75"/>
  <cols>
    <col min="1" max="1" width="8.75390625" style="21" bestFit="1" customWidth="1"/>
    <col min="2" max="2" width="9.125" style="21" customWidth="1"/>
    <col min="3" max="3" width="10.125" style="21" customWidth="1"/>
    <col min="4" max="4" width="10.375" style="21" customWidth="1"/>
    <col min="5" max="5" width="11.125" style="21" customWidth="1"/>
    <col min="6" max="6" width="10.875" style="21" customWidth="1"/>
    <col min="7" max="8" width="12.125" style="21" customWidth="1"/>
    <col min="9" max="9" width="12.00390625" style="21" customWidth="1"/>
    <col min="10" max="10" width="11.125" style="21" customWidth="1"/>
    <col min="11" max="11" width="11.00390625" style="21" customWidth="1"/>
    <col min="12" max="12" width="12.375" style="21" customWidth="1"/>
    <col min="13" max="13" width="10.125" style="21" bestFit="1" customWidth="1"/>
    <col min="14" max="14" width="15.625" style="21" customWidth="1"/>
    <col min="15" max="15" width="16.375" style="21" customWidth="1"/>
    <col min="16" max="16" width="14.625" style="21" customWidth="1"/>
    <col min="17" max="17" width="11.625" style="21" customWidth="1"/>
    <col min="18" max="18" width="11.25390625" style="21" customWidth="1"/>
    <col min="19" max="19" width="10.625" style="21" customWidth="1"/>
    <col min="20" max="20" width="9.25390625" style="21" customWidth="1"/>
    <col min="21" max="21" width="10.125" style="21" bestFit="1" customWidth="1"/>
    <col min="22" max="22" width="10.125" style="21" customWidth="1"/>
    <col min="23" max="23" width="12.625" style="21" customWidth="1"/>
    <col min="24" max="24" width="10.25390625" style="21" bestFit="1" customWidth="1"/>
    <col min="25" max="25" width="11.625" style="21" customWidth="1"/>
    <col min="26" max="26" width="9.25390625" style="21" customWidth="1"/>
    <col min="27" max="27" width="10.625" style="21" customWidth="1"/>
    <col min="28" max="28" width="10.75390625" style="21" customWidth="1"/>
    <col min="29" max="29" width="12.125" style="21" customWidth="1"/>
    <col min="30" max="30" width="10.75390625" style="21" customWidth="1"/>
    <col min="31" max="31" width="9.125" style="21" customWidth="1"/>
    <col min="32" max="32" width="10.125" style="21" bestFit="1" customWidth="1"/>
    <col min="33" max="33" width="9.125" style="21" customWidth="1"/>
    <col min="34" max="34" width="9.75390625" style="21" bestFit="1" customWidth="1"/>
    <col min="35" max="16384" width="9.125" style="21" customWidth="1"/>
  </cols>
  <sheetData>
    <row r="1" spans="1:16" ht="21" customHeight="1">
      <c r="A1" s="162" t="s">
        <v>73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24"/>
    </row>
    <row r="2" spans="1:16" ht="15" customHeight="1">
      <c r="A2" s="24"/>
      <c r="B2" s="25"/>
      <c r="C2" s="26"/>
      <c r="D2" s="26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</row>
    <row r="3" ht="13.5" thickBot="1"/>
    <row r="4" spans="1:29" ht="31.5" customHeight="1" thickBot="1">
      <c r="A4" s="163" t="s">
        <v>46</v>
      </c>
      <c r="B4" s="166" t="s">
        <v>0</v>
      </c>
      <c r="C4" s="168" t="s">
        <v>1</v>
      </c>
      <c r="D4" s="170" t="s">
        <v>2</v>
      </c>
      <c r="E4" s="114" t="s">
        <v>47</v>
      </c>
      <c r="F4" s="172"/>
      <c r="G4" s="137"/>
      <c r="H4" s="137" t="s">
        <v>48</v>
      </c>
      <c r="I4" s="116" t="s">
        <v>3</v>
      </c>
      <c r="J4" s="152" t="s">
        <v>4</v>
      </c>
      <c r="K4" s="153"/>
      <c r="L4" s="154"/>
      <c r="M4" s="158" t="s">
        <v>12</v>
      </c>
      <c r="N4" s="140" t="s">
        <v>49</v>
      </c>
      <c r="O4" s="125" t="s">
        <v>38</v>
      </c>
      <c r="P4" s="142" t="s">
        <v>6</v>
      </c>
      <c r="Q4" s="143"/>
      <c r="R4" s="143"/>
      <c r="S4" s="143"/>
      <c r="T4" s="143"/>
      <c r="U4" s="143"/>
      <c r="V4" s="143"/>
      <c r="W4" s="143"/>
      <c r="X4" s="143"/>
      <c r="Y4" s="144"/>
      <c r="Z4" s="148" t="s">
        <v>39</v>
      </c>
      <c r="AA4" s="149"/>
      <c r="AB4" s="121" t="s">
        <v>7</v>
      </c>
      <c r="AC4" s="121" t="s">
        <v>8</v>
      </c>
    </row>
    <row r="5" spans="1:29" ht="20.25" customHeight="1" thickBot="1">
      <c r="A5" s="164"/>
      <c r="B5" s="167"/>
      <c r="C5" s="169"/>
      <c r="D5" s="171"/>
      <c r="E5" s="173"/>
      <c r="F5" s="174"/>
      <c r="G5" s="175"/>
      <c r="H5" s="138"/>
      <c r="I5" s="117"/>
      <c r="J5" s="155"/>
      <c r="K5" s="156"/>
      <c r="L5" s="157"/>
      <c r="M5" s="159"/>
      <c r="N5" s="141"/>
      <c r="O5" s="126"/>
      <c r="P5" s="145"/>
      <c r="Q5" s="146"/>
      <c r="R5" s="146"/>
      <c r="S5" s="146"/>
      <c r="T5" s="146"/>
      <c r="U5" s="146"/>
      <c r="V5" s="146"/>
      <c r="W5" s="146"/>
      <c r="X5" s="146"/>
      <c r="Y5" s="147"/>
      <c r="Z5" s="123" t="s">
        <v>40</v>
      </c>
      <c r="AA5" s="125" t="s">
        <v>62</v>
      </c>
      <c r="AB5" s="122"/>
      <c r="AC5" s="122"/>
    </row>
    <row r="6" spans="1:29" ht="27" customHeight="1">
      <c r="A6" s="164"/>
      <c r="B6" s="167"/>
      <c r="C6" s="169"/>
      <c r="D6" s="171"/>
      <c r="E6" s="114" t="s">
        <v>50</v>
      </c>
      <c r="F6" s="116" t="s">
        <v>9</v>
      </c>
      <c r="G6" s="116" t="s">
        <v>10</v>
      </c>
      <c r="H6" s="138"/>
      <c r="I6" s="117"/>
      <c r="J6" s="119" t="s">
        <v>50</v>
      </c>
      <c r="K6" s="117" t="s">
        <v>9</v>
      </c>
      <c r="L6" s="120" t="s">
        <v>10</v>
      </c>
      <c r="M6" s="159"/>
      <c r="N6" s="141"/>
      <c r="O6" s="126"/>
      <c r="P6" s="127" t="s">
        <v>13</v>
      </c>
      <c r="Q6" s="129" t="s">
        <v>14</v>
      </c>
      <c r="R6" s="129" t="s">
        <v>50</v>
      </c>
      <c r="S6" s="135"/>
      <c r="T6" s="135"/>
      <c r="U6" s="150" t="s">
        <v>59</v>
      </c>
      <c r="V6" s="131" t="s">
        <v>51</v>
      </c>
      <c r="W6" s="133" t="s">
        <v>60</v>
      </c>
      <c r="X6" s="160" t="s">
        <v>16</v>
      </c>
      <c r="Y6" s="160" t="s">
        <v>61</v>
      </c>
      <c r="Z6" s="124"/>
      <c r="AA6" s="126"/>
      <c r="AB6" s="122"/>
      <c r="AC6" s="122"/>
    </row>
    <row r="7" spans="1:29" ht="26.25" customHeight="1" thickBot="1">
      <c r="A7" s="165"/>
      <c r="B7" s="167"/>
      <c r="C7" s="169"/>
      <c r="D7" s="171"/>
      <c r="E7" s="115"/>
      <c r="F7" s="117"/>
      <c r="G7" s="118"/>
      <c r="H7" s="139"/>
      <c r="I7" s="117"/>
      <c r="J7" s="115"/>
      <c r="K7" s="117"/>
      <c r="L7" s="120"/>
      <c r="M7" s="159"/>
      <c r="N7" s="141"/>
      <c r="O7" s="126"/>
      <c r="P7" s="128"/>
      <c r="Q7" s="130"/>
      <c r="R7" s="130"/>
      <c r="S7" s="136"/>
      <c r="T7" s="136"/>
      <c r="U7" s="151"/>
      <c r="V7" s="132"/>
      <c r="W7" s="134"/>
      <c r="X7" s="161"/>
      <c r="Y7" s="161"/>
      <c r="Z7" s="124"/>
      <c r="AA7" s="126"/>
      <c r="AB7" s="122"/>
      <c r="AC7" s="122"/>
    </row>
    <row r="8" spans="1:48" s="2" customFormat="1" ht="13.5" thickBot="1">
      <c r="A8" s="27" t="s">
        <v>25</v>
      </c>
      <c r="B8" s="3"/>
      <c r="C8" s="3">
        <v>0</v>
      </c>
      <c r="D8" s="3"/>
      <c r="E8" s="19"/>
      <c r="F8" s="19"/>
      <c r="G8" s="28"/>
      <c r="H8" s="19"/>
      <c r="I8" s="19"/>
      <c r="J8" s="19"/>
      <c r="K8" s="19"/>
      <c r="L8" s="19"/>
      <c r="M8" s="19"/>
      <c r="N8" s="19"/>
      <c r="O8" s="19"/>
      <c r="P8" s="19"/>
      <c r="Q8" s="19"/>
      <c r="R8" s="29"/>
      <c r="U8" s="29"/>
      <c r="V8" s="29"/>
      <c r="W8" s="29"/>
      <c r="X8" s="29"/>
      <c r="Y8" s="29"/>
      <c r="Z8" s="29"/>
      <c r="AA8" s="3"/>
      <c r="AB8" s="3"/>
      <c r="AC8" s="3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1"/>
    </row>
    <row r="9" spans="1:34" ht="12.75">
      <c r="A9" s="30" t="s">
        <v>52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97"/>
      <c r="AB9" s="97"/>
      <c r="AC9" s="97"/>
      <c r="AD9" s="24"/>
      <c r="AE9" s="24"/>
      <c r="AF9" s="24"/>
      <c r="AG9" s="24"/>
      <c r="AH9" s="24"/>
    </row>
    <row r="10" spans="1:39" ht="12.75">
      <c r="A10" s="32" t="s">
        <v>21</v>
      </c>
      <c r="B10" s="64">
        <v>254.39</v>
      </c>
      <c r="C10" s="66">
        <f aca="true" t="shared" si="0" ref="C10:C16">B10*8.55</f>
        <v>2175.0345</v>
      </c>
      <c r="D10" s="67">
        <v>241.7298</v>
      </c>
      <c r="E10" s="68">
        <v>1336.38</v>
      </c>
      <c r="F10" s="68">
        <v>648.94</v>
      </c>
      <c r="G10" s="69">
        <v>225.03</v>
      </c>
      <c r="H10" s="90"/>
      <c r="I10" s="70">
        <f aca="true" t="shared" si="1" ref="I10:I16">SUM(E10:G10)</f>
        <v>2210.3500000000004</v>
      </c>
      <c r="J10" s="71">
        <v>445.92</v>
      </c>
      <c r="K10" s="71">
        <v>228.72</v>
      </c>
      <c r="L10" s="72">
        <v>78.04</v>
      </c>
      <c r="M10" s="73">
        <v>752.68</v>
      </c>
      <c r="N10" s="80">
        <f aca="true" t="shared" si="2" ref="N10:N16">M10+D10</f>
        <v>994.4097999999999</v>
      </c>
      <c r="O10" s="74">
        <f>'[1]Т06'!$J$246+'[1]Т06'!$J$247+'[1]Т06'!$J$248+'[1]Т06'!$J$249+'[1]Т06'!$J$250</f>
        <v>570.96</v>
      </c>
      <c r="P10" s="75">
        <f aca="true" t="shared" si="3" ref="P10:P16">0.67*B10</f>
        <v>170.4413</v>
      </c>
      <c r="Q10" s="75">
        <f aca="true" t="shared" si="4" ref="Q10:Q16">B10*0.2</f>
        <v>50.878</v>
      </c>
      <c r="R10" s="81">
        <f aca="true" t="shared" si="5" ref="R10:R16">(4.23*B10)</f>
        <v>1076.0697</v>
      </c>
      <c r="S10" s="81"/>
      <c r="T10" s="81"/>
      <c r="U10" s="76"/>
      <c r="V10" s="76"/>
      <c r="W10" s="76"/>
      <c r="X10" s="75"/>
      <c r="Y10" s="77">
        <f aca="true" t="shared" si="6" ref="Y10:Y16">SUM(P10:X10)</f>
        <v>1297.3890000000001</v>
      </c>
      <c r="Z10" s="78">
        <f>'[1]Т06'!$S$246+'[1]Т06'!$S$247+'[1]Т06'!$S$248+'[1]Т06'!$S$249+'[1]Т06'!$S$250</f>
        <v>282.88</v>
      </c>
      <c r="AA10" s="98">
        <f>Y10+Z10</f>
        <v>1580.2690000000002</v>
      </c>
      <c r="AB10" s="98">
        <f>N10+O10-AA10</f>
        <v>-14.899200000000292</v>
      </c>
      <c r="AC10" s="98">
        <f>M10-I10</f>
        <v>-1457.6700000000005</v>
      </c>
      <c r="AD10" s="25"/>
      <c r="AE10" s="25"/>
      <c r="AF10" s="24"/>
      <c r="AG10" s="24"/>
      <c r="AH10" s="24"/>
      <c r="AI10" s="24"/>
      <c r="AJ10" s="24"/>
      <c r="AK10" s="24"/>
      <c r="AL10" s="24"/>
      <c r="AM10" s="24"/>
    </row>
    <row r="11" spans="1:35" ht="12.75">
      <c r="A11" s="32" t="s">
        <v>22</v>
      </c>
      <c r="B11" s="17">
        <v>254.39</v>
      </c>
      <c r="C11" s="79">
        <f t="shared" si="0"/>
        <v>2175.0345</v>
      </c>
      <c r="D11" s="34">
        <v>241.72979999999998</v>
      </c>
      <c r="E11" s="37">
        <v>2672.76</v>
      </c>
      <c r="F11" s="37">
        <v>1297.87</v>
      </c>
      <c r="G11" s="109">
        <v>450.07</v>
      </c>
      <c r="H11" s="91"/>
      <c r="I11" s="35">
        <f>SUM(E11:G11)</f>
        <v>4420.7</v>
      </c>
      <c r="J11" s="18">
        <v>233.27</v>
      </c>
      <c r="K11" s="18">
        <v>116.78</v>
      </c>
      <c r="L11" s="18">
        <v>40.12</v>
      </c>
      <c r="M11" s="65">
        <f aca="true" t="shared" si="7" ref="M11:M16">SUM(J11:L11)</f>
        <v>390.17</v>
      </c>
      <c r="N11" s="39">
        <f>M11+D11</f>
        <v>631.8998</v>
      </c>
      <c r="O11" s="80">
        <f>'[1]Т07'!$J$248+'[1]Т07'!$J$249+'[1]Т07'!$J$250+'[1]Т07'!$J$251+'[1]Т07'!$J$252</f>
        <v>9167.9676</v>
      </c>
      <c r="P11" s="75">
        <f>0.67*B11</f>
        <v>170.4413</v>
      </c>
      <c r="Q11" s="75">
        <f>B11*0.2</f>
        <v>50.878</v>
      </c>
      <c r="R11" s="81">
        <f>(4.23*B11)</f>
        <v>1076.0697</v>
      </c>
      <c r="S11" s="81"/>
      <c r="T11" s="81"/>
      <c r="U11" s="82"/>
      <c r="V11" s="82"/>
      <c r="W11" s="82"/>
      <c r="X11" s="81"/>
      <c r="Y11" s="83">
        <f>SUM(P11:X11)</f>
        <v>1297.3890000000001</v>
      </c>
      <c r="Z11" s="84">
        <f>'[1]Т07'!$S$248+'[1]Т07'!$S$249+'[1]Т07'!$S$250+'[1]Т07'!$S$251+'[1]Т07'!$S$252</f>
        <v>2412.4224</v>
      </c>
      <c r="AA11" s="98">
        <f aca="true" t="shared" si="8" ref="AA11:AA16">Y11+Z11</f>
        <v>3709.8114</v>
      </c>
      <c r="AB11" s="98">
        <f aca="true" t="shared" si="9" ref="AB11:AB16">N11+O11-AA11</f>
        <v>6090.055999999999</v>
      </c>
      <c r="AC11" s="98">
        <f aca="true" t="shared" si="10" ref="AC11:AC16">M11-I11</f>
        <v>-4030.5299999999997</v>
      </c>
      <c r="AD11" s="24"/>
      <c r="AE11" s="24"/>
      <c r="AF11" s="24"/>
      <c r="AG11" s="24"/>
      <c r="AH11" s="24"/>
      <c r="AI11" s="24"/>
    </row>
    <row r="12" spans="1:34" ht="12.75">
      <c r="A12" s="32" t="s">
        <v>23</v>
      </c>
      <c r="B12" s="17">
        <v>254.39</v>
      </c>
      <c r="C12" s="79">
        <f t="shared" si="0"/>
        <v>2175.0345</v>
      </c>
      <c r="D12" s="67">
        <v>241.7298</v>
      </c>
      <c r="E12" s="85">
        <v>1336.38</v>
      </c>
      <c r="F12" s="85">
        <v>648.93</v>
      </c>
      <c r="G12" s="85">
        <v>225.04</v>
      </c>
      <c r="H12" s="92"/>
      <c r="I12" s="35">
        <f t="shared" si="1"/>
        <v>2210.35</v>
      </c>
      <c r="J12" s="18">
        <v>87.09</v>
      </c>
      <c r="K12" s="18">
        <v>42.28</v>
      </c>
      <c r="L12" s="18">
        <v>14.65</v>
      </c>
      <c r="M12" s="65">
        <f t="shared" si="7"/>
        <v>144.02</v>
      </c>
      <c r="N12" s="39">
        <f t="shared" si="2"/>
        <v>385.74980000000005</v>
      </c>
      <c r="O12" s="80">
        <f>'[1]Т08'!$J$259+'[1]Т08'!$J$260+'[1]Т08'!$J$261+'[1]Т08'!$J$262+'[1]Т08'!$J$263+'[1]Т08'!$J$265</f>
        <v>4590.9478</v>
      </c>
      <c r="P12" s="75">
        <f t="shared" si="3"/>
        <v>170.4413</v>
      </c>
      <c r="Q12" s="75">
        <f t="shared" si="4"/>
        <v>50.878</v>
      </c>
      <c r="R12" s="81">
        <f t="shared" si="5"/>
        <v>1076.0697</v>
      </c>
      <c r="S12" s="81"/>
      <c r="T12" s="81"/>
      <c r="U12" s="82"/>
      <c r="V12" s="82"/>
      <c r="W12" s="82"/>
      <c r="X12" s="81"/>
      <c r="Y12" s="83">
        <f t="shared" si="6"/>
        <v>1297.3890000000001</v>
      </c>
      <c r="Z12" s="84">
        <f>'[1]Т08'!$S$259+'[1]Т08'!$S$260+'[1]Т08'!$S$261+'[1]Т08'!$S$262+'[1]Т08'!$S$263+'[1]Т08'!$S$265</f>
        <v>2291.6544</v>
      </c>
      <c r="AA12" s="98">
        <f t="shared" si="8"/>
        <v>3589.0434</v>
      </c>
      <c r="AB12" s="98">
        <f t="shared" si="9"/>
        <v>1387.6541999999995</v>
      </c>
      <c r="AC12" s="98">
        <f t="shared" si="10"/>
        <v>-2066.33</v>
      </c>
      <c r="AD12" s="24"/>
      <c r="AE12" s="24"/>
      <c r="AF12" s="24"/>
      <c r="AG12" s="24"/>
      <c r="AH12" s="24"/>
    </row>
    <row r="13" spans="1:36" ht="12.75">
      <c r="A13" s="32" t="s">
        <v>24</v>
      </c>
      <c r="B13" s="17">
        <v>254.39</v>
      </c>
      <c r="C13" s="79">
        <f t="shared" si="0"/>
        <v>2175.0345</v>
      </c>
      <c r="D13" s="67">
        <v>241.7298</v>
      </c>
      <c r="E13" s="85">
        <v>1336.38</v>
      </c>
      <c r="F13" s="85">
        <v>648.93</v>
      </c>
      <c r="G13" s="85">
        <v>225.04</v>
      </c>
      <c r="H13" s="92"/>
      <c r="I13" s="35">
        <f t="shared" si="1"/>
        <v>2210.35</v>
      </c>
      <c r="J13" s="18">
        <v>276.79</v>
      </c>
      <c r="K13" s="18">
        <v>129.05</v>
      </c>
      <c r="L13" s="18">
        <v>45.28</v>
      </c>
      <c r="M13" s="38">
        <f t="shared" si="7"/>
        <v>451.12</v>
      </c>
      <c r="N13" s="39">
        <f t="shared" si="2"/>
        <v>692.8498</v>
      </c>
      <c r="O13" s="80">
        <f>'[1]Т09'!$J$260+'[1]Т09'!$J$261+'[1]Т09'!$J$262+'[1]Т09'!$J$263+'[1]Т09'!$J$264+'[1]Т09'!$J$265</f>
        <v>5407.4738</v>
      </c>
      <c r="P13" s="75">
        <f t="shared" si="3"/>
        <v>170.4413</v>
      </c>
      <c r="Q13" s="75">
        <f t="shared" si="4"/>
        <v>50.878</v>
      </c>
      <c r="R13" s="81">
        <f t="shared" si="5"/>
        <v>1076.0697</v>
      </c>
      <c r="S13" s="81"/>
      <c r="T13" s="81"/>
      <c r="U13" s="82"/>
      <c r="V13" s="82"/>
      <c r="W13" s="82"/>
      <c r="X13" s="81"/>
      <c r="Y13" s="83">
        <f t="shared" si="6"/>
        <v>1297.3890000000001</v>
      </c>
      <c r="Z13" s="84">
        <f>'[1]Т09'!$S$260+'[1]Т09'!$S$261+'[1]Т09'!$S$262+'[1]Т09'!$S$263+'[1]Т09'!$S$264+'[1]Т09'!$S$265</f>
        <v>2678.9824</v>
      </c>
      <c r="AA13" s="98">
        <f t="shared" si="8"/>
        <v>3976.3714</v>
      </c>
      <c r="AB13" s="98">
        <f t="shared" si="9"/>
        <v>2123.9521999999997</v>
      </c>
      <c r="AC13" s="98">
        <f t="shared" si="10"/>
        <v>-1759.23</v>
      </c>
      <c r="AD13" s="24"/>
      <c r="AE13" s="24"/>
      <c r="AF13" s="24"/>
      <c r="AG13" s="24"/>
      <c r="AH13" s="24"/>
      <c r="AI13" s="24"/>
      <c r="AJ13" s="24"/>
    </row>
    <row r="14" spans="1:34" ht="12.75">
      <c r="A14" s="32" t="s">
        <v>18</v>
      </c>
      <c r="B14" s="17">
        <v>254.39</v>
      </c>
      <c r="C14" s="79">
        <f t="shared" si="0"/>
        <v>2175.0345</v>
      </c>
      <c r="D14" s="67">
        <v>241.7298</v>
      </c>
      <c r="E14" s="85">
        <v>1336.38</v>
      </c>
      <c r="F14" s="85">
        <v>648.93</v>
      </c>
      <c r="G14" s="86">
        <v>225.04</v>
      </c>
      <c r="H14" s="93"/>
      <c r="I14" s="35">
        <f t="shared" si="1"/>
        <v>2210.35</v>
      </c>
      <c r="J14" s="87">
        <v>264.43</v>
      </c>
      <c r="K14" s="87">
        <v>129.17</v>
      </c>
      <c r="L14" s="88">
        <v>44.69</v>
      </c>
      <c r="M14" s="38">
        <f t="shared" si="7"/>
        <v>438.29</v>
      </c>
      <c r="N14" s="39">
        <f t="shared" si="2"/>
        <v>680.0198</v>
      </c>
      <c r="O14" s="80">
        <f>'[1]Т10'!$J$260+'[1]Т10'!$J$261+'[1]Т10'!$J$262+'[1]Т10'!$J$263+'[1]Т10'!$J$264+'[1]Т10'!$J$265</f>
        <v>5407.4738</v>
      </c>
      <c r="P14" s="75">
        <f t="shared" si="3"/>
        <v>170.4413</v>
      </c>
      <c r="Q14" s="75">
        <f t="shared" si="4"/>
        <v>50.878</v>
      </c>
      <c r="R14" s="81">
        <f t="shared" si="5"/>
        <v>1076.0697</v>
      </c>
      <c r="S14" s="81"/>
      <c r="T14" s="81"/>
      <c r="U14" s="82"/>
      <c r="V14" s="82"/>
      <c r="W14" s="82"/>
      <c r="X14" s="81"/>
      <c r="Y14" s="83">
        <f t="shared" si="6"/>
        <v>1297.3890000000001</v>
      </c>
      <c r="Z14" s="84">
        <f>'[1]Т09'!$S$260+'[1]Т09'!$S$261+'[1]Т09'!$S$262+'[1]Т09'!$S$263+'[1]Т09'!$S$264+'[1]Т09'!$S$265</f>
        <v>2678.9824</v>
      </c>
      <c r="AA14" s="98">
        <f t="shared" si="8"/>
        <v>3976.3714</v>
      </c>
      <c r="AB14" s="98">
        <f t="shared" si="9"/>
        <v>2111.1222</v>
      </c>
      <c r="AC14" s="98">
        <f t="shared" si="10"/>
        <v>-1772.06</v>
      </c>
      <c r="AD14" s="24"/>
      <c r="AE14" s="24"/>
      <c r="AF14" s="24"/>
      <c r="AG14" s="24"/>
      <c r="AH14" s="24"/>
    </row>
    <row r="15" spans="1:34" ht="12.75">
      <c r="A15" s="22" t="s">
        <v>19</v>
      </c>
      <c r="B15" s="17">
        <v>254.39</v>
      </c>
      <c r="C15" s="79">
        <f t="shared" si="0"/>
        <v>2175.0345</v>
      </c>
      <c r="D15" s="67">
        <v>241.7298</v>
      </c>
      <c r="E15" s="85">
        <v>1336.38</v>
      </c>
      <c r="F15" s="85">
        <v>648.93</v>
      </c>
      <c r="G15" s="85">
        <v>225.04</v>
      </c>
      <c r="H15" s="92"/>
      <c r="I15" s="35">
        <f t="shared" si="1"/>
        <v>2210.35</v>
      </c>
      <c r="J15" s="87">
        <v>92.73</v>
      </c>
      <c r="K15" s="87">
        <v>45.02</v>
      </c>
      <c r="L15" s="87">
        <v>15.6</v>
      </c>
      <c r="M15" s="38">
        <f t="shared" si="7"/>
        <v>153.35</v>
      </c>
      <c r="N15" s="39">
        <f t="shared" si="2"/>
        <v>395.0798</v>
      </c>
      <c r="O15" s="80">
        <f>'[1]Т11'!$J$260+'[1]Т11'!$J$261+'[1]Т11'!$J$262+'[1]Т11'!$J$263+'[1]Т11'!$J$264+'[1]Т11'!$J$265</f>
        <v>5407.4738</v>
      </c>
      <c r="P15" s="75">
        <f t="shared" si="3"/>
        <v>170.4413</v>
      </c>
      <c r="Q15" s="75">
        <f t="shared" si="4"/>
        <v>50.878</v>
      </c>
      <c r="R15" s="81">
        <f t="shared" si="5"/>
        <v>1076.0697</v>
      </c>
      <c r="S15" s="81"/>
      <c r="T15" s="81"/>
      <c r="U15" s="82"/>
      <c r="V15" s="82"/>
      <c r="W15" s="82"/>
      <c r="X15" s="81"/>
      <c r="Y15" s="83">
        <f t="shared" si="6"/>
        <v>1297.3890000000001</v>
      </c>
      <c r="Z15" s="84">
        <f>'[1]Т11'!$S$260+'[1]Т11'!$S$261+'[1]Т11'!$S$262+'[1]Т11'!$S$263+'[1]Т11'!$S$264+'[1]Т11'!$S$265</f>
        <v>2678.9824</v>
      </c>
      <c r="AA15" s="98">
        <f t="shared" si="8"/>
        <v>3976.3714</v>
      </c>
      <c r="AB15" s="98">
        <f t="shared" si="9"/>
        <v>1826.1821999999993</v>
      </c>
      <c r="AC15" s="98">
        <f t="shared" si="10"/>
        <v>-2057</v>
      </c>
      <c r="AD15" s="24"/>
      <c r="AE15" s="24"/>
      <c r="AF15" s="24"/>
      <c r="AG15" s="24"/>
      <c r="AH15" s="24"/>
    </row>
    <row r="16" spans="1:34" ht="13.5" thickBot="1">
      <c r="A16" s="40" t="s">
        <v>20</v>
      </c>
      <c r="B16" s="17">
        <v>254.39</v>
      </c>
      <c r="C16" s="79">
        <f t="shared" si="0"/>
        <v>2175.0345</v>
      </c>
      <c r="D16" s="67">
        <v>241.7298</v>
      </c>
      <c r="E16" s="37">
        <v>1336.38</v>
      </c>
      <c r="F16" s="37">
        <v>648.93</v>
      </c>
      <c r="G16" s="37">
        <v>225.04</v>
      </c>
      <c r="H16" s="91"/>
      <c r="I16" s="35">
        <f t="shared" si="1"/>
        <v>2210.35</v>
      </c>
      <c r="J16" s="36">
        <v>1400.57</v>
      </c>
      <c r="K16" s="36">
        <v>571.59</v>
      </c>
      <c r="L16" s="33">
        <v>209.02</v>
      </c>
      <c r="M16" s="38">
        <f t="shared" si="7"/>
        <v>2181.18</v>
      </c>
      <c r="N16" s="39">
        <f t="shared" si="2"/>
        <v>2422.9098</v>
      </c>
      <c r="O16" s="80">
        <f>'[1]Т12'!$J$284+'[1]Т12'!$J$285+'[1]Т12'!$J$286+'[1]Т12'!$J$287+'[1]Т12'!$J$288+'[1]Т12'!$J$289</f>
        <v>5407.4738</v>
      </c>
      <c r="P16" s="75">
        <f t="shared" si="3"/>
        <v>170.4413</v>
      </c>
      <c r="Q16" s="75">
        <f t="shared" si="4"/>
        <v>50.878</v>
      </c>
      <c r="R16" s="81">
        <f t="shared" si="5"/>
        <v>1076.0697</v>
      </c>
      <c r="S16" s="94"/>
      <c r="T16" s="94"/>
      <c r="U16" s="82"/>
      <c r="V16" s="82"/>
      <c r="W16" s="89">
        <f>18+146</f>
        <v>164</v>
      </c>
      <c r="X16" s="81"/>
      <c r="Y16" s="83">
        <f t="shared" si="6"/>
        <v>1461.3890000000001</v>
      </c>
      <c r="Z16" s="84">
        <f>'[1]Т12'!$S$284+'[1]Т12'!$S$285+'[1]Т12'!$S$286+'[1]Т12'!$S$287+'[1]Т12'!$S$288+'[1]Т12'!$S$289</f>
        <v>2678.9824</v>
      </c>
      <c r="AA16" s="98">
        <f t="shared" si="8"/>
        <v>4140.3714</v>
      </c>
      <c r="AB16" s="98">
        <f t="shared" si="9"/>
        <v>3690.012199999999</v>
      </c>
      <c r="AC16" s="98">
        <f t="shared" si="10"/>
        <v>-29.170000000000073</v>
      </c>
      <c r="AD16" s="24"/>
      <c r="AE16" s="24"/>
      <c r="AF16" s="24"/>
      <c r="AG16" s="24"/>
      <c r="AH16" s="24"/>
    </row>
    <row r="17" spans="1:34" s="2" customFormat="1" ht="13.5" thickBot="1">
      <c r="A17" s="41" t="s">
        <v>3</v>
      </c>
      <c r="B17" s="42"/>
      <c r="C17" s="42"/>
      <c r="D17" s="43">
        <f>SUM(D10:D16)</f>
        <v>1692.1086000000003</v>
      </c>
      <c r="E17" s="43">
        <f>SUM(E10:E16)</f>
        <v>10691.04</v>
      </c>
      <c r="F17" s="43">
        <f>SUM(F10:F16)</f>
        <v>5191.46</v>
      </c>
      <c r="G17" s="43">
        <f>SUM(G10:G16)</f>
        <v>1800.3</v>
      </c>
      <c r="H17" s="43">
        <f aca="true" t="shared" si="11" ref="H17:AA17">SUM(H10:H16)</f>
        <v>0</v>
      </c>
      <c r="I17" s="43">
        <f t="shared" si="11"/>
        <v>17682.8</v>
      </c>
      <c r="J17" s="43">
        <f t="shared" si="11"/>
        <v>2800.8</v>
      </c>
      <c r="K17" s="43">
        <f t="shared" si="11"/>
        <v>1262.61</v>
      </c>
      <c r="L17" s="43">
        <f t="shared" si="11"/>
        <v>447.4</v>
      </c>
      <c r="M17" s="43">
        <f t="shared" si="11"/>
        <v>4510.8099999999995</v>
      </c>
      <c r="N17" s="43">
        <f t="shared" si="11"/>
        <v>6202.9186</v>
      </c>
      <c r="O17" s="43">
        <f t="shared" si="11"/>
        <v>35959.770599999996</v>
      </c>
      <c r="P17" s="43">
        <f t="shared" si="11"/>
        <v>1193.0891</v>
      </c>
      <c r="Q17" s="43">
        <f t="shared" si="11"/>
        <v>356.14599999999996</v>
      </c>
      <c r="R17" s="43">
        <f t="shared" si="11"/>
        <v>7532.4879</v>
      </c>
      <c r="S17" s="43">
        <f t="shared" si="11"/>
        <v>0</v>
      </c>
      <c r="T17" s="43">
        <f t="shared" si="11"/>
        <v>0</v>
      </c>
      <c r="U17" s="43">
        <f t="shared" si="11"/>
        <v>0</v>
      </c>
      <c r="V17" s="43">
        <f t="shared" si="11"/>
        <v>0</v>
      </c>
      <c r="W17" s="43">
        <f t="shared" si="11"/>
        <v>164</v>
      </c>
      <c r="X17" s="43">
        <f t="shared" si="11"/>
        <v>0</v>
      </c>
      <c r="Y17" s="43">
        <f t="shared" si="11"/>
        <v>9245.723000000002</v>
      </c>
      <c r="Z17" s="43">
        <f t="shared" si="11"/>
        <v>15702.8864</v>
      </c>
      <c r="AA17" s="99">
        <f t="shared" si="11"/>
        <v>24948.6094</v>
      </c>
      <c r="AB17" s="99">
        <f>SUM(AB10:AB16)</f>
        <v>17214.079799999996</v>
      </c>
      <c r="AC17" s="99">
        <f>SUM(AC10:AC16)</f>
        <v>-13171.99</v>
      </c>
      <c r="AD17" s="11"/>
      <c r="AE17" s="11"/>
      <c r="AF17" s="11"/>
      <c r="AG17" s="11"/>
      <c r="AH17" s="11"/>
    </row>
    <row r="18" spans="1:34" ht="13.5" thickBot="1">
      <c r="A18" s="44"/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100"/>
      <c r="AB18" s="100"/>
      <c r="AC18" s="100"/>
      <c r="AD18" s="24"/>
      <c r="AE18" s="24"/>
      <c r="AF18" s="24"/>
      <c r="AG18" s="24"/>
      <c r="AH18" s="24"/>
    </row>
    <row r="19" spans="1:29" s="2" customFormat="1" ht="13.5" thickBot="1">
      <c r="A19" s="41" t="s">
        <v>53</v>
      </c>
      <c r="B19" s="42"/>
      <c r="C19" s="42"/>
      <c r="D19" s="43">
        <v>9330.22</v>
      </c>
      <c r="E19" s="43">
        <v>263129.61</v>
      </c>
      <c r="F19" s="43">
        <v>181875.86</v>
      </c>
      <c r="G19" s="43">
        <v>45624.38</v>
      </c>
      <c r="H19" s="43">
        <v>71944.81</v>
      </c>
      <c r="I19" s="43">
        <v>490629.85</v>
      </c>
      <c r="J19" s="43">
        <v>216840.97</v>
      </c>
      <c r="K19" s="43">
        <v>151570.93</v>
      </c>
      <c r="L19" s="43">
        <v>38052.74</v>
      </c>
      <c r="M19" s="43">
        <v>406464.64</v>
      </c>
      <c r="N19" s="43">
        <v>534624.38</v>
      </c>
      <c r="O19" s="42">
        <v>0</v>
      </c>
      <c r="P19" s="45">
        <f>P8+P17</f>
        <v>1193.0891</v>
      </c>
      <c r="Q19" s="45">
        <f>Q8+Q17</f>
        <v>356.14599999999996</v>
      </c>
      <c r="R19" s="45">
        <f aca="true" t="shared" si="12" ref="R19:AA19">R8+R17</f>
        <v>7532.4879</v>
      </c>
      <c r="S19" s="45">
        <f t="shared" si="12"/>
        <v>0</v>
      </c>
      <c r="T19" s="45">
        <f t="shared" si="12"/>
        <v>0</v>
      </c>
      <c r="U19" s="45">
        <f t="shared" si="12"/>
        <v>0</v>
      </c>
      <c r="V19" s="45">
        <f t="shared" si="12"/>
        <v>0</v>
      </c>
      <c r="W19" s="45">
        <f t="shared" si="12"/>
        <v>164</v>
      </c>
      <c r="X19" s="45">
        <f t="shared" si="12"/>
        <v>0</v>
      </c>
      <c r="Y19" s="45">
        <f t="shared" si="12"/>
        <v>9245.723000000002</v>
      </c>
      <c r="Z19" s="45">
        <f t="shared" si="12"/>
        <v>15702.8864</v>
      </c>
      <c r="AA19" s="101">
        <f t="shared" si="12"/>
        <v>24948.6094</v>
      </c>
      <c r="AB19" s="101">
        <f>AB8+AB17</f>
        <v>17214.079799999996</v>
      </c>
      <c r="AC19" s="101">
        <f>AC8+AC17</f>
        <v>-13171.99</v>
      </c>
    </row>
    <row r="20" spans="1:34" ht="12.75">
      <c r="A20" s="30" t="s">
        <v>72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97"/>
      <c r="AB20" s="97"/>
      <c r="AC20" s="97"/>
      <c r="AD20" s="24"/>
      <c r="AE20" s="24"/>
      <c r="AF20" s="24"/>
      <c r="AG20" s="24"/>
      <c r="AH20" s="24"/>
    </row>
    <row r="21" spans="1:35" ht="14.25">
      <c r="A21" s="32" t="s">
        <v>67</v>
      </c>
      <c r="B21" s="17">
        <v>254.39</v>
      </c>
      <c r="C21" s="79">
        <f aca="true" t="shared" si="13" ref="C21:C26">B21*8.55</f>
        <v>2175.0345</v>
      </c>
      <c r="D21" s="34">
        <v>241.72979999999998</v>
      </c>
      <c r="E21" s="102">
        <v>1336.38</v>
      </c>
      <c r="F21" s="102">
        <v>648.93</v>
      </c>
      <c r="G21" s="102">
        <v>225.04</v>
      </c>
      <c r="H21" s="108"/>
      <c r="I21" s="35">
        <f aca="true" t="shared" si="14" ref="I21:I32">SUM(E21:G21)</f>
        <v>2210.35</v>
      </c>
      <c r="J21" s="87">
        <v>104.13</v>
      </c>
      <c r="K21" s="87">
        <v>58.81</v>
      </c>
      <c r="L21" s="87">
        <v>19.56</v>
      </c>
      <c r="M21" s="38">
        <f aca="true" t="shared" si="15" ref="M21:M32">SUM(J21:L21)</f>
        <v>182.5</v>
      </c>
      <c r="N21" s="39">
        <f aca="true" t="shared" si="16" ref="N21:N32">M21+D21</f>
        <v>424.22979999999995</v>
      </c>
      <c r="O21" s="103">
        <f>'[2]Т01'!$J$281+'[2]Т01'!$J$282+'[2]Т01'!$J$283+'[2]Т01'!$J$284+'[2]Т01'!$J$290+'[2]Т01'!$J$291</f>
        <v>6588.888</v>
      </c>
      <c r="P21" s="75">
        <f aca="true" t="shared" si="17" ref="P21:P32">0.67*B21</f>
        <v>170.4413</v>
      </c>
      <c r="Q21" s="75">
        <f aca="true" t="shared" si="18" ref="Q21:Q32">B21*0.2</f>
        <v>50.878</v>
      </c>
      <c r="R21" s="81">
        <f aca="true" t="shared" si="19" ref="R21:R32">B21*0.21</f>
        <v>53.421899999999994</v>
      </c>
      <c r="S21" s="81">
        <f aca="true" t="shared" si="20" ref="S21:S32">(4.23*B21)</f>
        <v>1076.0697</v>
      </c>
      <c r="T21" s="81"/>
      <c r="U21" s="82"/>
      <c r="V21" s="82"/>
      <c r="W21" s="82"/>
      <c r="X21" s="81"/>
      <c r="Y21" s="83">
        <f aca="true" t="shared" si="21" ref="Y21:Y32">SUM(P21:X21)</f>
        <v>1350.8109</v>
      </c>
      <c r="Z21" s="84">
        <f>'[2]Т01'!$S$281+'[2]Т01'!$S$282+'[2]Т01'!$S$283+'[2]Т01'!$S$284+'[2]Т01'!$S$290+'[2]Т01'!$S$291</f>
        <v>2681.7023999999997</v>
      </c>
      <c r="AA21" s="31">
        <f>Y21+Z21</f>
        <v>4032.5132999999996</v>
      </c>
      <c r="AB21" s="98">
        <f>N21+O21-AA21</f>
        <v>2980.6045000000004</v>
      </c>
      <c r="AC21" s="98">
        <f>M21-I21</f>
        <v>-2027.85</v>
      </c>
      <c r="AD21" s="24"/>
      <c r="AE21" s="24"/>
      <c r="AF21" s="24"/>
      <c r="AG21" s="24"/>
      <c r="AH21" s="24"/>
      <c r="AI21" s="24"/>
    </row>
    <row r="22" spans="1:35" ht="12.75">
      <c r="A22" s="32" t="s">
        <v>68</v>
      </c>
      <c r="B22" s="17">
        <v>254.39</v>
      </c>
      <c r="C22" s="79">
        <f t="shared" si="13"/>
        <v>2175.0345</v>
      </c>
      <c r="D22" s="34">
        <v>241.72979999999998</v>
      </c>
      <c r="E22" s="85">
        <v>1336.38</v>
      </c>
      <c r="F22" s="85">
        <v>648.93</v>
      </c>
      <c r="G22" s="104">
        <v>225.04</v>
      </c>
      <c r="H22" s="92"/>
      <c r="I22" s="35">
        <f t="shared" si="14"/>
        <v>2210.35</v>
      </c>
      <c r="J22" s="18">
        <v>1165.11</v>
      </c>
      <c r="K22" s="18">
        <v>573.8</v>
      </c>
      <c r="L22" s="18">
        <v>198.09</v>
      </c>
      <c r="M22" s="38">
        <f t="shared" si="15"/>
        <v>1936.9999999999998</v>
      </c>
      <c r="N22" s="39">
        <f t="shared" si="16"/>
        <v>2178.7297999999996</v>
      </c>
      <c r="O22" s="103">
        <f>'[2]Т01'!$J$281+'[2]Т01'!$J$282+'[2]Т01'!$J$283+'[2]Т01'!$J$284+'[2]Т01'!$J$290+'[2]Т01'!$J$291</f>
        <v>6588.888</v>
      </c>
      <c r="P22" s="75">
        <f t="shared" si="17"/>
        <v>170.4413</v>
      </c>
      <c r="Q22" s="75">
        <f t="shared" si="18"/>
        <v>50.878</v>
      </c>
      <c r="R22" s="81">
        <f t="shared" si="19"/>
        <v>53.421899999999994</v>
      </c>
      <c r="S22" s="81">
        <f t="shared" si="20"/>
        <v>1076.0697</v>
      </c>
      <c r="T22" s="81"/>
      <c r="U22" s="82"/>
      <c r="V22" s="82"/>
      <c r="W22" s="82">
        <f>123.5</f>
        <v>123.5</v>
      </c>
      <c r="X22" s="81"/>
      <c r="Y22" s="83">
        <f t="shared" si="21"/>
        <v>1474.3109</v>
      </c>
      <c r="Z22" s="84">
        <f>'[2]Т01'!$S$281+'[2]Т01'!$S$282+'[2]Т01'!$S$283+'[2]Т01'!$S$284+'[2]Т01'!$S$290+'[2]Т01'!$S$291</f>
        <v>2681.7023999999997</v>
      </c>
      <c r="AA22" s="31">
        <f aca="true" t="shared" si="22" ref="AA22:AA32">Y22+Z22</f>
        <v>4156.0133</v>
      </c>
      <c r="AB22" s="98">
        <f aca="true" t="shared" si="23" ref="AB22:AB32">N22+O22-AA22</f>
        <v>4611.6045</v>
      </c>
      <c r="AC22" s="98">
        <f aca="true" t="shared" si="24" ref="AC22:AC32">M22-I22</f>
        <v>-273.35000000000014</v>
      </c>
      <c r="AD22" s="24"/>
      <c r="AE22" s="24"/>
      <c r="AF22" s="24"/>
      <c r="AG22" s="24"/>
      <c r="AH22" s="24"/>
      <c r="AI22" s="24"/>
    </row>
    <row r="23" spans="1:35" ht="12.75">
      <c r="A23" s="32" t="s">
        <v>69</v>
      </c>
      <c r="B23" s="17">
        <v>254.39</v>
      </c>
      <c r="C23" s="79">
        <f t="shared" si="13"/>
        <v>2175.0345</v>
      </c>
      <c r="D23" s="34">
        <v>241.72979999999998</v>
      </c>
      <c r="E23" s="85">
        <v>1336.38</v>
      </c>
      <c r="F23" s="85">
        <v>648.93</v>
      </c>
      <c r="G23" s="85">
        <v>225.04</v>
      </c>
      <c r="H23" s="92"/>
      <c r="I23" s="35">
        <f t="shared" si="14"/>
        <v>2210.35</v>
      </c>
      <c r="J23" s="18">
        <v>271.55</v>
      </c>
      <c r="K23" s="18">
        <v>131.92</v>
      </c>
      <c r="L23" s="18">
        <v>45.71</v>
      </c>
      <c r="M23" s="38">
        <f t="shared" si="15"/>
        <v>449.18</v>
      </c>
      <c r="N23" s="39">
        <f t="shared" si="16"/>
        <v>690.9098</v>
      </c>
      <c r="O23" s="103">
        <f>'[2]Т03'!$J$282+'[2]Т03'!$J$283+'[2]Т03'!$J$284+'[2]Т03'!$J$285+'[2]Т03'!$J$291+'[2]Т03'!$J$292</f>
        <v>7600.488</v>
      </c>
      <c r="P23" s="75">
        <f t="shared" si="17"/>
        <v>170.4413</v>
      </c>
      <c r="Q23" s="75">
        <f t="shared" si="18"/>
        <v>50.878</v>
      </c>
      <c r="R23" s="81">
        <f t="shared" si="19"/>
        <v>53.421899999999994</v>
      </c>
      <c r="S23" s="81">
        <f t="shared" si="20"/>
        <v>1076.0697</v>
      </c>
      <c r="T23" s="81"/>
      <c r="U23" s="82">
        <v>11380</v>
      </c>
      <c r="V23" s="82"/>
      <c r="W23" s="82">
        <f>2683.72</f>
        <v>2683.72</v>
      </c>
      <c r="X23" s="81"/>
      <c r="Y23" s="83">
        <f t="shared" si="21"/>
        <v>15414.5309</v>
      </c>
      <c r="Z23" s="84">
        <f>'[2]Т01'!$S$281+'[2]Т01'!$S$282+'[2]Т01'!$S$283+'[2]Т01'!$S$284+'[2]Т01'!$S$290+'[2]Т01'!$S$291</f>
        <v>2681.7023999999997</v>
      </c>
      <c r="AA23" s="31">
        <f t="shared" si="22"/>
        <v>18096.2333</v>
      </c>
      <c r="AB23" s="98">
        <f t="shared" si="23"/>
        <v>-9804.8355</v>
      </c>
      <c r="AC23" s="98">
        <f t="shared" si="24"/>
        <v>-1761.1699999999998</v>
      </c>
      <c r="AD23" s="24"/>
      <c r="AE23" s="24"/>
      <c r="AF23" s="24"/>
      <c r="AG23" s="24"/>
      <c r="AH23" s="24"/>
      <c r="AI23" s="24"/>
    </row>
    <row r="24" spans="1:35" ht="12.75">
      <c r="A24" s="32" t="s">
        <v>70</v>
      </c>
      <c r="B24" s="17">
        <v>254.39</v>
      </c>
      <c r="C24" s="79">
        <f t="shared" si="13"/>
        <v>2175.0345</v>
      </c>
      <c r="D24" s="34">
        <v>241.72979999999998</v>
      </c>
      <c r="E24" s="85">
        <v>1336.38</v>
      </c>
      <c r="F24" s="85">
        <v>648.93</v>
      </c>
      <c r="G24" s="85">
        <v>225.04</v>
      </c>
      <c r="H24" s="92"/>
      <c r="I24" s="35">
        <f t="shared" si="14"/>
        <v>2210.35</v>
      </c>
      <c r="J24" s="18">
        <v>285.8</v>
      </c>
      <c r="K24" s="18">
        <v>146.56</v>
      </c>
      <c r="L24" s="18">
        <v>50.03</v>
      </c>
      <c r="M24" s="38">
        <f t="shared" si="15"/>
        <v>482.39</v>
      </c>
      <c r="N24" s="39">
        <f t="shared" si="16"/>
        <v>724.1197999999999</v>
      </c>
      <c r="O24" s="103">
        <f>'[2]Т04'!$J$292+'[2]Т04'!$J$291+'[2]Т04'!$J$282+'[2]Т04'!$J$283+'[2]Т04'!$J$284+'[2]Т04'!$J$285</f>
        <v>6926.088000000001</v>
      </c>
      <c r="P24" s="75">
        <f t="shared" si="17"/>
        <v>170.4413</v>
      </c>
      <c r="Q24" s="75">
        <f t="shared" si="18"/>
        <v>50.878</v>
      </c>
      <c r="R24" s="81">
        <f t="shared" si="19"/>
        <v>53.421899999999994</v>
      </c>
      <c r="S24" s="81">
        <f t="shared" si="20"/>
        <v>1076.0697</v>
      </c>
      <c r="T24" s="81"/>
      <c r="U24" s="82">
        <v>2629</v>
      </c>
      <c r="V24" s="82"/>
      <c r="W24" s="82"/>
      <c r="X24" s="81"/>
      <c r="Y24" s="83">
        <f t="shared" si="21"/>
        <v>3979.8109</v>
      </c>
      <c r="Z24" s="84">
        <f>'[2]Т01'!$S$281+'[2]Т01'!$S$282+'[2]Т01'!$S$283+'[2]Т01'!$S$284+'[2]Т01'!$S$290+'[2]Т01'!$S$291</f>
        <v>2681.7023999999997</v>
      </c>
      <c r="AA24" s="31">
        <f t="shared" si="22"/>
        <v>6661.5133</v>
      </c>
      <c r="AB24" s="98">
        <f t="shared" si="23"/>
        <v>988.6945000000005</v>
      </c>
      <c r="AC24" s="98">
        <f t="shared" si="24"/>
        <v>-1727.96</v>
      </c>
      <c r="AD24" s="24"/>
      <c r="AE24" s="24"/>
      <c r="AF24" s="24"/>
      <c r="AG24" s="24"/>
      <c r="AH24" s="24"/>
      <c r="AI24" s="24"/>
    </row>
    <row r="25" spans="1:35" ht="12.75">
      <c r="A25" s="32" t="s">
        <v>71</v>
      </c>
      <c r="B25" s="105">
        <v>265.59</v>
      </c>
      <c r="C25" s="79">
        <f t="shared" si="13"/>
        <v>2270.7945</v>
      </c>
      <c r="D25" s="34">
        <v>241.72979999999998</v>
      </c>
      <c r="E25" s="85">
        <v>1386.81</v>
      </c>
      <c r="F25" s="85">
        <v>673.41</v>
      </c>
      <c r="G25" s="85">
        <v>233.53</v>
      </c>
      <c r="H25" s="92"/>
      <c r="I25" s="35">
        <f t="shared" si="14"/>
        <v>2293.75</v>
      </c>
      <c r="J25" s="18">
        <v>2225.75</v>
      </c>
      <c r="K25" s="18">
        <v>86.83</v>
      </c>
      <c r="L25" s="18">
        <v>32.38</v>
      </c>
      <c r="M25" s="38">
        <f t="shared" si="15"/>
        <v>2344.96</v>
      </c>
      <c r="N25" s="39">
        <f t="shared" si="16"/>
        <v>2586.6898</v>
      </c>
      <c r="O25" s="103">
        <f>6926.09</f>
        <v>6926.09</v>
      </c>
      <c r="P25" s="75">
        <f t="shared" si="17"/>
        <v>177.9453</v>
      </c>
      <c r="Q25" s="75">
        <f t="shared" si="18"/>
        <v>53.117999999999995</v>
      </c>
      <c r="R25" s="81">
        <f t="shared" si="19"/>
        <v>55.77389999999999</v>
      </c>
      <c r="S25" s="81">
        <f t="shared" si="20"/>
        <v>1123.4457</v>
      </c>
      <c r="T25" s="81"/>
      <c r="U25" s="82"/>
      <c r="V25" s="82"/>
      <c r="W25" s="82"/>
      <c r="X25" s="81"/>
      <c r="Y25" s="83">
        <f t="shared" si="21"/>
        <v>1410.2829</v>
      </c>
      <c r="Z25" s="84">
        <f>'[2]Т01'!$S$281+'[2]Т01'!$S$282+'[2]Т01'!$S$283+'[2]Т01'!$S$284+'[2]Т01'!$S$290+'[2]Т01'!$S$291</f>
        <v>2681.7023999999997</v>
      </c>
      <c r="AA25" s="31">
        <f t="shared" si="22"/>
        <v>4091.9852999999994</v>
      </c>
      <c r="AB25" s="98">
        <f t="shared" si="23"/>
        <v>5420.794500000001</v>
      </c>
      <c r="AC25" s="98">
        <f t="shared" si="24"/>
        <v>51.210000000000036</v>
      </c>
      <c r="AD25" s="24"/>
      <c r="AE25" s="24"/>
      <c r="AF25" s="24"/>
      <c r="AG25" s="24"/>
      <c r="AH25" s="24"/>
      <c r="AI25" s="24"/>
    </row>
    <row r="26" spans="1:40" ht="12.75">
      <c r="A26" s="32" t="s">
        <v>21</v>
      </c>
      <c r="B26" s="105">
        <v>265.59</v>
      </c>
      <c r="C26" s="79">
        <f t="shared" si="13"/>
        <v>2270.7945</v>
      </c>
      <c r="D26" s="34">
        <v>241.72979999999998</v>
      </c>
      <c r="E26" s="85">
        <v>1394.28</v>
      </c>
      <c r="F26" s="85">
        <v>677.04</v>
      </c>
      <c r="G26" s="104">
        <v>234.78</v>
      </c>
      <c r="H26" s="92"/>
      <c r="I26" s="35">
        <f t="shared" si="14"/>
        <v>2306.1</v>
      </c>
      <c r="J26" s="18">
        <v>156.31</v>
      </c>
      <c r="K26" s="18">
        <v>45.64</v>
      </c>
      <c r="L26" s="17">
        <v>15.82</v>
      </c>
      <c r="M26" s="38">
        <f t="shared" si="15"/>
        <v>217.76999999999998</v>
      </c>
      <c r="N26" s="39">
        <f t="shared" si="16"/>
        <v>459.49979999999994</v>
      </c>
      <c r="O26" s="103">
        <f>6926.09</f>
        <v>6926.09</v>
      </c>
      <c r="P26" s="75">
        <f t="shared" si="17"/>
        <v>177.9453</v>
      </c>
      <c r="Q26" s="75">
        <f t="shared" si="18"/>
        <v>53.117999999999995</v>
      </c>
      <c r="R26" s="81">
        <f t="shared" si="19"/>
        <v>55.77389999999999</v>
      </c>
      <c r="S26" s="81">
        <f t="shared" si="20"/>
        <v>1123.4457</v>
      </c>
      <c r="T26" s="81"/>
      <c r="U26" s="82"/>
      <c r="V26" s="82"/>
      <c r="W26" s="82"/>
      <c r="X26" s="81"/>
      <c r="Y26" s="83">
        <f t="shared" si="21"/>
        <v>1410.2829</v>
      </c>
      <c r="Z26" s="84">
        <f>'[2]Т01'!$S$281+'[2]Т01'!$S$282+'[2]Т01'!$S$283+'[2]Т01'!$S$284+'[2]Т01'!$S$290+'[2]Т01'!$S$291</f>
        <v>2681.7023999999997</v>
      </c>
      <c r="AA26" s="31">
        <f t="shared" si="22"/>
        <v>4091.9852999999994</v>
      </c>
      <c r="AB26" s="98">
        <f t="shared" si="23"/>
        <v>3293.6045000000004</v>
      </c>
      <c r="AC26" s="98">
        <f t="shared" si="24"/>
        <v>-2088.33</v>
      </c>
      <c r="AD26" s="25"/>
      <c r="AE26" s="25"/>
      <c r="AF26" s="25"/>
      <c r="AG26" s="24"/>
      <c r="AH26" s="24"/>
      <c r="AI26" s="24"/>
      <c r="AJ26" s="24"/>
      <c r="AK26" s="24"/>
      <c r="AL26" s="24"/>
      <c r="AM26" s="24"/>
      <c r="AN26" s="24"/>
    </row>
    <row r="27" spans="1:36" ht="12.75">
      <c r="A27" s="32" t="s">
        <v>22</v>
      </c>
      <c r="B27" s="106">
        <v>265.59</v>
      </c>
      <c r="C27" s="79">
        <f>B27*9.51</f>
        <v>2525.7608999999998</v>
      </c>
      <c r="D27" s="34">
        <v>323.49135</v>
      </c>
      <c r="E27" s="85">
        <v>2525.75</v>
      </c>
      <c r="F27" s="85"/>
      <c r="G27" s="85"/>
      <c r="H27" s="92"/>
      <c r="I27" s="35">
        <f t="shared" si="14"/>
        <v>2525.75</v>
      </c>
      <c r="J27" s="18">
        <v>101.93</v>
      </c>
      <c r="K27" s="18">
        <v>49.48</v>
      </c>
      <c r="L27" s="18">
        <v>17.15</v>
      </c>
      <c r="M27" s="38">
        <f t="shared" si="15"/>
        <v>168.56</v>
      </c>
      <c r="N27" s="39">
        <f t="shared" si="16"/>
        <v>492.05135</v>
      </c>
      <c r="O27" s="103">
        <f>'[2]Т07'!$J$322+'[2]Т07'!$J$323+'[2]Т07'!$J$324+'[2]Т07'!$J$325+'[2]Т07'!$J$331+'[2]Т07'!$J$332</f>
        <v>6926.088000000001</v>
      </c>
      <c r="P27" s="75">
        <f t="shared" si="17"/>
        <v>177.9453</v>
      </c>
      <c r="Q27" s="75">
        <f t="shared" si="18"/>
        <v>53.117999999999995</v>
      </c>
      <c r="R27" s="81">
        <f t="shared" si="19"/>
        <v>55.77389999999999</v>
      </c>
      <c r="S27" s="81">
        <f t="shared" si="20"/>
        <v>1123.4457</v>
      </c>
      <c r="T27" s="81"/>
      <c r="U27" s="82"/>
      <c r="V27" s="82"/>
      <c r="W27" s="82"/>
      <c r="X27" s="81"/>
      <c r="Y27" s="83">
        <f t="shared" si="21"/>
        <v>1410.2829</v>
      </c>
      <c r="Z27" s="84">
        <f>'[2]Т07'!$S$322+'[2]Т07'!$S$323+'[2]Т07'!$S$324+'[2]Т07'!$S$325+'[2]Т07'!$S$331+'[2]Т07'!$S$332</f>
        <v>2681.7023999999997</v>
      </c>
      <c r="AA27" s="31">
        <f t="shared" si="22"/>
        <v>4091.9852999999994</v>
      </c>
      <c r="AB27" s="98">
        <f t="shared" si="23"/>
        <v>3326.154050000001</v>
      </c>
      <c r="AC27" s="98">
        <f t="shared" si="24"/>
        <v>-2357.19</v>
      </c>
      <c r="AD27" s="24"/>
      <c r="AE27" s="24"/>
      <c r="AF27" s="24"/>
      <c r="AG27" s="24"/>
      <c r="AH27" s="24"/>
      <c r="AI27" s="24"/>
      <c r="AJ27" s="24"/>
    </row>
    <row r="28" spans="1:35" ht="12.75">
      <c r="A28" s="32" t="s">
        <v>23</v>
      </c>
      <c r="B28" s="106">
        <v>265.59</v>
      </c>
      <c r="C28" s="79">
        <f>B28*9.51</f>
        <v>2525.7608999999998</v>
      </c>
      <c r="D28" s="34"/>
      <c r="E28" s="107">
        <v>2525.75</v>
      </c>
      <c r="F28" s="85"/>
      <c r="G28" s="85"/>
      <c r="H28" s="92"/>
      <c r="I28" s="35">
        <f t="shared" si="14"/>
        <v>2525.75</v>
      </c>
      <c r="J28" s="18">
        <v>347.36</v>
      </c>
      <c r="K28" s="18">
        <v>88.8</v>
      </c>
      <c r="L28" s="18">
        <v>30.78</v>
      </c>
      <c r="M28" s="38">
        <f t="shared" si="15"/>
        <v>466.94000000000005</v>
      </c>
      <c r="N28" s="39">
        <f t="shared" si="16"/>
        <v>466.94000000000005</v>
      </c>
      <c r="O28" s="103">
        <f>'[2]Т08'!$J$357+'[2]Т08'!$J$358+'[2]Т08'!$J$359+'[2]Т08'!$J$360+'[2]Т08'!$J$366+'[2]Т08'!$J$367</f>
        <v>6926.088000000001</v>
      </c>
      <c r="P28" s="75">
        <f t="shared" si="17"/>
        <v>177.9453</v>
      </c>
      <c r="Q28" s="75">
        <f t="shared" si="18"/>
        <v>53.117999999999995</v>
      </c>
      <c r="R28" s="81">
        <f t="shared" si="19"/>
        <v>55.77389999999999</v>
      </c>
      <c r="S28" s="81">
        <f t="shared" si="20"/>
        <v>1123.4457</v>
      </c>
      <c r="T28" s="81"/>
      <c r="U28" s="82"/>
      <c r="V28" s="82"/>
      <c r="W28" s="82"/>
      <c r="X28" s="81"/>
      <c r="Y28" s="83">
        <f t="shared" si="21"/>
        <v>1410.2829</v>
      </c>
      <c r="Z28" s="84">
        <f>'[2]Т08'!$S$357+'[2]Т08'!$S$358+'[2]Т08'!$S$359+'[2]Т08'!$S$360+'[2]Т08'!$S$366+'[2]Т08'!$S$367</f>
        <v>2681.7023999999997</v>
      </c>
      <c r="AA28" s="31">
        <f t="shared" si="22"/>
        <v>4091.9852999999994</v>
      </c>
      <c r="AB28" s="98">
        <f t="shared" si="23"/>
        <v>3301.042700000001</v>
      </c>
      <c r="AC28" s="98">
        <f t="shared" si="24"/>
        <v>-2058.81</v>
      </c>
      <c r="AD28" s="24"/>
      <c r="AE28" s="24"/>
      <c r="AF28" s="24"/>
      <c r="AG28" s="24"/>
      <c r="AH28" s="24"/>
      <c r="AI28" s="24"/>
    </row>
    <row r="29" spans="1:37" ht="12.75">
      <c r="A29" s="32" t="s">
        <v>24</v>
      </c>
      <c r="B29" s="106">
        <v>265.59</v>
      </c>
      <c r="C29" s="79">
        <f>B29*9.51</f>
        <v>2525.7608999999998</v>
      </c>
      <c r="D29" s="34"/>
      <c r="E29" s="107">
        <v>2525.75</v>
      </c>
      <c r="F29" s="85"/>
      <c r="G29" s="85"/>
      <c r="H29" s="92"/>
      <c r="I29" s="35">
        <f t="shared" si="14"/>
        <v>2525.75</v>
      </c>
      <c r="J29" s="18">
        <v>4801.26</v>
      </c>
      <c r="K29" s="18">
        <v>261.22</v>
      </c>
      <c r="L29" s="18">
        <v>88.23</v>
      </c>
      <c r="M29" s="38">
        <f t="shared" si="15"/>
        <v>5150.71</v>
      </c>
      <c r="N29" s="39">
        <f t="shared" si="16"/>
        <v>5150.71</v>
      </c>
      <c r="O29" s="103">
        <f>'[2]Т09'!$J$357+'[2]Т09'!$J$358+'[2]Т09'!$J$359+'[2]Т09'!$J$360+'[2]Т09'!$J$366+'[2]Т09'!$J$367</f>
        <v>6926.088000000001</v>
      </c>
      <c r="P29" s="75">
        <f t="shared" si="17"/>
        <v>177.9453</v>
      </c>
      <c r="Q29" s="75">
        <f t="shared" si="18"/>
        <v>53.117999999999995</v>
      </c>
      <c r="R29" s="81">
        <f t="shared" si="19"/>
        <v>55.77389999999999</v>
      </c>
      <c r="S29" s="81">
        <f t="shared" si="20"/>
        <v>1123.4457</v>
      </c>
      <c r="T29" s="81"/>
      <c r="U29" s="82">
        <f>112</f>
        <v>112</v>
      </c>
      <c r="V29" s="82"/>
      <c r="W29" s="82"/>
      <c r="X29" s="81"/>
      <c r="Y29" s="83">
        <f t="shared" si="21"/>
        <v>1522.2829</v>
      </c>
      <c r="Z29" s="84">
        <f>'[2]Т09'!$S$357+'[2]Т09'!$S$358+'[2]Т09'!$S$359+'[2]Т09'!$S$360+'[2]Т09'!$S$366+'[2]Т09'!$S$367</f>
        <v>2681.7023999999997</v>
      </c>
      <c r="AA29" s="31">
        <f t="shared" si="22"/>
        <v>4203.985299999999</v>
      </c>
      <c r="AB29" s="98">
        <f t="shared" si="23"/>
        <v>7872.812700000001</v>
      </c>
      <c r="AC29" s="98">
        <f t="shared" si="24"/>
        <v>2624.96</v>
      </c>
      <c r="AD29" s="24"/>
      <c r="AE29" s="24"/>
      <c r="AF29" s="24"/>
      <c r="AG29" s="24"/>
      <c r="AH29" s="24"/>
      <c r="AI29" s="24"/>
      <c r="AJ29" s="24"/>
      <c r="AK29" s="24"/>
    </row>
    <row r="30" spans="1:35" ht="12.75">
      <c r="A30" s="32" t="s">
        <v>18</v>
      </c>
      <c r="B30" s="105">
        <v>276.39</v>
      </c>
      <c r="C30" s="79">
        <f>B30*9.51</f>
        <v>2628.4689</v>
      </c>
      <c r="D30" s="34"/>
      <c r="E30" s="104">
        <v>2833.88</v>
      </c>
      <c r="F30" s="85"/>
      <c r="G30" s="85"/>
      <c r="H30" s="92"/>
      <c r="I30" s="35">
        <f t="shared" si="14"/>
        <v>2833.88</v>
      </c>
      <c r="J30" s="18">
        <v>988.93</v>
      </c>
      <c r="K30" s="18">
        <v>67.29</v>
      </c>
      <c r="L30" s="18">
        <v>23.33</v>
      </c>
      <c r="M30" s="38">
        <f t="shared" si="15"/>
        <v>1079.55</v>
      </c>
      <c r="N30" s="39">
        <f t="shared" si="16"/>
        <v>1079.55</v>
      </c>
      <c r="O30" s="103">
        <f>'[2]Т09'!$J$357+'[2]Т09'!$J$358+'[2]Т09'!$J$359+'[2]Т09'!$J$360+'[2]Т09'!$J$366+'[2]Т09'!$J$367</f>
        <v>6926.088000000001</v>
      </c>
      <c r="P30" s="75">
        <f t="shared" si="17"/>
        <v>185.1813</v>
      </c>
      <c r="Q30" s="75">
        <f t="shared" si="18"/>
        <v>55.278</v>
      </c>
      <c r="R30" s="81">
        <f t="shared" si="19"/>
        <v>58.0419</v>
      </c>
      <c r="S30" s="81">
        <f t="shared" si="20"/>
        <v>1169.1297</v>
      </c>
      <c r="T30" s="81"/>
      <c r="U30" s="82">
        <v>2140</v>
      </c>
      <c r="V30" s="82"/>
      <c r="W30" s="82">
        <f>600</f>
        <v>600</v>
      </c>
      <c r="X30" s="81"/>
      <c r="Y30" s="83">
        <f t="shared" si="21"/>
        <v>4207.6309</v>
      </c>
      <c r="Z30" s="84">
        <f>'[2]Т09'!$S$357+'[2]Т09'!$S$358+'[2]Т09'!$S$359+'[2]Т09'!$S$360+'[2]Т09'!$S$366+'[2]Т09'!$S$367</f>
        <v>2681.7023999999997</v>
      </c>
      <c r="AA30" s="31">
        <f t="shared" si="22"/>
        <v>6889.3333</v>
      </c>
      <c r="AB30" s="98">
        <f t="shared" si="23"/>
        <v>1116.3047000000006</v>
      </c>
      <c r="AC30" s="98">
        <f t="shared" si="24"/>
        <v>-1754.3300000000002</v>
      </c>
      <c r="AD30" s="24"/>
      <c r="AE30" s="24"/>
      <c r="AF30" s="24"/>
      <c r="AG30" s="24"/>
      <c r="AH30" s="24"/>
      <c r="AI30" s="24"/>
    </row>
    <row r="31" spans="1:35" ht="12.75">
      <c r="A31" s="22" t="s">
        <v>19</v>
      </c>
      <c r="B31" s="105">
        <v>276.39</v>
      </c>
      <c r="C31" s="79">
        <f>B31*9.51</f>
        <v>2628.4689</v>
      </c>
      <c r="D31" s="34"/>
      <c r="E31" s="85">
        <v>2628.46</v>
      </c>
      <c r="F31" s="85"/>
      <c r="G31" s="85"/>
      <c r="H31" s="92"/>
      <c r="I31" s="35">
        <f t="shared" si="14"/>
        <v>2628.46</v>
      </c>
      <c r="J31" s="18">
        <v>1412.33</v>
      </c>
      <c r="K31" s="18">
        <v>178.76</v>
      </c>
      <c r="L31" s="18">
        <v>61.97</v>
      </c>
      <c r="M31" s="38">
        <f t="shared" si="15"/>
        <v>1653.06</v>
      </c>
      <c r="N31" s="39">
        <f t="shared" si="16"/>
        <v>1653.06</v>
      </c>
      <c r="O31" s="103">
        <f>'[2]Т11'!$J$358+'[2]Т11'!$J$359+'[2]Т11'!$J$360+'[2]Т11'!$J$361+'[2]Т11'!$J$367+'[2]Т11'!$J$368</f>
        <v>6926.088000000001</v>
      </c>
      <c r="P31" s="75">
        <f t="shared" si="17"/>
        <v>185.1813</v>
      </c>
      <c r="Q31" s="75">
        <f t="shared" si="18"/>
        <v>55.278</v>
      </c>
      <c r="R31" s="81">
        <f t="shared" si="19"/>
        <v>58.0419</v>
      </c>
      <c r="S31" s="81">
        <f t="shared" si="20"/>
        <v>1169.1297</v>
      </c>
      <c r="T31" s="81"/>
      <c r="U31" s="82"/>
      <c r="V31" s="82"/>
      <c r="W31" s="82">
        <v>5779</v>
      </c>
      <c r="X31" s="81"/>
      <c r="Y31" s="83">
        <f t="shared" si="21"/>
        <v>7246.6309</v>
      </c>
      <c r="Z31" s="84">
        <f>'[2]Т09'!$S$357+'[2]Т09'!$S$358+'[2]Т09'!$S$359+'[2]Т09'!$S$360+'[2]Т09'!$S$366+'[2]Т09'!$S$367</f>
        <v>2681.7023999999997</v>
      </c>
      <c r="AA31" s="31">
        <f t="shared" si="22"/>
        <v>9928.3333</v>
      </c>
      <c r="AB31" s="98">
        <f t="shared" si="23"/>
        <v>-1349.1852999999992</v>
      </c>
      <c r="AC31" s="98">
        <f t="shared" si="24"/>
        <v>-975.4000000000001</v>
      </c>
      <c r="AD31" s="24"/>
      <c r="AE31" s="24"/>
      <c r="AF31" s="24"/>
      <c r="AG31" s="24"/>
      <c r="AH31" s="24"/>
      <c r="AI31" s="24"/>
    </row>
    <row r="32" spans="1:35" ht="13.5" thickBot="1">
      <c r="A32" s="40" t="s">
        <v>20</v>
      </c>
      <c r="B32" s="105">
        <v>276.39</v>
      </c>
      <c r="C32" s="79">
        <f>B32*13.65</f>
        <v>3772.7235</v>
      </c>
      <c r="D32" s="34"/>
      <c r="E32" s="85">
        <v>3772.75</v>
      </c>
      <c r="F32" s="85"/>
      <c r="G32" s="85"/>
      <c r="H32" s="92"/>
      <c r="I32" s="35">
        <f t="shared" si="14"/>
        <v>3772.75</v>
      </c>
      <c r="J32" s="18">
        <v>656.97</v>
      </c>
      <c r="K32" s="18">
        <v>30.09</v>
      </c>
      <c r="L32" s="18">
        <v>10.43</v>
      </c>
      <c r="M32" s="38">
        <f t="shared" si="15"/>
        <v>697.49</v>
      </c>
      <c r="N32" s="39">
        <f t="shared" si="16"/>
        <v>697.49</v>
      </c>
      <c r="O32" s="103">
        <f>'[2]Т11'!$J$358+'[2]Т11'!$J$359+'[2]Т11'!$J$360+'[2]Т11'!$J$361+'[2]Т11'!$J$367+'[2]Т11'!$J$368</f>
        <v>6926.088000000001</v>
      </c>
      <c r="P32" s="75">
        <f t="shared" si="17"/>
        <v>185.1813</v>
      </c>
      <c r="Q32" s="75">
        <f t="shared" si="18"/>
        <v>55.278</v>
      </c>
      <c r="R32" s="81">
        <f t="shared" si="19"/>
        <v>58.0419</v>
      </c>
      <c r="S32" s="81">
        <f t="shared" si="20"/>
        <v>1169.1297</v>
      </c>
      <c r="T32" s="81"/>
      <c r="U32" s="82"/>
      <c r="V32" s="82"/>
      <c r="W32" s="82"/>
      <c r="X32" s="81"/>
      <c r="Y32" s="83">
        <f t="shared" si="21"/>
        <v>1467.6308999999999</v>
      </c>
      <c r="Z32" s="84">
        <f>'[2]Т09'!$S$357+'[2]Т09'!$S$358+'[2]Т09'!$S$359+'[2]Т09'!$S$360+'[2]Т09'!$S$366+'[2]Т09'!$S$367</f>
        <v>2681.7023999999997</v>
      </c>
      <c r="AA32" s="31">
        <f t="shared" si="22"/>
        <v>4149.333299999999</v>
      </c>
      <c r="AB32" s="98">
        <f t="shared" si="23"/>
        <v>3474.244700000001</v>
      </c>
      <c r="AC32" s="98">
        <f t="shared" si="24"/>
        <v>-3075.26</v>
      </c>
      <c r="AD32" s="24"/>
      <c r="AE32" s="24"/>
      <c r="AF32" s="24"/>
      <c r="AG32" s="24"/>
      <c r="AH32" s="24"/>
      <c r="AI32" s="24"/>
    </row>
    <row r="33" spans="1:34" s="2" customFormat="1" ht="13.5" thickBot="1">
      <c r="A33" s="41" t="s">
        <v>3</v>
      </c>
      <c r="B33" s="42"/>
      <c r="C33" s="42"/>
      <c r="D33" s="43">
        <f aca="true" t="shared" si="25" ref="D33:AB33">SUM(D21:D32)</f>
        <v>1773.87015</v>
      </c>
      <c r="E33" s="43">
        <f t="shared" si="25"/>
        <v>24938.95</v>
      </c>
      <c r="F33" s="43">
        <f t="shared" si="25"/>
        <v>3946.1699999999996</v>
      </c>
      <c r="G33" s="43">
        <f t="shared" si="25"/>
        <v>1368.47</v>
      </c>
      <c r="H33" s="43">
        <f t="shared" si="25"/>
        <v>0</v>
      </c>
      <c r="I33" s="43">
        <f t="shared" si="25"/>
        <v>30253.59</v>
      </c>
      <c r="J33" s="43">
        <f t="shared" si="25"/>
        <v>12517.43</v>
      </c>
      <c r="K33" s="43">
        <f t="shared" si="25"/>
        <v>1719.1999999999998</v>
      </c>
      <c r="L33" s="43">
        <f t="shared" si="25"/>
        <v>593.48</v>
      </c>
      <c r="M33" s="43">
        <f t="shared" si="25"/>
        <v>14830.109999999997</v>
      </c>
      <c r="N33" s="43">
        <f t="shared" si="25"/>
        <v>16603.98015</v>
      </c>
      <c r="O33" s="43">
        <f t="shared" si="25"/>
        <v>83113.06000000001</v>
      </c>
      <c r="P33" s="43">
        <f t="shared" si="25"/>
        <v>2127.0356</v>
      </c>
      <c r="Q33" s="43">
        <f t="shared" si="25"/>
        <v>634.936</v>
      </c>
      <c r="R33" s="43">
        <f t="shared" si="25"/>
        <v>666.6827999999998</v>
      </c>
      <c r="S33" s="43">
        <f t="shared" si="25"/>
        <v>13428.8964</v>
      </c>
      <c r="T33" s="43">
        <f t="shared" si="25"/>
        <v>0</v>
      </c>
      <c r="U33" s="43">
        <f t="shared" si="25"/>
        <v>16261</v>
      </c>
      <c r="V33" s="43">
        <f t="shared" si="25"/>
        <v>0</v>
      </c>
      <c r="W33" s="43">
        <f t="shared" si="25"/>
        <v>9186.22</v>
      </c>
      <c r="X33" s="43">
        <f t="shared" si="25"/>
        <v>0</v>
      </c>
      <c r="Y33" s="43">
        <f t="shared" si="25"/>
        <v>42304.77079999999</v>
      </c>
      <c r="Z33" s="43">
        <f t="shared" si="25"/>
        <v>32180.42879999999</v>
      </c>
      <c r="AA33" s="43">
        <f t="shared" si="25"/>
        <v>74485.19959999999</v>
      </c>
      <c r="AB33" s="43">
        <f t="shared" si="25"/>
        <v>25231.840550000015</v>
      </c>
      <c r="AC33" s="43">
        <f>SUM(AC21:AC32)</f>
        <v>-15423.479999999998</v>
      </c>
      <c r="AD33" s="11"/>
      <c r="AE33" s="11"/>
      <c r="AF33" s="11"/>
      <c r="AG33" s="11"/>
      <c r="AH33" s="11"/>
    </row>
    <row r="34" spans="1:34" ht="13.5" thickBot="1">
      <c r="A34" s="44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24"/>
      <c r="AE34" s="24"/>
      <c r="AF34" s="24"/>
      <c r="AG34" s="24"/>
      <c r="AH34" s="24"/>
    </row>
    <row r="35" spans="1:29" s="2" customFormat="1" ht="13.5" thickBot="1">
      <c r="A35" s="41" t="s">
        <v>53</v>
      </c>
      <c r="B35" s="42"/>
      <c r="C35" s="42"/>
      <c r="D35" s="43">
        <v>9330.22</v>
      </c>
      <c r="E35" s="43">
        <v>263129.61</v>
      </c>
      <c r="F35" s="43">
        <v>181875.86</v>
      </c>
      <c r="G35" s="43">
        <v>45624.38</v>
      </c>
      <c r="H35" s="43">
        <v>71944.81</v>
      </c>
      <c r="I35" s="43">
        <v>490629.85</v>
      </c>
      <c r="J35" s="43">
        <v>216840.97</v>
      </c>
      <c r="K35" s="43">
        <v>151570.93</v>
      </c>
      <c r="L35" s="43">
        <v>38052.74</v>
      </c>
      <c r="M35" s="43">
        <v>406464.64</v>
      </c>
      <c r="N35" s="43">
        <v>534624.38</v>
      </c>
      <c r="O35" s="42">
        <v>0</v>
      </c>
      <c r="P35" s="45">
        <f>P19+P33</f>
        <v>3320.1247000000003</v>
      </c>
      <c r="Q35" s="45">
        <f>Q19+Q33</f>
        <v>991.082</v>
      </c>
      <c r="R35" s="45">
        <f aca="true" t="shared" si="26" ref="R35:AA35">R19+R33</f>
        <v>8199.1707</v>
      </c>
      <c r="S35" s="45">
        <f t="shared" si="26"/>
        <v>13428.8964</v>
      </c>
      <c r="T35" s="45">
        <f t="shared" si="26"/>
        <v>0</v>
      </c>
      <c r="U35" s="45">
        <f t="shared" si="26"/>
        <v>16261</v>
      </c>
      <c r="V35" s="45">
        <f t="shared" si="26"/>
        <v>0</v>
      </c>
      <c r="W35" s="45">
        <f t="shared" si="26"/>
        <v>9350.22</v>
      </c>
      <c r="X35" s="45">
        <f t="shared" si="26"/>
        <v>0</v>
      </c>
      <c r="Y35" s="45">
        <f t="shared" si="26"/>
        <v>51550.4938</v>
      </c>
      <c r="Z35" s="45">
        <f t="shared" si="26"/>
        <v>47883.31519999999</v>
      </c>
      <c r="AA35" s="45">
        <f t="shared" si="26"/>
        <v>99433.809</v>
      </c>
      <c r="AB35" s="45">
        <f>AB19+AB33</f>
        <v>42445.920350000015</v>
      </c>
      <c r="AC35" s="45">
        <f>AC19+AC33</f>
        <v>-28595.469999999998</v>
      </c>
    </row>
    <row r="36" spans="1:29" ht="12.75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</row>
  </sheetData>
  <sheetProtection/>
  <mergeCells count="34">
    <mergeCell ref="M4:M7"/>
    <mergeCell ref="X6:X7"/>
    <mergeCell ref="Y6:Y7"/>
    <mergeCell ref="A1:O1"/>
    <mergeCell ref="A4:A7"/>
    <mergeCell ref="B4:B7"/>
    <mergeCell ref="C4:C7"/>
    <mergeCell ref="D4:D7"/>
    <mergeCell ref="E4:G5"/>
    <mergeCell ref="N4:N7"/>
    <mergeCell ref="O4:O7"/>
    <mergeCell ref="P4:Y5"/>
    <mergeCell ref="Z4:AA4"/>
    <mergeCell ref="T6:T7"/>
    <mergeCell ref="U6:U7"/>
    <mergeCell ref="AB4:AB7"/>
    <mergeCell ref="AC4:AC7"/>
    <mergeCell ref="Z5:Z7"/>
    <mergeCell ref="AA5:AA7"/>
    <mergeCell ref="P6:P7"/>
    <mergeCell ref="Q6:Q7"/>
    <mergeCell ref="V6:V7"/>
    <mergeCell ref="W6:W7"/>
    <mergeCell ref="R6:R7"/>
    <mergeCell ref="S6:S7"/>
    <mergeCell ref="E6:E7"/>
    <mergeCell ref="F6:F7"/>
    <mergeCell ref="G6:G7"/>
    <mergeCell ref="J6:J7"/>
    <mergeCell ref="K6:K7"/>
    <mergeCell ref="L6:L7"/>
    <mergeCell ref="H4:H7"/>
    <mergeCell ref="I4:I7"/>
    <mergeCell ref="J4:L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9"/>
  <sheetViews>
    <sheetView tabSelected="1" workbookViewId="0" topLeftCell="A7">
      <selection activeCell="F33" sqref="F33"/>
    </sheetView>
  </sheetViews>
  <sheetFormatPr defaultColWidth="9.00390625" defaultRowHeight="12.75"/>
  <cols>
    <col min="1" max="1" width="10.00390625" style="21" customWidth="1"/>
    <col min="2" max="2" width="9.125" style="21" customWidth="1"/>
    <col min="3" max="3" width="9.875" style="21" customWidth="1"/>
    <col min="4" max="4" width="9.625" style="21" customWidth="1"/>
    <col min="5" max="5" width="10.125" style="21" bestFit="1" customWidth="1"/>
    <col min="6" max="6" width="9.875" style="21" customWidth="1"/>
    <col min="7" max="7" width="11.00390625" style="21" customWidth="1"/>
    <col min="8" max="9" width="10.125" style="21" customWidth="1"/>
    <col min="10" max="10" width="9.25390625" style="21" customWidth="1"/>
    <col min="11" max="11" width="9.875" style="21" customWidth="1"/>
    <col min="12" max="12" width="10.875" style="21" customWidth="1"/>
    <col min="13" max="14" width="10.125" style="21" customWidth="1"/>
    <col min="15" max="15" width="10.375" style="21" customWidth="1"/>
    <col min="16" max="16" width="10.75390625" style="21" customWidth="1"/>
    <col min="17" max="17" width="13.00390625" style="21" customWidth="1"/>
    <col min="18" max="16384" width="9.125" style="21" customWidth="1"/>
  </cols>
  <sheetData>
    <row r="1" spans="2:9" ht="20.25" customHeight="1">
      <c r="B1" s="218" t="s">
        <v>26</v>
      </c>
      <c r="C1" s="218"/>
      <c r="D1" s="218"/>
      <c r="E1" s="218"/>
      <c r="F1" s="218"/>
      <c r="G1" s="218"/>
      <c r="H1" s="218"/>
      <c r="I1" s="4"/>
    </row>
    <row r="2" spans="2:9" ht="21" customHeight="1">
      <c r="B2" s="218" t="s">
        <v>27</v>
      </c>
      <c r="C2" s="218"/>
      <c r="D2" s="218"/>
      <c r="E2" s="218"/>
      <c r="F2" s="218"/>
      <c r="G2" s="218"/>
      <c r="H2" s="218"/>
      <c r="I2" s="4"/>
    </row>
    <row r="5" spans="1:16" ht="12.75">
      <c r="A5" s="219" t="s">
        <v>64</v>
      </c>
      <c r="B5" s="219"/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19"/>
      <c r="P5" s="219"/>
    </row>
    <row r="6" spans="1:16" ht="12.75">
      <c r="A6" s="220" t="s">
        <v>76</v>
      </c>
      <c r="B6" s="220"/>
      <c r="C6" s="220"/>
      <c r="D6" s="220"/>
      <c r="E6" s="220"/>
      <c r="F6" s="220"/>
      <c r="G6" s="220"/>
      <c r="H6" s="15"/>
      <c r="I6" s="15"/>
      <c r="J6" s="15"/>
      <c r="K6" s="15"/>
      <c r="L6" s="15"/>
      <c r="M6" s="15"/>
      <c r="N6" s="15"/>
      <c r="O6" s="15"/>
      <c r="P6" s="15"/>
    </row>
    <row r="7" spans="1:16" ht="12.7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</row>
    <row r="8" spans="1:6" ht="13.5" thickBot="1">
      <c r="A8" s="217" t="s">
        <v>28</v>
      </c>
      <c r="B8" s="217"/>
      <c r="C8" s="217"/>
      <c r="D8" s="217"/>
      <c r="E8" s="217">
        <v>13.65</v>
      </c>
      <c r="F8" s="217"/>
    </row>
    <row r="9" spans="1:17" ht="12.75" customHeight="1">
      <c r="A9" s="163" t="s">
        <v>29</v>
      </c>
      <c r="B9" s="192" t="s">
        <v>0</v>
      </c>
      <c r="C9" s="195" t="s">
        <v>75</v>
      </c>
      <c r="D9" s="198" t="s">
        <v>2</v>
      </c>
      <c r="E9" s="208" t="s">
        <v>30</v>
      </c>
      <c r="F9" s="137"/>
      <c r="G9" s="210" t="s">
        <v>54</v>
      </c>
      <c r="H9" s="211"/>
      <c r="I9" s="214" t="s">
        <v>65</v>
      </c>
      <c r="J9" s="181" t="s">
        <v>6</v>
      </c>
      <c r="K9" s="182"/>
      <c r="L9" s="182"/>
      <c r="M9" s="182"/>
      <c r="N9" s="183"/>
      <c r="O9" s="184"/>
      <c r="P9" s="189" t="s">
        <v>31</v>
      </c>
      <c r="Q9" s="189" t="s">
        <v>8</v>
      </c>
    </row>
    <row r="10" spans="1:17" ht="12.75">
      <c r="A10" s="164"/>
      <c r="B10" s="193"/>
      <c r="C10" s="196"/>
      <c r="D10" s="199"/>
      <c r="E10" s="209"/>
      <c r="F10" s="139"/>
      <c r="G10" s="212"/>
      <c r="H10" s="213"/>
      <c r="I10" s="215"/>
      <c r="J10" s="185"/>
      <c r="K10" s="186"/>
      <c r="L10" s="186"/>
      <c r="M10" s="186"/>
      <c r="N10" s="187"/>
      <c r="O10" s="188"/>
      <c r="P10" s="190"/>
      <c r="Q10" s="190"/>
    </row>
    <row r="11" spans="1:17" ht="26.25" customHeight="1">
      <c r="A11" s="164"/>
      <c r="B11" s="193"/>
      <c r="C11" s="196"/>
      <c r="D11" s="199"/>
      <c r="E11" s="201" t="s">
        <v>32</v>
      </c>
      <c r="F11" s="138"/>
      <c r="G11" s="20" t="s">
        <v>33</v>
      </c>
      <c r="H11" s="202" t="s">
        <v>5</v>
      </c>
      <c r="I11" s="215"/>
      <c r="J11" s="204" t="s">
        <v>34</v>
      </c>
      <c r="K11" s="206" t="s">
        <v>55</v>
      </c>
      <c r="L11" s="206" t="s">
        <v>35</v>
      </c>
      <c r="M11" s="206" t="s">
        <v>15</v>
      </c>
      <c r="N11" s="206" t="s">
        <v>66</v>
      </c>
      <c r="O11" s="202" t="s">
        <v>17</v>
      </c>
      <c r="P11" s="190"/>
      <c r="Q11" s="190"/>
    </row>
    <row r="12" spans="1:17" ht="66.75" customHeight="1" thickBot="1">
      <c r="A12" s="165"/>
      <c r="B12" s="194"/>
      <c r="C12" s="197"/>
      <c r="D12" s="200"/>
      <c r="E12" s="46" t="s">
        <v>36</v>
      </c>
      <c r="F12" s="47" t="s">
        <v>11</v>
      </c>
      <c r="G12" s="16" t="s">
        <v>56</v>
      </c>
      <c r="H12" s="203"/>
      <c r="I12" s="216"/>
      <c r="J12" s="205"/>
      <c r="K12" s="207"/>
      <c r="L12" s="207"/>
      <c r="M12" s="207"/>
      <c r="N12" s="207"/>
      <c r="O12" s="203"/>
      <c r="P12" s="191"/>
      <c r="Q12" s="191"/>
    </row>
    <row r="13" spans="1:17" ht="13.5" thickBot="1">
      <c r="A13" s="6">
        <v>1</v>
      </c>
      <c r="B13" s="7">
        <v>2</v>
      </c>
      <c r="C13" s="6">
        <v>3</v>
      </c>
      <c r="D13" s="7">
        <v>4</v>
      </c>
      <c r="E13" s="6">
        <v>5</v>
      </c>
      <c r="F13" s="7">
        <v>6</v>
      </c>
      <c r="G13" s="7">
        <v>7</v>
      </c>
      <c r="H13" s="6">
        <v>8</v>
      </c>
      <c r="I13" s="7">
        <v>9</v>
      </c>
      <c r="J13" s="6">
        <v>10</v>
      </c>
      <c r="K13" s="7">
        <v>11</v>
      </c>
      <c r="L13" s="7">
        <v>12</v>
      </c>
      <c r="M13" s="6">
        <v>13</v>
      </c>
      <c r="N13" s="7">
        <v>14</v>
      </c>
      <c r="O13" s="7">
        <v>15</v>
      </c>
      <c r="P13" s="6">
        <v>16</v>
      </c>
      <c r="Q13" s="7">
        <v>17</v>
      </c>
    </row>
    <row r="14" spans="1:19" ht="12.75">
      <c r="A14" s="1" t="s">
        <v>52</v>
      </c>
      <c r="B14" s="48"/>
      <c r="C14" s="49"/>
      <c r="D14" s="50"/>
      <c r="E14" s="51"/>
      <c r="F14" s="52"/>
      <c r="G14" s="53"/>
      <c r="H14" s="52"/>
      <c r="I14" s="95"/>
      <c r="J14" s="53"/>
      <c r="K14" s="54"/>
      <c r="L14" s="55"/>
      <c r="M14" s="56"/>
      <c r="N14" s="96"/>
      <c r="O14" s="57"/>
      <c r="P14" s="58"/>
      <c r="Q14" s="58"/>
      <c r="R14" s="24"/>
      <c r="S14" s="24"/>
    </row>
    <row r="15" spans="1:19" ht="12.75">
      <c r="A15" s="59" t="s">
        <v>21</v>
      </c>
      <c r="B15" s="60">
        <f>'2012'!B10</f>
        <v>254.39</v>
      </c>
      <c r="C15" s="60">
        <f>'2012'!C10</f>
        <v>2175.0345</v>
      </c>
      <c r="D15" s="60">
        <f>'2012'!D10</f>
        <v>241.7298</v>
      </c>
      <c r="E15" s="55">
        <f>'2012'!I10</f>
        <v>2210.3500000000004</v>
      </c>
      <c r="F15" s="55">
        <f>'2012'!H10</f>
        <v>0</v>
      </c>
      <c r="G15" s="57">
        <f>'2012'!M10</f>
        <v>752.68</v>
      </c>
      <c r="H15" s="57">
        <f>'2012'!N10</f>
        <v>994.4097999999999</v>
      </c>
      <c r="I15" s="57">
        <f>'2012'!O10</f>
        <v>570.96</v>
      </c>
      <c r="J15" s="57">
        <f>'2012'!P10</f>
        <v>170.4413</v>
      </c>
      <c r="K15" s="57">
        <f>'2012'!Q10</f>
        <v>50.878</v>
      </c>
      <c r="L15" s="57">
        <f>'2012'!R10</f>
        <v>1076.0697</v>
      </c>
      <c r="M15" s="56">
        <f>'2012'!U10+'2012'!V10+'2012'!W10</f>
        <v>0</v>
      </c>
      <c r="N15" s="96">
        <f>'2012'!Z10</f>
        <v>282.88</v>
      </c>
      <c r="O15" s="57">
        <f>'2012'!AA10</f>
        <v>1580.2690000000002</v>
      </c>
      <c r="P15" s="57">
        <f>'2012'!AB10</f>
        <v>-14.899200000000292</v>
      </c>
      <c r="Q15" s="57">
        <f>'2012'!AC10</f>
        <v>-1457.6700000000005</v>
      </c>
      <c r="R15" s="24"/>
      <c r="S15" s="24"/>
    </row>
    <row r="16" spans="1:19" ht="12.75">
      <c r="A16" s="59" t="s">
        <v>22</v>
      </c>
      <c r="B16" s="60">
        <f>'2012'!B11</f>
        <v>254.39</v>
      </c>
      <c r="C16" s="60">
        <f>'2012'!C11</f>
        <v>2175.0345</v>
      </c>
      <c r="D16" s="60">
        <f>'2012'!D11</f>
        <v>241.72979999999998</v>
      </c>
      <c r="E16" s="55">
        <f>'2012'!J11</f>
        <v>233.27</v>
      </c>
      <c r="F16" s="55">
        <f>'2012'!I11</f>
        <v>4420.7</v>
      </c>
      <c r="G16" s="57">
        <f>'2012'!N11</f>
        <v>631.8998</v>
      </c>
      <c r="H16" s="57">
        <f>'2012'!O11</f>
        <v>9167.9676</v>
      </c>
      <c r="I16" s="57">
        <f>'2012'!P11</f>
        <v>170.4413</v>
      </c>
      <c r="J16" s="57">
        <f>'2012'!Q11</f>
        <v>50.878</v>
      </c>
      <c r="K16" s="57">
        <f>'2012'!R11</f>
        <v>1076.0697</v>
      </c>
      <c r="L16" s="57">
        <f>'2012'!S11</f>
        <v>0</v>
      </c>
      <c r="M16" s="56">
        <f>'2012'!V11+'2012'!W11+'2012'!X11</f>
        <v>0</v>
      </c>
      <c r="N16" s="96">
        <f>'2012'!Z11</f>
        <v>2412.4224</v>
      </c>
      <c r="O16" s="57">
        <f>'2012'!AA11</f>
        <v>3709.8114</v>
      </c>
      <c r="P16" s="57">
        <f>'2012'!AB11</f>
        <v>6090.055999999999</v>
      </c>
      <c r="Q16" s="57">
        <f>'2012'!AC11</f>
        <v>-4030.5299999999997</v>
      </c>
      <c r="R16" s="24"/>
      <c r="S16" s="24"/>
    </row>
    <row r="17" spans="1:19" ht="12.75">
      <c r="A17" s="59" t="s">
        <v>23</v>
      </c>
      <c r="B17" s="60">
        <f>'2012'!B12</f>
        <v>254.39</v>
      </c>
      <c r="C17" s="60">
        <f>'2012'!C12</f>
        <v>2175.0345</v>
      </c>
      <c r="D17" s="60">
        <f>'2012'!D12</f>
        <v>241.7298</v>
      </c>
      <c r="E17" s="55">
        <f>'2012'!I12</f>
        <v>2210.35</v>
      </c>
      <c r="F17" s="55">
        <f>'2012'!H12</f>
        <v>0</v>
      </c>
      <c r="G17" s="57">
        <f>'2012'!M12</f>
        <v>144.02</v>
      </c>
      <c r="H17" s="57">
        <f>'2012'!N12</f>
        <v>385.74980000000005</v>
      </c>
      <c r="I17" s="57">
        <f>'2012'!O12</f>
        <v>4590.9478</v>
      </c>
      <c r="J17" s="57">
        <f>'2012'!P12</f>
        <v>170.4413</v>
      </c>
      <c r="K17" s="57">
        <f>'2012'!Q12</f>
        <v>50.878</v>
      </c>
      <c r="L17" s="57">
        <f>'2012'!R12</f>
        <v>1076.0697</v>
      </c>
      <c r="M17" s="56">
        <f>'2012'!U12+'2012'!V12+'2012'!W12</f>
        <v>0</v>
      </c>
      <c r="N17" s="96">
        <f>'2012'!Z12</f>
        <v>2291.6544</v>
      </c>
      <c r="O17" s="57">
        <f>'2012'!AA12</f>
        <v>3589.0434</v>
      </c>
      <c r="P17" s="57">
        <f>'2012'!AB12</f>
        <v>1387.6541999999995</v>
      </c>
      <c r="Q17" s="57">
        <f>'2012'!AC12</f>
        <v>-2066.33</v>
      </c>
      <c r="R17" s="24"/>
      <c r="S17" s="24"/>
    </row>
    <row r="18" spans="1:19" ht="12.75">
      <c r="A18" s="59" t="s">
        <v>24</v>
      </c>
      <c r="B18" s="60">
        <f>'2012'!B13</f>
        <v>254.39</v>
      </c>
      <c r="C18" s="60">
        <f>'2012'!C13</f>
        <v>2175.0345</v>
      </c>
      <c r="D18" s="60">
        <f>'2012'!D13</f>
        <v>241.7298</v>
      </c>
      <c r="E18" s="55">
        <f>'2012'!I13</f>
        <v>2210.35</v>
      </c>
      <c r="F18" s="55">
        <f>'2012'!H13</f>
        <v>0</v>
      </c>
      <c r="G18" s="57">
        <f>'2012'!M13</f>
        <v>451.12</v>
      </c>
      <c r="H18" s="57">
        <f>'2012'!N13</f>
        <v>692.8498</v>
      </c>
      <c r="I18" s="57">
        <f>'2012'!O13</f>
        <v>5407.4738</v>
      </c>
      <c r="J18" s="57">
        <f>'2012'!P13</f>
        <v>170.4413</v>
      </c>
      <c r="K18" s="57">
        <f>'2012'!Q13</f>
        <v>50.878</v>
      </c>
      <c r="L18" s="57">
        <f>'2012'!R13</f>
        <v>1076.0697</v>
      </c>
      <c r="M18" s="56">
        <f>'2012'!U13+'2012'!V13+'2012'!W13</f>
        <v>0</v>
      </c>
      <c r="N18" s="96">
        <f>'2012'!Z13</f>
        <v>2678.9824</v>
      </c>
      <c r="O18" s="57">
        <f>'2012'!AA13</f>
        <v>3976.3714</v>
      </c>
      <c r="P18" s="57">
        <f>'2012'!AB13</f>
        <v>2123.9521999999997</v>
      </c>
      <c r="Q18" s="57">
        <f>'2012'!AC13</f>
        <v>-1759.23</v>
      </c>
      <c r="R18" s="24"/>
      <c r="S18" s="24"/>
    </row>
    <row r="19" spans="1:19" ht="12.75">
      <c r="A19" s="59" t="s">
        <v>18</v>
      </c>
      <c r="B19" s="60">
        <f>'2012'!B14</f>
        <v>254.39</v>
      </c>
      <c r="C19" s="60">
        <f>'2012'!C14</f>
        <v>2175.0345</v>
      </c>
      <c r="D19" s="60">
        <f>'2012'!D14</f>
        <v>241.7298</v>
      </c>
      <c r="E19" s="55">
        <f>'2012'!I14</f>
        <v>2210.35</v>
      </c>
      <c r="F19" s="55">
        <f>'2012'!H14</f>
        <v>0</v>
      </c>
      <c r="G19" s="57">
        <f>'2012'!M14</f>
        <v>438.29</v>
      </c>
      <c r="H19" s="57">
        <f>'2012'!N14</f>
        <v>680.0198</v>
      </c>
      <c r="I19" s="57">
        <f>'2012'!O14</f>
        <v>5407.4738</v>
      </c>
      <c r="J19" s="57">
        <f>'2012'!P14</f>
        <v>170.4413</v>
      </c>
      <c r="K19" s="57">
        <f>'2012'!Q14</f>
        <v>50.878</v>
      </c>
      <c r="L19" s="57">
        <f>'2012'!R14</f>
        <v>1076.0697</v>
      </c>
      <c r="M19" s="56">
        <f>'2012'!U14+'2012'!V14+'2012'!W14</f>
        <v>0</v>
      </c>
      <c r="N19" s="96">
        <f>'2012'!Z14</f>
        <v>2678.9824</v>
      </c>
      <c r="O19" s="57">
        <f>'2012'!AA14</f>
        <v>3976.3714</v>
      </c>
      <c r="P19" s="57">
        <f>'2012'!AB14</f>
        <v>2111.1222</v>
      </c>
      <c r="Q19" s="57">
        <f>'2012'!AC14</f>
        <v>-1772.06</v>
      </c>
      <c r="R19" s="24"/>
      <c r="S19" s="24"/>
    </row>
    <row r="20" spans="1:19" ht="12.75">
      <c r="A20" s="59" t="s">
        <v>19</v>
      </c>
      <c r="B20" s="60">
        <f>'2012'!B15</f>
        <v>254.39</v>
      </c>
      <c r="C20" s="60">
        <f>'2012'!C15</f>
        <v>2175.0345</v>
      </c>
      <c r="D20" s="60">
        <f>'2012'!D15</f>
        <v>241.7298</v>
      </c>
      <c r="E20" s="55">
        <f>'2012'!I15</f>
        <v>2210.35</v>
      </c>
      <c r="F20" s="55">
        <f>'2012'!H15</f>
        <v>0</v>
      </c>
      <c r="G20" s="57">
        <f>'2012'!M15</f>
        <v>153.35</v>
      </c>
      <c r="H20" s="57">
        <f>'2012'!N15</f>
        <v>395.0798</v>
      </c>
      <c r="I20" s="57">
        <f>'2012'!O15</f>
        <v>5407.4738</v>
      </c>
      <c r="J20" s="57">
        <f>'2012'!P15</f>
        <v>170.4413</v>
      </c>
      <c r="K20" s="57">
        <f>'2012'!Q15</f>
        <v>50.878</v>
      </c>
      <c r="L20" s="57">
        <f>'2012'!R15</f>
        <v>1076.0697</v>
      </c>
      <c r="M20" s="56">
        <f>'2012'!U15+'2012'!V15+'2012'!W15</f>
        <v>0</v>
      </c>
      <c r="N20" s="96">
        <f>'2012'!Z15</f>
        <v>2678.9824</v>
      </c>
      <c r="O20" s="57">
        <f>'2012'!AA15</f>
        <v>3976.3714</v>
      </c>
      <c r="P20" s="57">
        <f>'2012'!AB15</f>
        <v>1826.1821999999993</v>
      </c>
      <c r="Q20" s="57">
        <f>'2012'!AC15</f>
        <v>-2057</v>
      </c>
      <c r="R20" s="24"/>
      <c r="S20" s="24"/>
    </row>
    <row r="21" spans="1:19" ht="13.5" thickBot="1">
      <c r="A21" s="59" t="s">
        <v>20</v>
      </c>
      <c r="B21" s="60">
        <f>'2012'!B16</f>
        <v>254.39</v>
      </c>
      <c r="C21" s="60">
        <f>'2012'!C16</f>
        <v>2175.0345</v>
      </c>
      <c r="D21" s="60">
        <f>'2012'!D16</f>
        <v>241.7298</v>
      </c>
      <c r="E21" s="55">
        <f>'2012'!I16</f>
        <v>2210.35</v>
      </c>
      <c r="F21" s="55">
        <f>'2012'!H16</f>
        <v>0</v>
      </c>
      <c r="G21" s="57">
        <f>'2012'!M16</f>
        <v>2181.18</v>
      </c>
      <c r="H21" s="57">
        <f>'2012'!N16</f>
        <v>2422.9098</v>
      </c>
      <c r="I21" s="57">
        <f>'2012'!O16</f>
        <v>5407.4738</v>
      </c>
      <c r="J21" s="57">
        <f>'2012'!P16</f>
        <v>170.4413</v>
      </c>
      <c r="K21" s="57">
        <f>'2012'!Q16</f>
        <v>50.878</v>
      </c>
      <c r="L21" s="57">
        <f>'2012'!R16</f>
        <v>1076.0697</v>
      </c>
      <c r="M21" s="56">
        <f>'2012'!U16+'2012'!V16+'2012'!W16</f>
        <v>164</v>
      </c>
      <c r="N21" s="96">
        <f>'2012'!Z16</f>
        <v>2678.9824</v>
      </c>
      <c r="O21" s="57">
        <f>'2012'!AA16</f>
        <v>4140.3714</v>
      </c>
      <c r="P21" s="57">
        <f>'2012'!AB16</f>
        <v>3690.012199999999</v>
      </c>
      <c r="Q21" s="57">
        <f>'2012'!AC16</f>
        <v>-29.170000000000073</v>
      </c>
      <c r="R21" s="24"/>
      <c r="S21" s="24"/>
    </row>
    <row r="22" spans="1:19" s="2" customFormat="1" ht="13.5" thickBot="1">
      <c r="A22" s="8" t="s">
        <v>3</v>
      </c>
      <c r="B22" s="9"/>
      <c r="C22" s="10">
        <f aca="true" t="shared" si="0" ref="C22:Q22">SUM(C15:C21)</f>
        <v>15225.2415</v>
      </c>
      <c r="D22" s="10">
        <f t="shared" si="0"/>
        <v>1692.1086000000003</v>
      </c>
      <c r="E22" s="10">
        <f t="shared" si="0"/>
        <v>13495.37</v>
      </c>
      <c r="F22" s="10">
        <f t="shared" si="0"/>
        <v>4420.7</v>
      </c>
      <c r="G22" s="10">
        <f t="shared" si="0"/>
        <v>4752.5398</v>
      </c>
      <c r="H22" s="10">
        <f t="shared" si="0"/>
        <v>14738.986399999998</v>
      </c>
      <c r="I22" s="10">
        <f t="shared" si="0"/>
        <v>26962.2443</v>
      </c>
      <c r="J22" s="10">
        <f t="shared" si="0"/>
        <v>1073.5258</v>
      </c>
      <c r="K22" s="10">
        <f t="shared" si="0"/>
        <v>1381.3376999999996</v>
      </c>
      <c r="L22" s="10">
        <f t="shared" si="0"/>
        <v>6456.4182</v>
      </c>
      <c r="M22" s="10">
        <f t="shared" si="0"/>
        <v>164</v>
      </c>
      <c r="N22" s="10">
        <f t="shared" si="0"/>
        <v>15702.8864</v>
      </c>
      <c r="O22" s="10">
        <f t="shared" si="0"/>
        <v>24948.6094</v>
      </c>
      <c r="P22" s="10">
        <f t="shared" si="0"/>
        <v>17214.079799999996</v>
      </c>
      <c r="Q22" s="10">
        <f t="shared" si="0"/>
        <v>-13171.99</v>
      </c>
      <c r="R22" s="11"/>
      <c r="S22" s="11"/>
    </row>
    <row r="23" spans="1:19" ht="13.5" thickBot="1">
      <c r="A23" s="176" t="s">
        <v>37</v>
      </c>
      <c r="B23" s="177"/>
      <c r="C23" s="177"/>
      <c r="D23" s="177"/>
      <c r="E23" s="177"/>
      <c r="F23" s="177"/>
      <c r="G23" s="177"/>
      <c r="H23" s="177"/>
      <c r="I23" s="177"/>
      <c r="J23" s="177"/>
      <c r="K23" s="177"/>
      <c r="L23" s="177"/>
      <c r="M23" s="177"/>
      <c r="N23" s="177"/>
      <c r="O23" s="177"/>
      <c r="P23" s="177"/>
      <c r="Q23" s="61"/>
      <c r="R23" s="24"/>
      <c r="S23" s="24"/>
    </row>
    <row r="24" spans="1:19" s="2" customFormat="1" ht="13.5" thickBot="1">
      <c r="A24" s="12" t="s">
        <v>25</v>
      </c>
      <c r="B24" s="13"/>
      <c r="C24" s="13">
        <f aca="true" t="shared" si="1" ref="C24:P24">C22</f>
        <v>15225.2415</v>
      </c>
      <c r="D24" s="13">
        <f t="shared" si="1"/>
        <v>1692.1086000000003</v>
      </c>
      <c r="E24" s="13">
        <f t="shared" si="1"/>
        <v>13495.37</v>
      </c>
      <c r="F24" s="13">
        <f t="shared" si="1"/>
        <v>4420.7</v>
      </c>
      <c r="G24" s="13">
        <f t="shared" si="1"/>
        <v>4752.5398</v>
      </c>
      <c r="H24" s="13">
        <f t="shared" si="1"/>
        <v>14738.986399999998</v>
      </c>
      <c r="I24" s="13">
        <f t="shared" si="1"/>
        <v>26962.2443</v>
      </c>
      <c r="J24" s="13">
        <f t="shared" si="1"/>
        <v>1073.5258</v>
      </c>
      <c r="K24" s="13">
        <f t="shared" si="1"/>
        <v>1381.3376999999996</v>
      </c>
      <c r="L24" s="13">
        <f t="shared" si="1"/>
        <v>6456.4182</v>
      </c>
      <c r="M24" s="13">
        <f t="shared" si="1"/>
        <v>164</v>
      </c>
      <c r="N24" s="13">
        <f t="shared" si="1"/>
        <v>15702.8864</v>
      </c>
      <c r="O24" s="13">
        <f t="shared" si="1"/>
        <v>24948.6094</v>
      </c>
      <c r="P24" s="13">
        <f t="shared" si="1"/>
        <v>17214.079799999996</v>
      </c>
      <c r="Q24" s="13">
        <f>Q22</f>
        <v>-13171.99</v>
      </c>
      <c r="R24" s="14"/>
      <c r="S24" s="11"/>
    </row>
    <row r="25" spans="1:19" ht="12.75">
      <c r="A25" s="1" t="s">
        <v>72</v>
      </c>
      <c r="B25" s="48"/>
      <c r="C25" s="49"/>
      <c r="D25" s="50"/>
      <c r="E25" s="51"/>
      <c r="F25" s="52"/>
      <c r="G25" s="53"/>
      <c r="H25" s="52"/>
      <c r="I25" s="95"/>
      <c r="J25" s="53"/>
      <c r="K25" s="54"/>
      <c r="L25" s="55"/>
      <c r="M25" s="56"/>
      <c r="N25" s="96"/>
      <c r="O25" s="57"/>
      <c r="P25" s="58"/>
      <c r="Q25" s="58"/>
      <c r="R25" s="24"/>
      <c r="S25" s="24"/>
    </row>
    <row r="26" spans="1:19" ht="12.75">
      <c r="A26" s="59" t="s">
        <v>67</v>
      </c>
      <c r="B26" s="110">
        <f>'2012'!B21</f>
        <v>254.39</v>
      </c>
      <c r="C26" s="49">
        <f>'2012'!C21</f>
        <v>2175.0345</v>
      </c>
      <c r="D26" s="111">
        <f>'2012'!D21</f>
        <v>241.72979999999998</v>
      </c>
      <c r="E26" s="51">
        <f>'2012'!I21</f>
        <v>2210.35</v>
      </c>
      <c r="F26" s="112">
        <f>'2012'!H21</f>
        <v>0</v>
      </c>
      <c r="G26" s="95">
        <f>'2012'!M21</f>
        <v>182.5</v>
      </c>
      <c r="H26" s="52">
        <f>'2012'!N21</f>
        <v>424.22979999999995</v>
      </c>
      <c r="I26" s="95">
        <f>'2012'!O21</f>
        <v>6588.888</v>
      </c>
      <c r="J26" s="95">
        <f>'2012'!P21</f>
        <v>170.4413</v>
      </c>
      <c r="K26" s="95">
        <f>'2012'!Q21</f>
        <v>50.878</v>
      </c>
      <c r="L26" s="113">
        <f>'2012'!R21+'2012'!S21</f>
        <v>1129.4916</v>
      </c>
      <c r="M26" s="56">
        <f>'2012'!U21+'2012'!V21+'2012'!W21</f>
        <v>0</v>
      </c>
      <c r="N26" s="96">
        <f>'2012'!Z21</f>
        <v>2681.7023999999997</v>
      </c>
      <c r="O26" s="57">
        <f>'2012'!AA21</f>
        <v>4032.5132999999996</v>
      </c>
      <c r="P26" s="57">
        <f>'2012'!AB21</f>
        <v>2980.6045000000004</v>
      </c>
      <c r="Q26" s="57">
        <f>'2012'!AC21</f>
        <v>-2027.85</v>
      </c>
      <c r="R26" s="24"/>
      <c r="S26" s="24"/>
    </row>
    <row r="27" spans="1:19" ht="12.75">
      <c r="A27" s="59" t="s">
        <v>68</v>
      </c>
      <c r="B27" s="110">
        <f>'2012'!B22</f>
        <v>254.39</v>
      </c>
      <c r="C27" s="49">
        <f>'2012'!C22</f>
        <v>2175.0345</v>
      </c>
      <c r="D27" s="111">
        <f>'2012'!D22</f>
        <v>241.72979999999998</v>
      </c>
      <c r="E27" s="51">
        <f>'2012'!I22</f>
        <v>2210.35</v>
      </c>
      <c r="F27" s="112">
        <f>'2012'!H22</f>
        <v>0</v>
      </c>
      <c r="G27" s="95">
        <f>'2012'!M22</f>
        <v>1936.9999999999998</v>
      </c>
      <c r="H27" s="52">
        <f>'2012'!N22</f>
        <v>2178.7297999999996</v>
      </c>
      <c r="I27" s="95">
        <f>'2012'!O22</f>
        <v>6588.888</v>
      </c>
      <c r="J27" s="95">
        <f>'2012'!P22</f>
        <v>170.4413</v>
      </c>
      <c r="K27" s="95">
        <f>'2012'!Q22</f>
        <v>50.878</v>
      </c>
      <c r="L27" s="113">
        <f>'2012'!R22+'2012'!S22</f>
        <v>1129.4916</v>
      </c>
      <c r="M27" s="56">
        <f>'2012'!U22+'2012'!V22+'2012'!W22</f>
        <v>123.5</v>
      </c>
      <c r="N27" s="96">
        <f>'2012'!Z22</f>
        <v>2681.7023999999997</v>
      </c>
      <c r="O27" s="57">
        <f>'2012'!AA22</f>
        <v>4156.0133</v>
      </c>
      <c r="P27" s="57">
        <f>'2012'!AB22</f>
        <v>4611.6045</v>
      </c>
      <c r="Q27" s="57">
        <f>'2012'!AC22</f>
        <v>-273.35000000000014</v>
      </c>
      <c r="R27" s="24"/>
      <c r="S27" s="24"/>
    </row>
    <row r="28" spans="1:19" ht="12.75">
      <c r="A28" s="59" t="s">
        <v>69</v>
      </c>
      <c r="B28" s="110">
        <f>'2012'!B23</f>
        <v>254.39</v>
      </c>
      <c r="C28" s="49">
        <f>'2012'!C23</f>
        <v>2175.0345</v>
      </c>
      <c r="D28" s="111">
        <f>'2012'!D23</f>
        <v>241.72979999999998</v>
      </c>
      <c r="E28" s="51">
        <f>'2012'!I23</f>
        <v>2210.35</v>
      </c>
      <c r="F28" s="112">
        <f>'2012'!H23</f>
        <v>0</v>
      </c>
      <c r="G28" s="95">
        <f>'2012'!M23</f>
        <v>449.18</v>
      </c>
      <c r="H28" s="52">
        <f>'2012'!N23</f>
        <v>690.9098</v>
      </c>
      <c r="I28" s="95">
        <f>'2012'!O23</f>
        <v>7600.488</v>
      </c>
      <c r="J28" s="95">
        <f>'2012'!P23</f>
        <v>170.4413</v>
      </c>
      <c r="K28" s="95">
        <f>'2012'!Q23</f>
        <v>50.878</v>
      </c>
      <c r="L28" s="113">
        <f>'2012'!R23+'2012'!S23</f>
        <v>1129.4916</v>
      </c>
      <c r="M28" s="56">
        <f>'2012'!U23+'2012'!V23+'2012'!W23</f>
        <v>14063.72</v>
      </c>
      <c r="N28" s="96">
        <f>'2012'!Z23</f>
        <v>2681.7023999999997</v>
      </c>
      <c r="O28" s="57">
        <f>'2012'!AA23</f>
        <v>18096.2333</v>
      </c>
      <c r="P28" s="57">
        <f>'2012'!AB23</f>
        <v>-9804.8355</v>
      </c>
      <c r="Q28" s="57">
        <f>'2012'!AC23</f>
        <v>-1761.1699999999998</v>
      </c>
      <c r="R28" s="24"/>
      <c r="S28" s="24"/>
    </row>
    <row r="29" spans="1:19" ht="12.75">
      <c r="A29" s="59" t="s">
        <v>70</v>
      </c>
      <c r="B29" s="110">
        <f>'2012'!B24</f>
        <v>254.39</v>
      </c>
      <c r="C29" s="49">
        <f>'2012'!C24</f>
        <v>2175.0345</v>
      </c>
      <c r="D29" s="111">
        <f>'2012'!D24</f>
        <v>241.72979999999998</v>
      </c>
      <c r="E29" s="51">
        <f>'2012'!I24</f>
        <v>2210.35</v>
      </c>
      <c r="F29" s="112">
        <f>'2012'!H24</f>
        <v>0</v>
      </c>
      <c r="G29" s="95">
        <f>'2012'!M24</f>
        <v>482.39</v>
      </c>
      <c r="H29" s="52">
        <f>'2012'!N24</f>
        <v>724.1197999999999</v>
      </c>
      <c r="I29" s="95">
        <f>'2012'!O24</f>
        <v>6926.088000000001</v>
      </c>
      <c r="J29" s="95">
        <f>'2012'!P24</f>
        <v>170.4413</v>
      </c>
      <c r="K29" s="95">
        <f>'2012'!Q24</f>
        <v>50.878</v>
      </c>
      <c r="L29" s="113">
        <f>'2012'!R24+'2012'!S24</f>
        <v>1129.4916</v>
      </c>
      <c r="M29" s="56">
        <f>'2012'!U24+'2012'!V24+'2012'!W24</f>
        <v>2629</v>
      </c>
      <c r="N29" s="96">
        <f>'2012'!Z24</f>
        <v>2681.7023999999997</v>
      </c>
      <c r="O29" s="57">
        <f>'2012'!AA24</f>
        <v>6661.5133</v>
      </c>
      <c r="P29" s="57">
        <f>'2012'!AB24</f>
        <v>988.6945000000005</v>
      </c>
      <c r="Q29" s="57">
        <f>'2012'!AC24</f>
        <v>-1727.96</v>
      </c>
      <c r="R29" s="24"/>
      <c r="S29" s="24"/>
    </row>
    <row r="30" spans="1:19" ht="12.75">
      <c r="A30" s="59" t="s">
        <v>71</v>
      </c>
      <c r="B30" s="110">
        <f>'2012'!B25</f>
        <v>265.59</v>
      </c>
      <c r="C30" s="49">
        <f>'2012'!C25</f>
        <v>2270.7945</v>
      </c>
      <c r="D30" s="111">
        <f>'2012'!D25</f>
        <v>241.72979999999998</v>
      </c>
      <c r="E30" s="51">
        <f>'2012'!I25</f>
        <v>2293.75</v>
      </c>
      <c r="F30" s="112">
        <f>'2012'!H25</f>
        <v>0</v>
      </c>
      <c r="G30" s="95">
        <f>'2012'!M25</f>
        <v>2344.96</v>
      </c>
      <c r="H30" s="52">
        <f>'2012'!N25</f>
        <v>2586.6898</v>
      </c>
      <c r="I30" s="95">
        <f>'2012'!O25</f>
        <v>6926.09</v>
      </c>
      <c r="J30" s="95">
        <f>'2012'!P25</f>
        <v>177.9453</v>
      </c>
      <c r="K30" s="95">
        <f>'2012'!Q25</f>
        <v>53.117999999999995</v>
      </c>
      <c r="L30" s="113">
        <f>'2012'!R25+'2012'!S25</f>
        <v>1179.2196</v>
      </c>
      <c r="M30" s="56">
        <f>'2012'!U25+'2012'!V25+'2012'!W25</f>
        <v>0</v>
      </c>
      <c r="N30" s="96">
        <f>'2012'!Z25</f>
        <v>2681.7023999999997</v>
      </c>
      <c r="O30" s="57">
        <f>'2012'!AA25</f>
        <v>4091.9852999999994</v>
      </c>
      <c r="P30" s="57">
        <f>'2012'!AB25</f>
        <v>5420.794500000001</v>
      </c>
      <c r="Q30" s="57">
        <f>'2012'!AC25</f>
        <v>51.210000000000036</v>
      </c>
      <c r="R30" s="24"/>
      <c r="S30" s="24"/>
    </row>
    <row r="31" spans="1:19" ht="12.75">
      <c r="A31" s="59" t="s">
        <v>21</v>
      </c>
      <c r="B31" s="110">
        <f>'2012'!B26</f>
        <v>265.59</v>
      </c>
      <c r="C31" s="49">
        <f>'2012'!C26</f>
        <v>2270.7945</v>
      </c>
      <c r="D31" s="111">
        <f>'2012'!D26</f>
        <v>241.72979999999998</v>
      </c>
      <c r="E31" s="51">
        <f>'2012'!I26</f>
        <v>2306.1</v>
      </c>
      <c r="F31" s="112">
        <f>'2012'!H26</f>
        <v>0</v>
      </c>
      <c r="G31" s="95">
        <f>'2012'!M26</f>
        <v>217.76999999999998</v>
      </c>
      <c r="H31" s="52">
        <f>'2012'!N26</f>
        <v>459.49979999999994</v>
      </c>
      <c r="I31" s="95">
        <f>'2012'!O26</f>
        <v>6926.09</v>
      </c>
      <c r="J31" s="95">
        <f>'2012'!P26</f>
        <v>177.9453</v>
      </c>
      <c r="K31" s="95">
        <f>'2012'!Q26</f>
        <v>53.117999999999995</v>
      </c>
      <c r="L31" s="113">
        <f>'2012'!R26+'2012'!S26</f>
        <v>1179.2196</v>
      </c>
      <c r="M31" s="56">
        <f>'2012'!U26+'2012'!V26+'2012'!W26</f>
        <v>0</v>
      </c>
      <c r="N31" s="96">
        <f>'2012'!Z26</f>
        <v>2681.7023999999997</v>
      </c>
      <c r="O31" s="57">
        <f>'2012'!AA26</f>
        <v>4091.9852999999994</v>
      </c>
      <c r="P31" s="57">
        <f>'2012'!AB26</f>
        <v>3293.6045000000004</v>
      </c>
      <c r="Q31" s="57">
        <f>'2012'!AC26</f>
        <v>-2088.33</v>
      </c>
      <c r="R31" s="24"/>
      <c r="S31" s="24"/>
    </row>
    <row r="32" spans="1:19" ht="12.75">
      <c r="A32" s="59" t="s">
        <v>22</v>
      </c>
      <c r="B32" s="110">
        <f>'2012'!B27</f>
        <v>265.59</v>
      </c>
      <c r="C32" s="49">
        <f>'2012'!C27</f>
        <v>2525.7608999999998</v>
      </c>
      <c r="D32" s="111">
        <f>'2012'!D27</f>
        <v>323.49135</v>
      </c>
      <c r="E32" s="51">
        <f>'2012'!I27</f>
        <v>2525.75</v>
      </c>
      <c r="F32" s="112">
        <f>'2012'!H27</f>
        <v>0</v>
      </c>
      <c r="G32" s="95">
        <f>'2012'!M27</f>
        <v>168.56</v>
      </c>
      <c r="H32" s="52">
        <f>'2012'!N27</f>
        <v>492.05135</v>
      </c>
      <c r="I32" s="95">
        <f>'2012'!O27</f>
        <v>6926.088000000001</v>
      </c>
      <c r="J32" s="95">
        <f>'2012'!P27</f>
        <v>177.9453</v>
      </c>
      <c r="K32" s="95">
        <f>'2012'!Q27</f>
        <v>53.117999999999995</v>
      </c>
      <c r="L32" s="113">
        <f>'2012'!R27+'2012'!S27</f>
        <v>1179.2196</v>
      </c>
      <c r="M32" s="56">
        <f>'2012'!U27+'2012'!V27+'2012'!W27</f>
        <v>0</v>
      </c>
      <c r="N32" s="96">
        <f>'2012'!Z27</f>
        <v>2681.7023999999997</v>
      </c>
      <c r="O32" s="57">
        <f>'2012'!AA27</f>
        <v>4091.9852999999994</v>
      </c>
      <c r="P32" s="57">
        <f>'2012'!AB27</f>
        <v>3326.154050000001</v>
      </c>
      <c r="Q32" s="57">
        <f>'2012'!AC27</f>
        <v>-2357.19</v>
      </c>
      <c r="R32" s="24"/>
      <c r="S32" s="24"/>
    </row>
    <row r="33" spans="1:19" ht="12.75">
      <c r="A33" s="59" t="s">
        <v>23</v>
      </c>
      <c r="B33" s="110">
        <f>'2012'!B28</f>
        <v>265.59</v>
      </c>
      <c r="C33" s="49">
        <f>'2012'!C28</f>
        <v>2525.7608999999998</v>
      </c>
      <c r="D33" s="111">
        <f>'2012'!D28</f>
        <v>0</v>
      </c>
      <c r="E33" s="51">
        <f>'2012'!I28</f>
        <v>2525.75</v>
      </c>
      <c r="F33" s="112">
        <f>'2012'!H28</f>
        <v>0</v>
      </c>
      <c r="G33" s="95">
        <f>'2012'!M28</f>
        <v>466.94000000000005</v>
      </c>
      <c r="H33" s="52">
        <f>'2012'!N28</f>
        <v>466.94000000000005</v>
      </c>
      <c r="I33" s="95">
        <f>'2012'!O28</f>
        <v>6926.088000000001</v>
      </c>
      <c r="J33" s="95">
        <f>'2012'!P28</f>
        <v>177.9453</v>
      </c>
      <c r="K33" s="95">
        <f>'2012'!Q28</f>
        <v>53.117999999999995</v>
      </c>
      <c r="L33" s="113">
        <f>'2012'!R28+'2012'!S28</f>
        <v>1179.2196</v>
      </c>
      <c r="M33" s="56">
        <f>'2012'!U28+'2012'!V28+'2012'!W28</f>
        <v>0</v>
      </c>
      <c r="N33" s="96">
        <f>'2012'!Z28</f>
        <v>2681.7023999999997</v>
      </c>
      <c r="O33" s="57">
        <f>'2012'!AA28</f>
        <v>4091.9852999999994</v>
      </c>
      <c r="P33" s="57">
        <f>'2012'!AB28</f>
        <v>3301.042700000001</v>
      </c>
      <c r="Q33" s="57">
        <f>'2012'!AC28</f>
        <v>-2058.81</v>
      </c>
      <c r="R33" s="24"/>
      <c r="S33" s="24"/>
    </row>
    <row r="34" spans="1:19" ht="12.75">
      <c r="A34" s="59" t="s">
        <v>24</v>
      </c>
      <c r="B34" s="110">
        <f>'2012'!B29</f>
        <v>265.59</v>
      </c>
      <c r="C34" s="49">
        <f>'2012'!C29</f>
        <v>2525.7608999999998</v>
      </c>
      <c r="D34" s="111">
        <f>'2012'!D29</f>
        <v>0</v>
      </c>
      <c r="E34" s="51">
        <f>'2012'!I29</f>
        <v>2525.75</v>
      </c>
      <c r="F34" s="112">
        <f>'2012'!H29</f>
        <v>0</v>
      </c>
      <c r="G34" s="95">
        <f>'2012'!M29</f>
        <v>5150.71</v>
      </c>
      <c r="H34" s="52">
        <f>'2012'!N29</f>
        <v>5150.71</v>
      </c>
      <c r="I34" s="95">
        <f>'2012'!O29</f>
        <v>6926.088000000001</v>
      </c>
      <c r="J34" s="95">
        <f>'2012'!P29</f>
        <v>177.9453</v>
      </c>
      <c r="K34" s="95">
        <f>'2012'!Q29</f>
        <v>53.117999999999995</v>
      </c>
      <c r="L34" s="113">
        <f>'2012'!R29+'2012'!S29</f>
        <v>1179.2196</v>
      </c>
      <c r="M34" s="56">
        <f>'2012'!U29+'2012'!V29+'2012'!W29</f>
        <v>112</v>
      </c>
      <c r="N34" s="96">
        <f>'2012'!Z29</f>
        <v>2681.7023999999997</v>
      </c>
      <c r="O34" s="57">
        <f>'2012'!AA29</f>
        <v>4203.985299999999</v>
      </c>
      <c r="P34" s="57">
        <f>'2012'!AB29</f>
        <v>7872.812700000001</v>
      </c>
      <c r="Q34" s="57">
        <f>'2012'!AC29</f>
        <v>2624.96</v>
      </c>
      <c r="R34" s="24"/>
      <c r="S34" s="24"/>
    </row>
    <row r="35" spans="1:19" ht="12.75">
      <c r="A35" s="59" t="s">
        <v>18</v>
      </c>
      <c r="B35" s="110">
        <f>'2012'!B30</f>
        <v>276.39</v>
      </c>
      <c r="C35" s="49">
        <f>'2012'!C30</f>
        <v>2628.4689</v>
      </c>
      <c r="D35" s="111">
        <f>'2012'!D30</f>
        <v>0</v>
      </c>
      <c r="E35" s="51">
        <f>'2012'!I30</f>
        <v>2833.88</v>
      </c>
      <c r="F35" s="112">
        <f>'2012'!H30</f>
        <v>0</v>
      </c>
      <c r="G35" s="95">
        <f>'2012'!M30</f>
        <v>1079.55</v>
      </c>
      <c r="H35" s="52">
        <f>'2012'!N30</f>
        <v>1079.55</v>
      </c>
      <c r="I35" s="95">
        <f>'2012'!O30</f>
        <v>6926.088000000001</v>
      </c>
      <c r="J35" s="95">
        <f>'2012'!P30</f>
        <v>185.1813</v>
      </c>
      <c r="K35" s="95">
        <f>'2012'!Q30</f>
        <v>55.278</v>
      </c>
      <c r="L35" s="113">
        <f>'2012'!R30+'2012'!S30</f>
        <v>1227.1716</v>
      </c>
      <c r="M35" s="56">
        <f>'2012'!U30+'2012'!V30+'2012'!W30</f>
        <v>2740</v>
      </c>
      <c r="N35" s="96">
        <f>'2012'!Z30</f>
        <v>2681.7023999999997</v>
      </c>
      <c r="O35" s="57">
        <f>'2012'!AA30</f>
        <v>6889.3333</v>
      </c>
      <c r="P35" s="57">
        <f>'2012'!AB30</f>
        <v>1116.3047000000006</v>
      </c>
      <c r="Q35" s="57">
        <f>'2012'!AC30</f>
        <v>-1754.3300000000002</v>
      </c>
      <c r="R35" s="24"/>
      <c r="S35" s="24"/>
    </row>
    <row r="36" spans="1:19" ht="12.75">
      <c r="A36" s="59" t="s">
        <v>19</v>
      </c>
      <c r="B36" s="110">
        <f>'2012'!B31</f>
        <v>276.39</v>
      </c>
      <c r="C36" s="49">
        <f>'2012'!C31</f>
        <v>2628.4689</v>
      </c>
      <c r="D36" s="111">
        <f>'2012'!D31</f>
        <v>0</v>
      </c>
      <c r="E36" s="51">
        <f>'2012'!I31</f>
        <v>2628.46</v>
      </c>
      <c r="F36" s="112">
        <f>'2012'!H31</f>
        <v>0</v>
      </c>
      <c r="G36" s="95">
        <f>'2012'!M31</f>
        <v>1653.06</v>
      </c>
      <c r="H36" s="52">
        <f>'2012'!N31</f>
        <v>1653.06</v>
      </c>
      <c r="I36" s="95">
        <f>'2012'!O31</f>
        <v>6926.088000000001</v>
      </c>
      <c r="J36" s="95">
        <f>'2012'!P31</f>
        <v>185.1813</v>
      </c>
      <c r="K36" s="95">
        <f>'2012'!Q31</f>
        <v>55.278</v>
      </c>
      <c r="L36" s="113">
        <f>'2012'!R31+'2012'!S31</f>
        <v>1227.1716</v>
      </c>
      <c r="M36" s="56">
        <f>'2012'!U31+'2012'!V31+'2012'!W31</f>
        <v>5779</v>
      </c>
      <c r="N36" s="96">
        <f>'2012'!Z31</f>
        <v>2681.7023999999997</v>
      </c>
      <c r="O36" s="57">
        <f>'2012'!AA31</f>
        <v>9928.3333</v>
      </c>
      <c r="P36" s="57">
        <f>'2012'!AB31</f>
        <v>-1349.1852999999992</v>
      </c>
      <c r="Q36" s="57">
        <f>'2012'!AC31</f>
        <v>-975.4000000000001</v>
      </c>
      <c r="R36" s="24"/>
      <c r="S36" s="24"/>
    </row>
    <row r="37" spans="1:19" ht="13.5" thickBot="1">
      <c r="A37" s="59" t="s">
        <v>20</v>
      </c>
      <c r="B37" s="110">
        <f>'2012'!B32</f>
        <v>276.39</v>
      </c>
      <c r="C37" s="49">
        <f>'2012'!C32</f>
        <v>3772.7235</v>
      </c>
      <c r="D37" s="111">
        <f>'2012'!D32</f>
        <v>0</v>
      </c>
      <c r="E37" s="51">
        <f>'2012'!I32</f>
        <v>3772.75</v>
      </c>
      <c r="F37" s="112">
        <f>'2012'!H32</f>
        <v>0</v>
      </c>
      <c r="G37" s="95">
        <f>'2012'!M32</f>
        <v>697.49</v>
      </c>
      <c r="H37" s="52">
        <f>'2012'!N32</f>
        <v>697.49</v>
      </c>
      <c r="I37" s="95">
        <f>'2012'!O32</f>
        <v>6926.088000000001</v>
      </c>
      <c r="J37" s="95">
        <f>'2012'!P32</f>
        <v>185.1813</v>
      </c>
      <c r="K37" s="95">
        <f>'2012'!Q32</f>
        <v>55.278</v>
      </c>
      <c r="L37" s="113">
        <f>'2012'!R32+'2012'!S32</f>
        <v>1227.1716</v>
      </c>
      <c r="M37" s="56">
        <f>'2012'!U32+'2012'!V32+'2012'!W32</f>
        <v>0</v>
      </c>
      <c r="N37" s="96">
        <f>'2012'!Z32</f>
        <v>2681.7023999999997</v>
      </c>
      <c r="O37" s="57">
        <f>'2012'!AA32</f>
        <v>4149.333299999999</v>
      </c>
      <c r="P37" s="57">
        <f>'2012'!AB32</f>
        <v>3474.244700000001</v>
      </c>
      <c r="Q37" s="57">
        <f>'2012'!AC32</f>
        <v>-3075.26</v>
      </c>
      <c r="R37" s="24"/>
      <c r="S37" s="24"/>
    </row>
    <row r="38" spans="1:19" s="2" customFormat="1" ht="13.5" thickBot="1">
      <c r="A38" s="8" t="s">
        <v>3</v>
      </c>
      <c r="B38" s="9"/>
      <c r="C38" s="10">
        <f>SUM(C26:C37)</f>
        <v>29848.671000000002</v>
      </c>
      <c r="D38" s="10">
        <f aca="true" t="shared" si="2" ref="D38:P38">SUM(D26:D37)</f>
        <v>1773.87015</v>
      </c>
      <c r="E38" s="10">
        <f t="shared" si="2"/>
        <v>30253.59</v>
      </c>
      <c r="F38" s="10">
        <f t="shared" si="2"/>
        <v>0</v>
      </c>
      <c r="G38" s="10">
        <f t="shared" si="2"/>
        <v>14830.109999999997</v>
      </c>
      <c r="H38" s="10">
        <f t="shared" si="2"/>
        <v>16603.98015</v>
      </c>
      <c r="I38" s="10">
        <f t="shared" si="2"/>
        <v>83113.06000000001</v>
      </c>
      <c r="J38" s="10">
        <f t="shared" si="2"/>
        <v>2127.0356</v>
      </c>
      <c r="K38" s="10">
        <f t="shared" si="2"/>
        <v>634.936</v>
      </c>
      <c r="L38" s="10">
        <f t="shared" si="2"/>
        <v>14095.5792</v>
      </c>
      <c r="M38" s="10">
        <f t="shared" si="2"/>
        <v>25447.22</v>
      </c>
      <c r="N38" s="10">
        <f t="shared" si="2"/>
        <v>32180.42879999999</v>
      </c>
      <c r="O38" s="10">
        <f t="shared" si="2"/>
        <v>74485.19959999999</v>
      </c>
      <c r="P38" s="10">
        <f t="shared" si="2"/>
        <v>25231.840550000015</v>
      </c>
      <c r="Q38" s="10">
        <f>SUM(Q26:Q37)</f>
        <v>-15423.479999999998</v>
      </c>
      <c r="R38" s="11"/>
      <c r="S38" s="11"/>
    </row>
    <row r="39" spans="1:19" ht="13.5" thickBot="1">
      <c r="A39" s="176" t="s">
        <v>37</v>
      </c>
      <c r="B39" s="177"/>
      <c r="C39" s="177"/>
      <c r="D39" s="177"/>
      <c r="E39" s="177"/>
      <c r="F39" s="177"/>
      <c r="G39" s="177"/>
      <c r="H39" s="177"/>
      <c r="I39" s="177"/>
      <c r="J39" s="177"/>
      <c r="K39" s="177"/>
      <c r="L39" s="177"/>
      <c r="M39" s="177"/>
      <c r="N39" s="177"/>
      <c r="O39" s="177"/>
      <c r="P39" s="177"/>
      <c r="Q39" s="61"/>
      <c r="R39" s="24"/>
      <c r="S39" s="24"/>
    </row>
    <row r="40" spans="1:19" s="2" customFormat="1" ht="13.5" thickBot="1">
      <c r="A40" s="12" t="s">
        <v>25</v>
      </c>
      <c r="B40" s="13"/>
      <c r="C40" s="13">
        <f aca="true" t="shared" si="3" ref="C40:P40">C38</f>
        <v>29848.671000000002</v>
      </c>
      <c r="D40" s="13">
        <f t="shared" si="3"/>
        <v>1773.87015</v>
      </c>
      <c r="E40" s="13">
        <f t="shared" si="3"/>
        <v>30253.59</v>
      </c>
      <c r="F40" s="13">
        <f t="shared" si="3"/>
        <v>0</v>
      </c>
      <c r="G40" s="13">
        <f t="shared" si="3"/>
        <v>14830.109999999997</v>
      </c>
      <c r="H40" s="13">
        <f t="shared" si="3"/>
        <v>16603.98015</v>
      </c>
      <c r="I40" s="13">
        <f t="shared" si="3"/>
        <v>83113.06000000001</v>
      </c>
      <c r="J40" s="13">
        <f t="shared" si="3"/>
        <v>2127.0356</v>
      </c>
      <c r="K40" s="13">
        <f t="shared" si="3"/>
        <v>634.936</v>
      </c>
      <c r="L40" s="13">
        <f t="shared" si="3"/>
        <v>14095.5792</v>
      </c>
      <c r="M40" s="13">
        <f t="shared" si="3"/>
        <v>25447.22</v>
      </c>
      <c r="N40" s="13">
        <f t="shared" si="3"/>
        <v>32180.42879999999</v>
      </c>
      <c r="O40" s="13">
        <f t="shared" si="3"/>
        <v>74485.19959999999</v>
      </c>
      <c r="P40" s="13">
        <f t="shared" si="3"/>
        <v>25231.840550000015</v>
      </c>
      <c r="Q40" s="13">
        <f>Q38</f>
        <v>-15423.479999999998</v>
      </c>
      <c r="R40" s="14"/>
      <c r="S40" s="11"/>
    </row>
    <row r="42" spans="1:19" ht="12.75">
      <c r="A42" s="2" t="s">
        <v>63</v>
      </c>
      <c r="D42" s="62" t="s">
        <v>74</v>
      </c>
      <c r="R42" s="24"/>
      <c r="S42" s="24"/>
    </row>
    <row r="43" spans="1:19" ht="12.75">
      <c r="A43" s="22" t="s">
        <v>41</v>
      </c>
      <c r="B43" s="22" t="s">
        <v>42</v>
      </c>
      <c r="C43" s="178" t="s">
        <v>43</v>
      </c>
      <c r="D43" s="178"/>
      <c r="R43" s="24"/>
      <c r="S43" s="24"/>
    </row>
    <row r="44" spans="1:19" ht="12.75">
      <c r="A44" s="63">
        <v>13226.96</v>
      </c>
      <c r="B44" s="63">
        <v>0</v>
      </c>
      <c r="C44" s="179">
        <f>A44-B44</f>
        <v>13226.96</v>
      </c>
      <c r="D44" s="180"/>
      <c r="R44" s="24"/>
      <c r="S44" s="24"/>
    </row>
    <row r="45" spans="1:19" ht="12.75">
      <c r="A45" s="23"/>
      <c r="R45" s="24"/>
      <c r="S45" s="24"/>
    </row>
    <row r="46" spans="1:19" ht="12.75">
      <c r="A46" s="21" t="s">
        <v>44</v>
      </c>
      <c r="G46" s="21" t="s">
        <v>45</v>
      </c>
      <c r="R46" s="24"/>
      <c r="S46" s="24"/>
    </row>
    <row r="47" ht="12.75">
      <c r="A47" s="24"/>
    </row>
    <row r="48" ht="12.75">
      <c r="A48" s="62" t="s">
        <v>57</v>
      </c>
    </row>
    <row r="49" ht="12.75">
      <c r="A49" s="21" t="s">
        <v>58</v>
      </c>
    </row>
  </sheetData>
  <sheetProtection/>
  <mergeCells count="28">
    <mergeCell ref="I9:I12"/>
    <mergeCell ref="N11:N12"/>
    <mergeCell ref="A8:D8"/>
    <mergeCell ref="E8:F8"/>
    <mergeCell ref="B1:H1"/>
    <mergeCell ref="B2:H2"/>
    <mergeCell ref="A5:P5"/>
    <mergeCell ref="A6:G6"/>
    <mergeCell ref="Q9:Q12"/>
    <mergeCell ref="E11:F11"/>
    <mergeCell ref="H11:H12"/>
    <mergeCell ref="J11:J12"/>
    <mergeCell ref="K11:K12"/>
    <mergeCell ref="L11:L12"/>
    <mergeCell ref="M11:M12"/>
    <mergeCell ref="O11:O12"/>
    <mergeCell ref="E9:F10"/>
    <mergeCell ref="G9:H10"/>
    <mergeCell ref="A23:P23"/>
    <mergeCell ref="C43:D43"/>
    <mergeCell ref="C44:D44"/>
    <mergeCell ref="J9:O10"/>
    <mergeCell ref="P9:P12"/>
    <mergeCell ref="A9:A12"/>
    <mergeCell ref="B9:B12"/>
    <mergeCell ref="C9:C12"/>
    <mergeCell ref="D9:D12"/>
    <mergeCell ref="A39:P39"/>
  </mergeCells>
  <printOptions/>
  <pageMargins left="0.25" right="0.17" top="0.63" bottom="0.47" header="0.3" footer="0.3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</dc:creator>
  <cp:keywords/>
  <dc:description/>
  <cp:lastModifiedBy>Виктория</cp:lastModifiedBy>
  <cp:lastPrinted>2010-06-15T10:55:48Z</cp:lastPrinted>
  <dcterms:created xsi:type="dcterms:W3CDTF">2010-04-03T04:08:20Z</dcterms:created>
  <dcterms:modified xsi:type="dcterms:W3CDTF">2013-07-17T16:04:08Z</dcterms:modified>
  <cp:category/>
  <cp:version/>
  <cp:contentType/>
  <cp:contentStatus/>
</cp:coreProperties>
</file>