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для печати" sheetId="2" state="hidden" r:id="rId2"/>
    <sheet name="2012" sheetId="3" state="hidden" r:id="rId3"/>
    <sheet name="2012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<sst xmlns="http://schemas.openxmlformats.org/spreadsheetml/2006/main" count="287" uniqueCount="109">
  <si>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</si>
  <si>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</si>
  <si>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</si>
  <si>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</si>
  <si>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</si>
  <si>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</si>
  <si>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</si>
  <si>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</si>
  <si>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</si>
  <si>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</si>
  <si>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</si>
  <si>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</si>
  <si>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</si>
  <si>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</si>
  <si>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</si>
  <si>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</si>
  <si>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</si>
  <si>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</si>
  <si>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</si>
  <si>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</si>
  <si>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</si>
  <si>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</si>
  <si>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</si>
  <si>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</si>
  <si>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</si>
  <si>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</si>
  <si>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</si>
  <si>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</si>
  <si>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</si>
  <si>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</si>
  <si>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</si>
  <si>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</si>
  <si>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</si>
  <si>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</si>
  <si>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</si>
  <si>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</si>
  <si>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</si>
  <si>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</si>
  <si>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</si>
  <si>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</si>
  <si>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</si>
  <si>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</si>
  <si>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</si>
  <si>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</si>
  <si>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</si>
  <si>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</si>
  <si>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</si>
  <si>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</si>
  <si>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</si>
  <si>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</si>
  <si>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</si>
  <si>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</si>
  <si>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</si>
  <si>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</si>
  <si>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</si>
  <si>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</si>
  <si>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</si>
  <si>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</si>
  <si>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</si>
  <si>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</si>
  <si>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</si>
  <si>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</si>
  <si>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</si>
  <si>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</si>
  <si>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</si>
  <si>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</si>
  <si>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</si>
  <si>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</si>
  <si>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</si>
  <si>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</si>
  <si>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</si>
  <si>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</si>
  <si>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</si>
  <si>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</si>
  <si>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</si>
  <si>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</si>
  <si>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</si>
  <si>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</si>
  <si>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Собрано за содержание и тек.рем.</t>
  </si>
  <si>
    <t>Капитальный ремонт</t>
  </si>
  <si>
    <t>Лицевой счет по адресу г. Таштагол, ул. Коммунистическая, д. 27</t>
  </si>
  <si>
    <t>Выписка по лицевому счету по адресу г. Таштагол ул. Коммунистическая, д. 27</t>
  </si>
  <si>
    <t>2010 год</t>
  </si>
  <si>
    <t>январь</t>
  </si>
  <si>
    <t>февраль</t>
  </si>
  <si>
    <t>*по состоянию на 01.01.2011 г.</t>
  </si>
  <si>
    <t>за период с марта 2009 г. по декабрь 2010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</si>
  <si>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</si>
  <si>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</si>
  <si>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</si>
  <si>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</si>
  <si>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</si>
  <si>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</si>
  <si>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"УЖХ-Шалым"</t>
  </si>
  <si>
    <t>Тек. ремонт ООО "ТУК"</t>
  </si>
  <si>
    <t>электроэнергия</t>
  </si>
  <si>
    <t>2011 год</t>
  </si>
  <si>
    <t>ВСЕГО</t>
  </si>
  <si>
    <t>Услуга начисления</t>
  </si>
  <si>
    <t>Исп. В.В. Колмогорова</t>
  </si>
  <si>
    <t>Лицевой счет по адресу г. Таштагол, ул. Коммунистическая, д.27</t>
  </si>
  <si>
    <t>2012 год</t>
  </si>
  <si>
    <t>Содержание жилья 2011/ Услуга ЕДДС 2012</t>
  </si>
  <si>
    <t>Содержание жилья 2012</t>
  </si>
  <si>
    <t>Доходы по нежилым помещениям</t>
  </si>
  <si>
    <t>Расходы по нежилым помещениям</t>
  </si>
  <si>
    <t>*по состоянию на 01.06.2013 г.</t>
  </si>
  <si>
    <t>на 01.01.2013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</si>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</sst>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39" xfId="33" applyNumberFormat="1" applyFont="1" applyFill="1" applyBorder="1" applyAlignment="1">
      <alignment horizontal="right" vertical="center" wrapText="1"/>
      <protection/>
    </xf>
    <xf numFmtId="4" fontId="0" fillId="0" borderId="36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vertical="center" wrapText="1"/>
    </xf>
    <xf numFmtId="4" fontId="0" fillId="0" borderId="39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2" fontId="0" fillId="0" borderId="36" xfId="0" applyNumberFormat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44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7" borderId="14" xfId="54" applyNumberFormat="1" applyFont="1" applyFill="1" applyBorder="1">
      <alignment/>
      <protection/>
    </xf>
    <xf numFmtId="4" fontId="0" fillId="0" borderId="29" xfId="0" applyNumberFormat="1" applyFont="1" applyBorder="1" applyAlignment="1">
      <alignment/>
    </xf>
    <xf numFmtId="0" fontId="0" fillId="0" borderId="29" xfId="54" applyBorder="1" applyAlignment="1">
      <alignment horizontal="center"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14" xfId="54" applyFont="1" applyBorder="1">
      <alignment/>
      <protection/>
    </xf>
    <xf numFmtId="4" fontId="0" fillId="0" borderId="19" xfId="54" applyNumberFormat="1" applyFont="1" applyFill="1" applyBorder="1">
      <alignment/>
      <protection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4" fontId="0" fillId="33" borderId="14" xfId="54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0" fillId="37" borderId="17" xfId="54" applyNumberFormat="1" applyFont="1" applyFill="1" applyBorder="1">
      <alignment/>
      <protection/>
    </xf>
    <xf numFmtId="0" fontId="0" fillId="0" borderId="13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0" fillId="39" borderId="17" xfId="0" applyNumberFormat="1" applyFont="1" applyFill="1" applyBorder="1" applyAlignment="1">
      <alignment/>
    </xf>
    <xf numFmtId="4" fontId="0" fillId="39" borderId="17" xfId="54" applyNumberFormat="1" applyFont="1" applyFill="1" applyBorder="1">
      <alignment/>
      <protection/>
    </xf>
    <xf numFmtId="4" fontId="0" fillId="39" borderId="14" xfId="54" applyNumberFormat="1" applyFont="1" applyFill="1" applyBorder="1">
      <alignment/>
      <protection/>
    </xf>
    <xf numFmtId="4" fontId="0" fillId="39" borderId="14" xfId="54" applyNumberFormat="1" applyFont="1" applyFill="1" applyBorder="1" applyAlignment="1">
      <alignment horizontal="center"/>
      <protection/>
    </xf>
    <xf numFmtId="0" fontId="0" fillId="39" borderId="14" xfId="0" applyFont="1" applyFill="1" applyBorder="1" applyAlignment="1">
      <alignment/>
    </xf>
    <xf numFmtId="4" fontId="0" fillId="39" borderId="14" xfId="0" applyNumberFormat="1" applyFont="1" applyFill="1" applyBorder="1" applyAlignment="1">
      <alignment/>
    </xf>
    <xf numFmtId="4" fontId="1" fillId="39" borderId="21" xfId="0" applyNumberFormat="1" applyFont="1" applyFill="1" applyBorder="1" applyAlignment="1">
      <alignment/>
    </xf>
    <xf numFmtId="0" fontId="0" fillId="39" borderId="45" xfId="0" applyFont="1" applyFill="1" applyBorder="1" applyAlignment="1">
      <alignment/>
    </xf>
    <xf numFmtId="4" fontId="1" fillId="39" borderId="23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4" fontId="2" fillId="0" borderId="18" xfId="33" applyNumberFormat="1" applyFont="1" applyFill="1" applyBorder="1" applyAlignment="1">
      <alignment horizontal="center" vertical="center" wrapText="1"/>
      <protection/>
    </xf>
    <xf numFmtId="43" fontId="2" fillId="34" borderId="19" xfId="64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11" fillId="0" borderId="27" xfId="0" applyFont="1" applyBorder="1" applyAlignment="1">
      <alignment/>
    </xf>
    <xf numFmtId="4" fontId="1" fillId="34" borderId="19" xfId="54" applyNumberFormat="1" applyFont="1" applyFill="1" applyBorder="1">
      <alignment/>
      <protection/>
    </xf>
    <xf numFmtId="4" fontId="0" fillId="37" borderId="19" xfId="54" applyNumberFormat="1" applyFont="1" applyFill="1" applyBorder="1">
      <alignment/>
      <protection/>
    </xf>
    <xf numFmtId="4" fontId="0" fillId="0" borderId="26" xfId="54" applyNumberFormat="1" applyFont="1" applyFill="1" applyBorder="1">
      <alignment/>
      <protection/>
    </xf>
    <xf numFmtId="4" fontId="0" fillId="33" borderId="26" xfId="54" applyNumberFormat="1" applyFont="1" applyFill="1" applyBorder="1">
      <alignment/>
      <protection/>
    </xf>
    <xf numFmtId="0" fontId="0" fillId="0" borderId="26" xfId="54" applyFont="1" applyBorder="1">
      <alignment/>
      <protection/>
    </xf>
    <xf numFmtId="4" fontId="0" fillId="37" borderId="26" xfId="54" applyNumberFormat="1" applyFont="1" applyFill="1" applyBorder="1">
      <alignment/>
      <protection/>
    </xf>
    <xf numFmtId="4" fontId="0" fillId="39" borderId="2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right" wrapText="1"/>
    </xf>
    <xf numFmtId="4" fontId="2" fillId="0" borderId="4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0" fillId="0" borderId="45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0" fillId="0" borderId="52" xfId="0" applyFont="1" applyFill="1" applyBorder="1" applyAlignment="1">
      <alignment/>
    </xf>
    <xf numFmtId="2" fontId="0" fillId="0" borderId="43" xfId="0" applyNumberFormat="1" applyBorder="1" applyAlignment="1">
      <alignment horizontal="center"/>
    </xf>
    <xf numFmtId="4" fontId="0" fillId="0" borderId="53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2" fontId="0" fillId="0" borderId="55" xfId="0" applyNumberFormat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 wrapText="1"/>
    </xf>
    <xf numFmtId="0" fontId="1" fillId="0" borderId="57" xfId="0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right"/>
    </xf>
    <xf numFmtId="4" fontId="1" fillId="0" borderId="57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7" fillId="34" borderId="60" xfId="0" applyNumberFormat="1" applyFont="1" applyFill="1" applyBorder="1" applyAlignment="1">
      <alignment horizontal="center" vertical="center" wrapText="1"/>
    </xf>
    <xf numFmtId="2" fontId="7" fillId="34" borderId="59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0" fontId="1" fillId="40" borderId="60" xfId="0" applyFont="1" applyFill="1" applyBorder="1" applyAlignment="1">
      <alignment horizontal="center" vertical="center" wrapText="1"/>
    </xf>
    <xf numFmtId="0" fontId="1" fillId="40" borderId="59" xfId="0" applyFont="1" applyFill="1" applyBorder="1" applyAlignment="1">
      <alignment horizontal="center" vertical="center" wrapText="1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5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wrapText="1"/>
    </xf>
    <xf numFmtId="43" fontId="7" fillId="34" borderId="60" xfId="63" applyFont="1" applyFill="1" applyBorder="1" applyAlignment="1">
      <alignment horizontal="center" vertical="center" wrapText="1"/>
    </xf>
    <xf numFmtId="43" fontId="7" fillId="34" borderId="59" xfId="63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77" xfId="0" applyNumberFormat="1" applyFont="1" applyFill="1" applyBorder="1" applyAlignment="1">
      <alignment horizontal="center" vertical="center" textRotation="90" wrapText="1"/>
    </xf>
    <xf numFmtId="0" fontId="0" fillId="0" borderId="7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64;&#1072;&#1083;&#1099;&#1084;\&#1051;&#1080;&#1094;&#1077;&#1074;&#1086;&#1081;%20&#1089;&#1095;&#1077;&#1090;%20&#1050;&#1086;&#1084;&#1084;&#1091;&#1085;&#1080;&#1089;&#1090;&#1080;&#1095;&#1077;&#1089;&#1082;&#1072;&#1103;,%2025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X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10">
        <row r="377">
          <cell r="J377">
            <v>114</v>
          </cell>
          <cell r="S377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3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321" t="s">
        <v>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322" t="s">
        <v>0</v>
      </c>
      <c r="B3" s="325" t="s">
        <v>1</v>
      </c>
      <c r="C3" s="325" t="s">
        <v>2</v>
      </c>
      <c r="D3" s="325" t="s">
        <v>3</v>
      </c>
      <c r="E3" s="328" t="s">
        <v>4</v>
      </c>
      <c r="F3" s="328"/>
      <c r="G3" s="328"/>
      <c r="H3" s="328"/>
      <c r="I3" s="328"/>
      <c r="J3" s="328"/>
      <c r="K3" s="328"/>
      <c r="L3" s="328"/>
      <c r="M3" s="328"/>
      <c r="N3" s="328"/>
      <c r="O3" s="306" t="s">
        <v>5</v>
      </c>
      <c r="P3" s="306"/>
      <c r="Q3" s="308" t="s">
        <v>6</v>
      </c>
      <c r="R3" s="308"/>
      <c r="S3" s="308"/>
      <c r="T3" s="308"/>
      <c r="U3" s="308"/>
      <c r="V3" s="308"/>
      <c r="W3" s="310" t="s">
        <v>76</v>
      </c>
      <c r="X3" s="296" t="s">
        <v>64</v>
      </c>
      <c r="Y3" s="299" t="s">
        <v>8</v>
      </c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318" t="s">
        <v>65</v>
      </c>
      <c r="AU3" s="303" t="s">
        <v>9</v>
      </c>
      <c r="AV3" s="313" t="s">
        <v>10</v>
      </c>
    </row>
    <row r="4" spans="1:48" ht="36" customHeight="1" thickBot="1">
      <c r="A4" s="323"/>
      <c r="B4" s="326"/>
      <c r="C4" s="326"/>
      <c r="D4" s="326"/>
      <c r="E4" s="307" t="s">
        <v>11</v>
      </c>
      <c r="F4" s="307"/>
      <c r="G4" s="307" t="s">
        <v>12</v>
      </c>
      <c r="H4" s="307"/>
      <c r="I4" s="307" t="s">
        <v>13</v>
      </c>
      <c r="J4" s="307"/>
      <c r="K4" s="307" t="s">
        <v>14</v>
      </c>
      <c r="L4" s="307"/>
      <c r="M4" s="307" t="s">
        <v>15</v>
      </c>
      <c r="N4" s="307"/>
      <c r="O4" s="307"/>
      <c r="P4" s="307"/>
      <c r="Q4" s="309"/>
      <c r="R4" s="309"/>
      <c r="S4" s="309"/>
      <c r="T4" s="309"/>
      <c r="U4" s="309"/>
      <c r="V4" s="309"/>
      <c r="W4" s="311"/>
      <c r="X4" s="297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319"/>
      <c r="AU4" s="304"/>
      <c r="AV4" s="314"/>
    </row>
    <row r="5" spans="1:48" ht="29.25" customHeight="1" thickBot="1">
      <c r="A5" s="323"/>
      <c r="B5" s="326"/>
      <c r="C5" s="326"/>
      <c r="D5" s="326"/>
      <c r="E5" s="294" t="s">
        <v>16</v>
      </c>
      <c r="F5" s="294" t="s">
        <v>17</v>
      </c>
      <c r="G5" s="294" t="s">
        <v>16</v>
      </c>
      <c r="H5" s="294" t="s">
        <v>17</v>
      </c>
      <c r="I5" s="294" t="s">
        <v>16</v>
      </c>
      <c r="J5" s="294" t="s">
        <v>17</v>
      </c>
      <c r="K5" s="294" t="s">
        <v>16</v>
      </c>
      <c r="L5" s="294" t="s">
        <v>17</v>
      </c>
      <c r="M5" s="294" t="s">
        <v>16</v>
      </c>
      <c r="N5" s="294" t="s">
        <v>17</v>
      </c>
      <c r="O5" s="294" t="s">
        <v>16</v>
      </c>
      <c r="P5" s="294" t="s">
        <v>17</v>
      </c>
      <c r="Q5" s="292" t="s">
        <v>18</v>
      </c>
      <c r="R5" s="292" t="s">
        <v>19</v>
      </c>
      <c r="S5" s="292" t="s">
        <v>20</v>
      </c>
      <c r="T5" s="292" t="s">
        <v>21</v>
      </c>
      <c r="U5" s="292" t="s">
        <v>22</v>
      </c>
      <c r="V5" s="292" t="s">
        <v>23</v>
      </c>
      <c r="W5" s="311"/>
      <c r="X5" s="297"/>
      <c r="Y5" s="290" t="s">
        <v>24</v>
      </c>
      <c r="Z5" s="290" t="s">
        <v>25</v>
      </c>
      <c r="AA5" s="290" t="s">
        <v>26</v>
      </c>
      <c r="AB5" s="290" t="s">
        <v>27</v>
      </c>
      <c r="AC5" s="290" t="s">
        <v>28</v>
      </c>
      <c r="AD5" s="290" t="s">
        <v>27</v>
      </c>
      <c r="AE5" s="290" t="s">
        <v>29</v>
      </c>
      <c r="AF5" s="290" t="s">
        <v>27</v>
      </c>
      <c r="AG5" s="290" t="s">
        <v>30</v>
      </c>
      <c r="AH5" s="290" t="s">
        <v>27</v>
      </c>
      <c r="AI5" s="284" t="s">
        <v>69</v>
      </c>
      <c r="AJ5" s="286" t="s">
        <v>27</v>
      </c>
      <c r="AK5" s="316" t="s">
        <v>70</v>
      </c>
      <c r="AL5" s="288" t="s">
        <v>71</v>
      </c>
      <c r="AM5" s="288" t="s">
        <v>27</v>
      </c>
      <c r="AN5" s="300" t="s">
        <v>72</v>
      </c>
      <c r="AO5" s="301"/>
      <c r="AP5" s="302"/>
      <c r="AQ5" s="290" t="s">
        <v>32</v>
      </c>
      <c r="AR5" s="290" t="s">
        <v>27</v>
      </c>
      <c r="AS5" s="290" t="s">
        <v>33</v>
      </c>
      <c r="AT5" s="319"/>
      <c r="AU5" s="304"/>
      <c r="AV5" s="314"/>
    </row>
    <row r="6" spans="1:48" ht="54" customHeight="1" thickBot="1">
      <c r="A6" s="324"/>
      <c r="B6" s="327"/>
      <c r="C6" s="327"/>
      <c r="D6" s="327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3"/>
      <c r="R6" s="293"/>
      <c r="S6" s="293"/>
      <c r="T6" s="293"/>
      <c r="U6" s="293"/>
      <c r="V6" s="293"/>
      <c r="W6" s="312"/>
      <c r="X6" s="298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85"/>
      <c r="AJ6" s="287"/>
      <c r="AK6" s="317"/>
      <c r="AL6" s="289"/>
      <c r="AM6" s="289"/>
      <c r="AN6" s="88" t="s">
        <v>73</v>
      </c>
      <c r="AO6" s="88" t="s">
        <v>74</v>
      </c>
      <c r="AP6" s="88" t="s">
        <v>75</v>
      </c>
      <c r="AQ6" s="291"/>
      <c r="AR6" s="291"/>
      <c r="AS6" s="291"/>
      <c r="AT6" s="320"/>
      <c r="AU6" s="305"/>
      <c r="AV6" s="315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 hidden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 hidden="1">
      <c r="A9" s="9" t="s">
        <v>38</v>
      </c>
      <c r="B9" s="105">
        <v>524.2</v>
      </c>
      <c r="C9" s="94">
        <f aca="true" t="shared" si="0" ref="C9:C18">B9*8.65</f>
        <v>4534.330000000001</v>
      </c>
      <c r="D9" s="114">
        <f>C9*0.125</f>
        <v>566.7912500000001</v>
      </c>
      <c r="E9" s="82">
        <v>237.67</v>
      </c>
      <c r="F9" s="82">
        <v>55.37</v>
      </c>
      <c r="G9" s="82">
        <v>320.88</v>
      </c>
      <c r="H9" s="82">
        <v>74.73</v>
      </c>
      <c r="I9" s="82">
        <v>772.4</v>
      </c>
      <c r="J9" s="82">
        <v>179.93</v>
      </c>
      <c r="K9" s="82">
        <v>534.74</v>
      </c>
      <c r="L9" s="82">
        <v>124.57</v>
      </c>
      <c r="M9" s="82">
        <v>190.14</v>
      </c>
      <c r="N9" s="108">
        <v>44.3</v>
      </c>
      <c r="O9" s="71">
        <f aca="true" t="shared" si="1" ref="O9:O18">E9+G9+I9+K9+M9</f>
        <v>2055.83</v>
      </c>
      <c r="P9" s="83">
        <f aca="true" t="shared" si="2" ref="P9:P18">N9+L9+J9+H9+F9</f>
        <v>478.90000000000003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05">
        <f aca="true" t="shared" si="3" ref="V9:V18">SUM(Q9:U9)</f>
        <v>0</v>
      </c>
      <c r="W9" s="100">
        <f aca="true" t="shared" si="4" ref="W9:W18">D9+P9+V9</f>
        <v>1045.69125</v>
      </c>
      <c r="X9" s="100"/>
      <c r="Y9" s="99">
        <f>0.6*B9*0.9</f>
        <v>283.06800000000004</v>
      </c>
      <c r="Z9" s="99">
        <f>B9*0.2*0.9081</f>
        <v>95.20520400000002</v>
      </c>
      <c r="AA9" s="99">
        <f>0.85*B9*0.8909+0.01</f>
        <v>396.968313</v>
      </c>
      <c r="AB9" s="99">
        <f aca="true" t="shared" si="5" ref="AB9:AB18">AA9*0.18</f>
        <v>71.45429634</v>
      </c>
      <c r="AC9" s="99">
        <f>(0.83*B9)*0.8928</f>
        <v>388.44478080000005</v>
      </c>
      <c r="AD9" s="99">
        <f aca="true" t="shared" si="6" ref="AD9:AD18">AC9*0.18</f>
        <v>69.92006054400001</v>
      </c>
      <c r="AE9" s="99">
        <f>1.91*B9*0.8927</f>
        <v>893.7908794000001</v>
      </c>
      <c r="AF9" s="99">
        <f aca="true" t="shared" si="7" ref="AF9:AF18">AE9*0.18</f>
        <v>160.88235829200002</v>
      </c>
      <c r="AG9" s="99">
        <v>0</v>
      </c>
      <c r="AH9" s="99">
        <f aca="true" t="shared" si="8" ref="AH9:AJ18">AG9*0.18</f>
        <v>0</v>
      </c>
      <c r="AI9" s="113"/>
      <c r="AJ9" s="113">
        <f t="shared" si="8"/>
        <v>0</v>
      </c>
      <c r="AK9" s="101"/>
      <c r="AL9" s="101"/>
      <c r="AM9" s="74">
        <f>(AK9+AL9)*0.18</f>
        <v>0</v>
      </c>
      <c r="AN9" s="102">
        <v>383</v>
      </c>
      <c r="AO9" s="103">
        <v>0.3</v>
      </c>
      <c r="AP9" s="99">
        <f aca="true" t="shared" si="9" ref="AP9:AP18">AN9*AO9*1.12*1.18</f>
        <v>151.85184</v>
      </c>
      <c r="AQ9" s="104"/>
      <c r="AR9" s="104">
        <f>AQ9*0.18</f>
        <v>0</v>
      </c>
      <c r="AS9" s="104">
        <f>SUM(Y9:AM9)</f>
        <v>2359.7338923760003</v>
      </c>
      <c r="AT9" s="112"/>
      <c r="AU9" s="12">
        <f aca="true" t="shared" si="10" ref="AU9:AU18">W9+X9-AS9-AT9</f>
        <v>-1314.0426423760002</v>
      </c>
      <c r="AV9" s="26">
        <f aca="true" t="shared" si="11" ref="AV9:AV18">V9-O9</f>
        <v>-2055.83</v>
      </c>
    </row>
    <row r="10" spans="1:48" ht="12.75" hidden="1">
      <c r="A10" s="9" t="s">
        <v>39</v>
      </c>
      <c r="B10" s="105">
        <v>524.2</v>
      </c>
      <c r="C10" s="106">
        <f t="shared" si="0"/>
        <v>4534.330000000001</v>
      </c>
      <c r="D10" s="114">
        <f>C10*0.125</f>
        <v>566.7912500000001</v>
      </c>
      <c r="E10" s="82">
        <v>237.67</v>
      </c>
      <c r="F10" s="82">
        <v>55.37</v>
      </c>
      <c r="G10" s="82">
        <v>320.88</v>
      </c>
      <c r="H10" s="82">
        <v>74.73</v>
      </c>
      <c r="I10" s="82">
        <v>772.4</v>
      </c>
      <c r="J10" s="82">
        <v>179.93</v>
      </c>
      <c r="K10" s="82">
        <v>534.74</v>
      </c>
      <c r="L10" s="82">
        <v>124.57</v>
      </c>
      <c r="M10" s="82">
        <v>190.14</v>
      </c>
      <c r="N10" s="108">
        <v>44.3</v>
      </c>
      <c r="O10" s="72">
        <f t="shared" si="1"/>
        <v>2055.83</v>
      </c>
      <c r="P10" s="83">
        <f t="shared" si="2"/>
        <v>478.90000000000003</v>
      </c>
      <c r="Q10" s="109">
        <v>75.93</v>
      </c>
      <c r="R10" s="110">
        <v>102.52</v>
      </c>
      <c r="S10" s="110">
        <v>246.77</v>
      </c>
      <c r="T10" s="110">
        <v>170.83</v>
      </c>
      <c r="U10" s="110">
        <v>60.74</v>
      </c>
      <c r="V10" s="105">
        <f t="shared" si="3"/>
        <v>656.7900000000001</v>
      </c>
      <c r="W10" s="115">
        <f t="shared" si="4"/>
        <v>1702.4812500000003</v>
      </c>
      <c r="X10" s="100"/>
      <c r="Y10" s="99">
        <f>0.6*B10*0.9</f>
        <v>283.06800000000004</v>
      </c>
      <c r="Z10" s="99">
        <f>B10*0.2*0.9234</f>
        <v>96.80925600000002</v>
      </c>
      <c r="AA10" s="99">
        <f>0.85*B10*0.8909+0.01</f>
        <v>396.968313</v>
      </c>
      <c r="AB10" s="99">
        <f t="shared" si="5"/>
        <v>71.45429634</v>
      </c>
      <c r="AC10" s="99">
        <f>(0.83*B10)*0.8928</f>
        <v>388.44478080000005</v>
      </c>
      <c r="AD10" s="99">
        <f t="shared" si="6"/>
        <v>69.92006054400001</v>
      </c>
      <c r="AE10" s="99">
        <f>1.91*B10*0.8927</f>
        <v>893.7908794000001</v>
      </c>
      <c r="AF10" s="99">
        <f t="shared" si="7"/>
        <v>160.88235829200002</v>
      </c>
      <c r="AG10" s="99">
        <v>0</v>
      </c>
      <c r="AH10" s="99">
        <f t="shared" si="8"/>
        <v>0</v>
      </c>
      <c r="AI10" s="113"/>
      <c r="AJ10" s="86">
        <f t="shared" si="8"/>
        <v>0</v>
      </c>
      <c r="AK10" s="101"/>
      <c r="AL10" s="101"/>
      <c r="AM10" s="74">
        <f>(AK10+AL10)*0.18</f>
        <v>0</v>
      </c>
      <c r="AN10" s="87">
        <v>307</v>
      </c>
      <c r="AO10" s="103">
        <v>0.3</v>
      </c>
      <c r="AP10" s="99">
        <f t="shared" si="9"/>
        <v>121.71936</v>
      </c>
      <c r="AQ10" s="89"/>
      <c r="AR10" s="98">
        <f aca="true" t="shared" si="12" ref="AR10:AR18">AQ10*0.18</f>
        <v>0</v>
      </c>
      <c r="AS10" s="90">
        <f>SUM(Y10:AM10)+AP10+AP9</f>
        <v>2634.9091443760003</v>
      </c>
      <c r="AT10" s="93"/>
      <c r="AU10" s="12">
        <f t="shared" si="10"/>
        <v>-932.427894376</v>
      </c>
      <c r="AV10" s="26">
        <f t="shared" si="11"/>
        <v>-1399.04</v>
      </c>
    </row>
    <row r="11" spans="1:48" ht="12.75" hidden="1">
      <c r="A11" s="9" t="s">
        <v>40</v>
      </c>
      <c r="B11" s="105">
        <v>524.2</v>
      </c>
      <c r="C11" s="106">
        <f t="shared" si="0"/>
        <v>4534.330000000001</v>
      </c>
      <c r="D11" s="114">
        <f>C11-E11-F11-G11-H11-I11-J11-K11-L11-M11-N11</f>
        <v>1818.900000000001</v>
      </c>
      <c r="E11" s="91">
        <v>251.9</v>
      </c>
      <c r="F11" s="91">
        <v>62.27</v>
      </c>
      <c r="G11" s="91">
        <v>341.02</v>
      </c>
      <c r="H11" s="91">
        <v>84.43</v>
      </c>
      <c r="I11" s="91">
        <v>819.53</v>
      </c>
      <c r="J11" s="91">
        <v>202.78</v>
      </c>
      <c r="K11" s="91">
        <v>561.69</v>
      </c>
      <c r="L11" s="91">
        <v>140.48</v>
      </c>
      <c r="M11" s="91">
        <v>201.5</v>
      </c>
      <c r="N11" s="92">
        <v>49.83</v>
      </c>
      <c r="O11" s="116">
        <f t="shared" si="1"/>
        <v>2175.64</v>
      </c>
      <c r="P11" s="117">
        <f t="shared" si="2"/>
        <v>539.7900000000001</v>
      </c>
      <c r="Q11" s="110">
        <v>157.45</v>
      </c>
      <c r="R11" s="110">
        <v>212.6</v>
      </c>
      <c r="S11" s="110">
        <v>511.76</v>
      </c>
      <c r="T11" s="110">
        <v>354.29</v>
      </c>
      <c r="U11" s="110">
        <v>125.98</v>
      </c>
      <c r="V11" s="105">
        <f t="shared" si="3"/>
        <v>1362.08</v>
      </c>
      <c r="W11" s="100">
        <f t="shared" si="4"/>
        <v>3720.770000000001</v>
      </c>
      <c r="X11" s="100"/>
      <c r="Y11" s="99">
        <f aca="true" t="shared" si="13" ref="Y11:Y18">0.6*B11</f>
        <v>314.52000000000004</v>
      </c>
      <c r="Z11" s="99">
        <f>B11*0.2*1.011</f>
        <v>105.99324</v>
      </c>
      <c r="AA11" s="99">
        <f>0.85*B11*0.9899</f>
        <v>441.0697430000001</v>
      </c>
      <c r="AB11" s="99">
        <f t="shared" si="5"/>
        <v>79.39255374000001</v>
      </c>
      <c r="AC11" s="99">
        <f>(0.83*B11)*0.992</f>
        <v>431.605312</v>
      </c>
      <c r="AD11" s="99">
        <f t="shared" si="6"/>
        <v>77.68895616</v>
      </c>
      <c r="AE11" s="99">
        <f>1.91*B11*0.992</f>
        <v>993.2122240000001</v>
      </c>
      <c r="AF11" s="99">
        <f t="shared" si="7"/>
        <v>178.77820032000002</v>
      </c>
      <c r="AG11" s="99">
        <v>0</v>
      </c>
      <c r="AH11" s="99">
        <f t="shared" si="8"/>
        <v>0</v>
      </c>
      <c r="AI11" s="113"/>
      <c r="AJ11" s="86">
        <f t="shared" si="8"/>
        <v>0</v>
      </c>
      <c r="AK11" s="101"/>
      <c r="AL11" s="101"/>
      <c r="AM11" s="74">
        <f>(AK11+AL11)*0.18</f>
        <v>0</v>
      </c>
      <c r="AN11" s="87">
        <v>263</v>
      </c>
      <c r="AO11" s="103">
        <v>0.3</v>
      </c>
      <c r="AP11" s="99">
        <f t="shared" si="9"/>
        <v>104.27423999999999</v>
      </c>
      <c r="AQ11" s="104"/>
      <c r="AR11" s="104">
        <f t="shared" si="12"/>
        <v>0</v>
      </c>
      <c r="AS11" s="104">
        <f aca="true" t="shared" si="14" ref="AS11:AS18">SUM(Y11:AM11)+AP11</f>
        <v>2726.5344692200006</v>
      </c>
      <c r="AT11" s="112"/>
      <c r="AU11" s="12">
        <f t="shared" si="10"/>
        <v>994.2355307800003</v>
      </c>
      <c r="AV11" s="26">
        <f t="shared" si="11"/>
        <v>-813.56</v>
      </c>
    </row>
    <row r="12" spans="1:48" ht="12.75" hidden="1">
      <c r="A12" s="9" t="s">
        <v>41</v>
      </c>
      <c r="B12" s="105">
        <v>524.2</v>
      </c>
      <c r="C12" s="106">
        <f t="shared" si="0"/>
        <v>4534.330000000001</v>
      </c>
      <c r="D12" s="114">
        <v>1812.95</v>
      </c>
      <c r="E12" s="91">
        <v>394.05</v>
      </c>
      <c r="F12" s="91">
        <v>89.26</v>
      </c>
      <c r="G12" s="91">
        <v>533.52</v>
      </c>
      <c r="H12" s="91">
        <v>121</v>
      </c>
      <c r="I12" s="91">
        <v>833.44</v>
      </c>
      <c r="J12" s="91">
        <v>188.87</v>
      </c>
      <c r="K12" s="91">
        <v>888.16</v>
      </c>
      <c r="L12" s="91">
        <v>201.33</v>
      </c>
      <c r="M12" s="91">
        <v>315.23</v>
      </c>
      <c r="N12" s="118">
        <v>71.41</v>
      </c>
      <c r="O12" s="72">
        <f t="shared" si="1"/>
        <v>2964.4</v>
      </c>
      <c r="P12" s="83">
        <f t="shared" si="2"/>
        <v>671.87</v>
      </c>
      <c r="Q12" s="110">
        <v>72.07</v>
      </c>
      <c r="R12" s="110">
        <v>97.56</v>
      </c>
      <c r="S12" s="110">
        <v>204.22</v>
      </c>
      <c r="T12" s="110">
        <v>162.42</v>
      </c>
      <c r="U12" s="110">
        <v>57.66</v>
      </c>
      <c r="V12" s="105">
        <f t="shared" si="3"/>
        <v>593.93</v>
      </c>
      <c r="W12" s="100">
        <f t="shared" si="4"/>
        <v>3078.75</v>
      </c>
      <c r="X12" s="100"/>
      <c r="Y12" s="99">
        <f t="shared" si="13"/>
        <v>314.52000000000004</v>
      </c>
      <c r="Z12" s="99">
        <f>B12*0.2*1.01045</f>
        <v>105.93557800000002</v>
      </c>
      <c r="AA12" s="99">
        <f>0.85*B12*0.98824</f>
        <v>440.33009680000004</v>
      </c>
      <c r="AB12" s="99">
        <f t="shared" si="5"/>
        <v>79.259417424</v>
      </c>
      <c r="AC12" s="99">
        <f>(0.83*B12)*0.99023</f>
        <v>430.83520978</v>
      </c>
      <c r="AD12" s="99">
        <f t="shared" si="6"/>
        <v>77.5503377604</v>
      </c>
      <c r="AE12" s="99">
        <f>(1.91)*B12*0.99023-0.01</f>
        <v>991.4300610600002</v>
      </c>
      <c r="AF12" s="99">
        <f t="shared" si="7"/>
        <v>178.4574109908</v>
      </c>
      <c r="AG12" s="99">
        <v>0</v>
      </c>
      <c r="AH12" s="99">
        <f t="shared" si="8"/>
        <v>0</v>
      </c>
      <c r="AI12" s="113"/>
      <c r="AJ12" s="113">
        <f t="shared" si="8"/>
        <v>0</v>
      </c>
      <c r="AK12" s="101"/>
      <c r="AL12" s="101"/>
      <c r="AM12" s="74">
        <f>(AK12+AL12)*0.18</f>
        <v>0</v>
      </c>
      <c r="AN12" s="87">
        <v>233</v>
      </c>
      <c r="AO12" s="103">
        <v>0.3</v>
      </c>
      <c r="AP12" s="99">
        <f t="shared" si="9"/>
        <v>92.37983999999999</v>
      </c>
      <c r="AQ12" s="104"/>
      <c r="AR12" s="104">
        <f t="shared" si="12"/>
        <v>0</v>
      </c>
      <c r="AS12" s="104">
        <f t="shared" si="14"/>
        <v>2710.6979518152</v>
      </c>
      <c r="AT12" s="112"/>
      <c r="AU12" s="12">
        <f t="shared" si="10"/>
        <v>368.0520481847998</v>
      </c>
      <c r="AV12" s="26">
        <f t="shared" si="11"/>
        <v>-2370.4700000000003</v>
      </c>
    </row>
    <row r="13" spans="1:48" ht="12.75" hidden="1">
      <c r="A13" s="9" t="s">
        <v>42</v>
      </c>
      <c r="B13" s="105">
        <v>524.2</v>
      </c>
      <c r="C13" s="106">
        <f t="shared" si="0"/>
        <v>4534.330000000001</v>
      </c>
      <c r="D13" s="114">
        <v>1812.85</v>
      </c>
      <c r="E13" s="91">
        <v>118.29</v>
      </c>
      <c r="F13" s="91">
        <v>26.74</v>
      </c>
      <c r="G13" s="91">
        <v>160.1</v>
      </c>
      <c r="H13" s="91">
        <v>36.28</v>
      </c>
      <c r="I13" s="91">
        <v>833.44</v>
      </c>
      <c r="J13" s="91">
        <v>188.87</v>
      </c>
      <c r="K13" s="91">
        <v>266.48</v>
      </c>
      <c r="L13" s="91">
        <v>60.37</v>
      </c>
      <c r="M13" s="91">
        <v>94.59</v>
      </c>
      <c r="N13" s="118">
        <v>21.43</v>
      </c>
      <c r="O13" s="72">
        <f t="shared" si="1"/>
        <v>1472.8999999999999</v>
      </c>
      <c r="P13" s="83">
        <f t="shared" si="2"/>
        <v>333.69000000000005</v>
      </c>
      <c r="Q13" s="110">
        <v>229.28</v>
      </c>
      <c r="R13" s="110">
        <v>310.17</v>
      </c>
      <c r="S13" s="110">
        <v>617.37</v>
      </c>
      <c r="T13" s="110">
        <v>516.5</v>
      </c>
      <c r="U13" s="110">
        <v>183.43</v>
      </c>
      <c r="V13" s="105">
        <f t="shared" si="3"/>
        <v>1856.7500000000002</v>
      </c>
      <c r="W13" s="100">
        <f t="shared" si="4"/>
        <v>4003.29</v>
      </c>
      <c r="X13" s="100"/>
      <c r="Y13" s="99">
        <f t="shared" si="13"/>
        <v>314.52000000000004</v>
      </c>
      <c r="Z13" s="99">
        <f>B13*0.2*0.99426</f>
        <v>104.23821840000002</v>
      </c>
      <c r="AA13" s="99">
        <f>0.85*B13*0.98824</f>
        <v>440.33009680000004</v>
      </c>
      <c r="AB13" s="99">
        <f t="shared" si="5"/>
        <v>79.259417424</v>
      </c>
      <c r="AC13" s="99">
        <f>0.83*B13*0.99023</f>
        <v>430.83520978</v>
      </c>
      <c r="AD13" s="99">
        <f t="shared" si="6"/>
        <v>77.5503377604</v>
      </c>
      <c r="AE13" s="99">
        <f>1.91*B13*0.99023</f>
        <v>991.4400610600002</v>
      </c>
      <c r="AF13" s="99">
        <f t="shared" si="7"/>
        <v>178.45921099080002</v>
      </c>
      <c r="AG13" s="99">
        <v>0</v>
      </c>
      <c r="AH13" s="99">
        <f t="shared" si="8"/>
        <v>0</v>
      </c>
      <c r="AI13" s="113"/>
      <c r="AJ13" s="86">
        <f t="shared" si="8"/>
        <v>0</v>
      </c>
      <c r="AK13" s="101"/>
      <c r="AL13" s="101"/>
      <c r="AM13" s="101">
        <f>AK13*0.18</f>
        <v>0</v>
      </c>
      <c r="AN13" s="97">
        <v>248</v>
      </c>
      <c r="AO13" s="103">
        <v>0.3</v>
      </c>
      <c r="AP13" s="99">
        <f t="shared" si="9"/>
        <v>98.32704</v>
      </c>
      <c r="AQ13" s="104"/>
      <c r="AR13" s="104">
        <f t="shared" si="12"/>
        <v>0</v>
      </c>
      <c r="AS13" s="104">
        <f t="shared" si="14"/>
        <v>2714.9595922152002</v>
      </c>
      <c r="AT13" s="112"/>
      <c r="AU13" s="12">
        <f t="shared" si="10"/>
        <v>1288.3304077847997</v>
      </c>
      <c r="AV13" s="26">
        <f t="shared" si="11"/>
        <v>383.85000000000036</v>
      </c>
    </row>
    <row r="14" spans="1:48" ht="12.75" hidden="1">
      <c r="A14" s="9" t="s">
        <v>43</v>
      </c>
      <c r="B14" s="105">
        <v>524.2</v>
      </c>
      <c r="C14" s="106">
        <f t="shared" si="0"/>
        <v>4534.330000000001</v>
      </c>
      <c r="D14" s="114">
        <f>C14-E14-F14-G14-H14-I14-J14-K14-L14-M14-N14</f>
        <v>1812.9000000000008</v>
      </c>
      <c r="E14" s="91">
        <v>256.17</v>
      </c>
      <c r="F14" s="91">
        <v>58</v>
      </c>
      <c r="G14" s="91">
        <v>346.81</v>
      </c>
      <c r="H14" s="91">
        <v>78.64</v>
      </c>
      <c r="I14" s="91">
        <v>833.44</v>
      </c>
      <c r="J14" s="91">
        <v>188.87</v>
      </c>
      <c r="K14" s="91">
        <v>577.32</v>
      </c>
      <c r="L14" s="91">
        <v>130.85</v>
      </c>
      <c r="M14" s="91">
        <v>204.91</v>
      </c>
      <c r="N14" s="118">
        <v>46.42</v>
      </c>
      <c r="O14" s="72">
        <f t="shared" si="1"/>
        <v>2218.65</v>
      </c>
      <c r="P14" s="83">
        <f t="shared" si="2"/>
        <v>502.78</v>
      </c>
      <c r="Q14" s="110">
        <v>135.43</v>
      </c>
      <c r="R14" s="110">
        <v>183.35</v>
      </c>
      <c r="S14" s="110">
        <v>561.29</v>
      </c>
      <c r="T14" s="110">
        <v>305.17</v>
      </c>
      <c r="U14" s="110">
        <v>108.33</v>
      </c>
      <c r="V14" s="105">
        <f t="shared" si="3"/>
        <v>1293.57</v>
      </c>
      <c r="W14" s="100">
        <f t="shared" si="4"/>
        <v>3609.250000000001</v>
      </c>
      <c r="X14" s="100"/>
      <c r="Y14" s="99">
        <f t="shared" si="13"/>
        <v>314.52000000000004</v>
      </c>
      <c r="Z14" s="99">
        <f>B14*0.2*0.99875</f>
        <v>104.70895000000002</v>
      </c>
      <c r="AA14" s="99">
        <f>0.85*B14*0.9883</f>
        <v>440.35683100000006</v>
      </c>
      <c r="AB14" s="99">
        <f t="shared" si="5"/>
        <v>79.26422958</v>
      </c>
      <c r="AC14" s="99">
        <f>0.83*B14*0.9903</f>
        <v>430.8656658</v>
      </c>
      <c r="AD14" s="99">
        <f t="shared" si="6"/>
        <v>77.555819844</v>
      </c>
      <c r="AE14" s="99">
        <f>1.91*B14*0.9902</f>
        <v>991.4100244000001</v>
      </c>
      <c r="AF14" s="99">
        <f t="shared" si="7"/>
        <v>178.45380439200002</v>
      </c>
      <c r="AG14" s="99">
        <v>0</v>
      </c>
      <c r="AH14" s="99">
        <f t="shared" si="8"/>
        <v>0</v>
      </c>
      <c r="AI14" s="113"/>
      <c r="AJ14" s="86">
        <f t="shared" si="8"/>
        <v>0</v>
      </c>
      <c r="AK14" s="101"/>
      <c r="AL14" s="101"/>
      <c r="AM14" s="74">
        <f>(AK14+AL14)*0.18</f>
        <v>0</v>
      </c>
      <c r="AN14" s="97">
        <v>293</v>
      </c>
      <c r="AO14" s="103">
        <v>0.3</v>
      </c>
      <c r="AP14" s="99">
        <f t="shared" si="9"/>
        <v>116.16863999999998</v>
      </c>
      <c r="AQ14" s="104"/>
      <c r="AR14" s="104">
        <f t="shared" si="12"/>
        <v>0</v>
      </c>
      <c r="AS14" s="104">
        <f t="shared" si="14"/>
        <v>2733.3039650160003</v>
      </c>
      <c r="AT14" s="112"/>
      <c r="AU14" s="12">
        <f t="shared" si="10"/>
        <v>875.9460349840006</v>
      </c>
      <c r="AV14" s="26">
        <f t="shared" si="11"/>
        <v>-925.0800000000002</v>
      </c>
    </row>
    <row r="15" spans="1:48" ht="12.75" hidden="1">
      <c r="A15" s="9" t="s">
        <v>44</v>
      </c>
      <c r="B15" s="105">
        <v>524.2</v>
      </c>
      <c r="C15" s="106">
        <f t="shared" si="0"/>
        <v>4534.330000000001</v>
      </c>
      <c r="D15" s="114">
        <f>C15-E15-F15-G15-H15-I15-J15-K15-L15-M15-N15</f>
        <v>1812.9000000000008</v>
      </c>
      <c r="E15" s="82">
        <v>256.17</v>
      </c>
      <c r="F15" s="82">
        <v>58</v>
      </c>
      <c r="G15" s="82">
        <v>346.81</v>
      </c>
      <c r="H15" s="82">
        <v>78.64</v>
      </c>
      <c r="I15" s="82">
        <v>833.44</v>
      </c>
      <c r="J15" s="82">
        <v>188.87</v>
      </c>
      <c r="K15" s="82">
        <v>577.32</v>
      </c>
      <c r="L15" s="82">
        <v>130.85</v>
      </c>
      <c r="M15" s="82">
        <v>204.91</v>
      </c>
      <c r="N15" s="108">
        <v>46.42</v>
      </c>
      <c r="O15" s="72">
        <f t="shared" si="1"/>
        <v>2218.65</v>
      </c>
      <c r="P15" s="83">
        <f t="shared" si="2"/>
        <v>502.78</v>
      </c>
      <c r="Q15" s="110">
        <v>74.97</v>
      </c>
      <c r="R15" s="110">
        <v>101.46</v>
      </c>
      <c r="S15" s="110">
        <v>251.96</v>
      </c>
      <c r="T15" s="110">
        <v>168.91</v>
      </c>
      <c r="U15" s="110">
        <v>59.97</v>
      </c>
      <c r="V15" s="105">
        <f t="shared" si="3"/>
        <v>657.27</v>
      </c>
      <c r="W15" s="100">
        <f t="shared" si="4"/>
        <v>2972.9500000000007</v>
      </c>
      <c r="X15" s="100"/>
      <c r="Y15" s="99">
        <f t="shared" si="13"/>
        <v>314.52000000000004</v>
      </c>
      <c r="Z15" s="99">
        <f>B15*0.2*0.9997</f>
        <v>104.80854800000002</v>
      </c>
      <c r="AA15" s="99">
        <f>0.85*B15*0.9883</f>
        <v>440.35683100000006</v>
      </c>
      <c r="AB15" s="99">
        <f t="shared" si="5"/>
        <v>79.26422958</v>
      </c>
      <c r="AC15" s="99">
        <f>(0.83*B15)*0.9902</f>
        <v>430.8221572</v>
      </c>
      <c r="AD15" s="99">
        <f t="shared" si="6"/>
        <v>77.547988296</v>
      </c>
      <c r="AE15" s="99">
        <f>1.91*B15*0.9903</f>
        <v>991.5101466000001</v>
      </c>
      <c r="AF15" s="99">
        <f t="shared" si="7"/>
        <v>178.471826388</v>
      </c>
      <c r="AG15" s="99">
        <v>0</v>
      </c>
      <c r="AH15" s="99">
        <f t="shared" si="8"/>
        <v>0</v>
      </c>
      <c r="AI15" s="113"/>
      <c r="AJ15" s="86">
        <f t="shared" si="8"/>
        <v>0</v>
      </c>
      <c r="AK15" s="101"/>
      <c r="AL15" s="101"/>
      <c r="AM15" s="74">
        <f>(AK15+AL15)*0.18</f>
        <v>0</v>
      </c>
      <c r="AN15" s="97">
        <v>349</v>
      </c>
      <c r="AO15" s="103">
        <v>0.3</v>
      </c>
      <c r="AP15" s="99">
        <f t="shared" si="9"/>
        <v>138.37152</v>
      </c>
      <c r="AQ15" s="104"/>
      <c r="AR15" s="104">
        <f t="shared" si="12"/>
        <v>0</v>
      </c>
      <c r="AS15" s="104">
        <f t="shared" si="14"/>
        <v>2755.6732470640004</v>
      </c>
      <c r="AT15" s="112"/>
      <c r="AU15" s="12">
        <f t="shared" si="10"/>
        <v>217.27675293600032</v>
      </c>
      <c r="AV15" s="26">
        <f t="shared" si="11"/>
        <v>-1561.38</v>
      </c>
    </row>
    <row r="16" spans="1:48" ht="12.75" hidden="1">
      <c r="A16" s="9" t="s">
        <v>34</v>
      </c>
      <c r="B16" s="122">
        <v>524.2</v>
      </c>
      <c r="C16" s="81">
        <f t="shared" si="0"/>
        <v>4534.330000000001</v>
      </c>
      <c r="D16" s="114">
        <f>C16-O16-P16</f>
        <v>1812.9000000000008</v>
      </c>
      <c r="E16" s="82">
        <v>256.17</v>
      </c>
      <c r="F16" s="82">
        <v>58</v>
      </c>
      <c r="G16" s="82">
        <v>346.81</v>
      </c>
      <c r="H16" s="82">
        <v>78.64</v>
      </c>
      <c r="I16" s="82">
        <v>833.44</v>
      </c>
      <c r="J16" s="82">
        <v>188.87</v>
      </c>
      <c r="K16" s="82">
        <v>577.32</v>
      </c>
      <c r="L16" s="82">
        <v>130.85</v>
      </c>
      <c r="M16" s="82">
        <v>204.91</v>
      </c>
      <c r="N16" s="85">
        <v>46.42</v>
      </c>
      <c r="O16" s="119">
        <f t="shared" si="1"/>
        <v>2218.65</v>
      </c>
      <c r="P16" s="120">
        <f t="shared" si="2"/>
        <v>502.78</v>
      </c>
      <c r="Q16" s="110">
        <v>398.75</v>
      </c>
      <c r="R16" s="110">
        <v>539.75</v>
      </c>
      <c r="S16" s="110">
        <v>1297.99</v>
      </c>
      <c r="T16" s="110">
        <v>898.59</v>
      </c>
      <c r="U16" s="110">
        <v>318.99</v>
      </c>
      <c r="V16" s="85">
        <f t="shared" si="3"/>
        <v>3454.0699999999997</v>
      </c>
      <c r="W16" s="84">
        <f t="shared" si="4"/>
        <v>5769.75</v>
      </c>
      <c r="X16" s="79"/>
      <c r="Y16" s="121">
        <f t="shared" si="13"/>
        <v>314.52000000000004</v>
      </c>
      <c r="Z16" s="14">
        <f>B16*0.2</f>
        <v>104.84000000000002</v>
      </c>
      <c r="AA16" s="14">
        <f>0.85*B16</f>
        <v>445.57000000000005</v>
      </c>
      <c r="AB16" s="14">
        <f t="shared" si="5"/>
        <v>80.2026</v>
      </c>
      <c r="AC16" s="14">
        <f>(0.83*B16)</f>
        <v>435.086</v>
      </c>
      <c r="AD16" s="14">
        <f t="shared" si="6"/>
        <v>78.31548</v>
      </c>
      <c r="AE16" s="14">
        <f>1.91*B16</f>
        <v>1001.2220000000001</v>
      </c>
      <c r="AF16" s="14">
        <f t="shared" si="7"/>
        <v>180.21996000000001</v>
      </c>
      <c r="AG16" s="14">
        <v>0</v>
      </c>
      <c r="AH16" s="14">
        <f t="shared" si="8"/>
        <v>0</v>
      </c>
      <c r="AI16" s="113"/>
      <c r="AJ16" s="86">
        <f t="shared" si="8"/>
        <v>0</v>
      </c>
      <c r="AK16" s="74"/>
      <c r="AL16" s="74"/>
      <c r="AM16" s="74">
        <f>(AK16+AL16)*0.18</f>
        <v>0</v>
      </c>
      <c r="AN16" s="111">
        <v>425</v>
      </c>
      <c r="AO16" s="96">
        <v>0.3</v>
      </c>
      <c r="AP16" s="14">
        <f t="shared" si="9"/>
        <v>168.504</v>
      </c>
      <c r="AQ16" s="90"/>
      <c r="AR16" s="90">
        <f t="shared" si="12"/>
        <v>0</v>
      </c>
      <c r="AS16" s="90">
        <f t="shared" si="14"/>
        <v>2808.48004</v>
      </c>
      <c r="AT16" s="93"/>
      <c r="AU16" s="12">
        <f t="shared" si="10"/>
        <v>2961.26996</v>
      </c>
      <c r="AV16" s="26">
        <f t="shared" si="11"/>
        <v>1235.4199999999996</v>
      </c>
    </row>
    <row r="17" spans="1:48" ht="12.75" hidden="1">
      <c r="A17" s="9" t="s">
        <v>35</v>
      </c>
      <c r="B17" s="122">
        <v>524.2</v>
      </c>
      <c r="C17" s="81">
        <f t="shared" si="0"/>
        <v>4534.330000000001</v>
      </c>
      <c r="D17" s="114">
        <f>C17-O17-P17</f>
        <v>1812.9000000000008</v>
      </c>
      <c r="E17" s="82">
        <v>256.17</v>
      </c>
      <c r="F17" s="82">
        <v>58</v>
      </c>
      <c r="G17" s="82">
        <v>346.81</v>
      </c>
      <c r="H17" s="82">
        <v>78.64</v>
      </c>
      <c r="I17" s="82">
        <v>833.44</v>
      </c>
      <c r="J17" s="82">
        <v>188.87</v>
      </c>
      <c r="K17" s="82">
        <v>577.32</v>
      </c>
      <c r="L17" s="82">
        <v>130.85</v>
      </c>
      <c r="M17" s="82">
        <v>204.91</v>
      </c>
      <c r="N17" s="108">
        <v>46.42</v>
      </c>
      <c r="O17" s="119">
        <f t="shared" si="1"/>
        <v>2218.65</v>
      </c>
      <c r="P17" s="120">
        <f t="shared" si="2"/>
        <v>502.78</v>
      </c>
      <c r="Q17" s="123">
        <v>289.46</v>
      </c>
      <c r="R17" s="123">
        <v>391.78</v>
      </c>
      <c r="S17" s="123">
        <v>957.96</v>
      </c>
      <c r="T17" s="123">
        <v>652.29</v>
      </c>
      <c r="U17" s="123">
        <v>231.58</v>
      </c>
      <c r="V17" s="85">
        <f t="shared" si="3"/>
        <v>2523.0699999999997</v>
      </c>
      <c r="W17" s="84">
        <f t="shared" si="4"/>
        <v>4838.75</v>
      </c>
      <c r="X17" s="84"/>
      <c r="Y17" s="14">
        <f t="shared" si="13"/>
        <v>314.52000000000004</v>
      </c>
      <c r="Z17" s="14">
        <f>B17*0.2</f>
        <v>104.84000000000002</v>
      </c>
      <c r="AA17" s="14">
        <f>0.85*B17</f>
        <v>445.57000000000005</v>
      </c>
      <c r="AB17" s="14">
        <f t="shared" si="5"/>
        <v>80.2026</v>
      </c>
      <c r="AC17" s="14">
        <f>(0.83*B17)</f>
        <v>435.086</v>
      </c>
      <c r="AD17" s="14">
        <f t="shared" si="6"/>
        <v>78.31548</v>
      </c>
      <c r="AE17" s="14">
        <f>1.91*B17</f>
        <v>1001.2220000000001</v>
      </c>
      <c r="AF17" s="14">
        <f t="shared" si="7"/>
        <v>180.21996000000001</v>
      </c>
      <c r="AG17" s="14">
        <v>0</v>
      </c>
      <c r="AH17" s="14">
        <f t="shared" si="8"/>
        <v>0</v>
      </c>
      <c r="AI17" s="113"/>
      <c r="AJ17" s="86">
        <f t="shared" si="8"/>
        <v>0</v>
      </c>
      <c r="AK17" s="74"/>
      <c r="AL17" s="74"/>
      <c r="AM17" s="74">
        <f>AK17*0.18</f>
        <v>0</v>
      </c>
      <c r="AN17" s="111">
        <v>470</v>
      </c>
      <c r="AO17" s="96">
        <v>0.3</v>
      </c>
      <c r="AP17" s="14">
        <f t="shared" si="9"/>
        <v>186.34560000000002</v>
      </c>
      <c r="AQ17" s="90"/>
      <c r="AR17" s="90">
        <f t="shared" si="12"/>
        <v>0</v>
      </c>
      <c r="AS17" s="90">
        <f t="shared" si="14"/>
        <v>2826.32164</v>
      </c>
      <c r="AT17" s="93"/>
      <c r="AU17" s="12">
        <f t="shared" si="10"/>
        <v>2012.4283599999999</v>
      </c>
      <c r="AV17" s="26">
        <f t="shared" si="11"/>
        <v>304.4199999999996</v>
      </c>
    </row>
    <row r="18" spans="1:48" ht="12.75" hidden="1">
      <c r="A18" s="9" t="s">
        <v>36</v>
      </c>
      <c r="B18" s="124">
        <v>524.2</v>
      </c>
      <c r="C18" s="106">
        <f t="shared" si="0"/>
        <v>4534.330000000001</v>
      </c>
      <c r="D18" s="107">
        <f>C18-E18-F18-G18-H18-I18-J18-K18-L18-M18-N18</f>
        <v>1812.9000000000008</v>
      </c>
      <c r="E18" s="125">
        <v>256.17</v>
      </c>
      <c r="F18" s="125">
        <v>58</v>
      </c>
      <c r="G18" s="125">
        <v>346.81</v>
      </c>
      <c r="H18" s="125">
        <v>78.64</v>
      </c>
      <c r="I18" s="125">
        <v>833.44</v>
      </c>
      <c r="J18" s="125">
        <v>188.87</v>
      </c>
      <c r="K18" s="125">
        <v>577.32</v>
      </c>
      <c r="L18" s="125">
        <v>130.85</v>
      </c>
      <c r="M18" s="125">
        <v>204.91</v>
      </c>
      <c r="N18" s="125">
        <v>46.42</v>
      </c>
      <c r="O18" s="71">
        <f t="shared" si="1"/>
        <v>2218.65</v>
      </c>
      <c r="P18" s="83">
        <f t="shared" si="2"/>
        <v>502.78</v>
      </c>
      <c r="Q18" s="110">
        <v>260.01</v>
      </c>
      <c r="R18" s="110">
        <v>351.86</v>
      </c>
      <c r="S18" s="110">
        <v>852.89</v>
      </c>
      <c r="T18" s="110">
        <v>585.78</v>
      </c>
      <c r="U18" s="110">
        <v>207.98</v>
      </c>
      <c r="V18" s="85">
        <f t="shared" si="3"/>
        <v>2258.52</v>
      </c>
      <c r="W18" s="84">
        <f t="shared" si="4"/>
        <v>4574.200000000001</v>
      </c>
      <c r="X18" s="84"/>
      <c r="Y18" s="14">
        <f t="shared" si="13"/>
        <v>314.52000000000004</v>
      </c>
      <c r="Z18" s="14">
        <f>B18*0.2</f>
        <v>104.84000000000002</v>
      </c>
      <c r="AA18" s="14">
        <f>0.85*B18</f>
        <v>445.57000000000005</v>
      </c>
      <c r="AB18" s="14">
        <f t="shared" si="5"/>
        <v>80.2026</v>
      </c>
      <c r="AC18" s="14">
        <f>(0.83*B18)</f>
        <v>435.086</v>
      </c>
      <c r="AD18" s="14">
        <f t="shared" si="6"/>
        <v>78.31548</v>
      </c>
      <c r="AE18" s="14">
        <f>1.91*B18</f>
        <v>1001.2220000000001</v>
      </c>
      <c r="AF18" s="14">
        <f t="shared" si="7"/>
        <v>180.21996000000001</v>
      </c>
      <c r="AG18" s="14">
        <v>0</v>
      </c>
      <c r="AH18" s="14">
        <f t="shared" si="8"/>
        <v>0</v>
      </c>
      <c r="AI18" s="113"/>
      <c r="AJ18" s="86">
        <f t="shared" si="8"/>
        <v>0</v>
      </c>
      <c r="AK18" s="74"/>
      <c r="AL18" s="74"/>
      <c r="AM18" s="74">
        <f>AK18*0.18</f>
        <v>0</v>
      </c>
      <c r="AN18" s="111">
        <v>514</v>
      </c>
      <c r="AO18" s="96">
        <v>0.3</v>
      </c>
      <c r="AP18" s="14">
        <f t="shared" si="9"/>
        <v>203.79072</v>
      </c>
      <c r="AQ18" s="90"/>
      <c r="AR18" s="90">
        <f t="shared" si="12"/>
        <v>0</v>
      </c>
      <c r="AS18" s="90">
        <f t="shared" si="14"/>
        <v>2843.76676</v>
      </c>
      <c r="AT18" s="93"/>
      <c r="AU18" s="12">
        <f t="shared" si="10"/>
        <v>1730.4332400000008</v>
      </c>
      <c r="AV18" s="26">
        <f t="shared" si="11"/>
        <v>39.86999999999989</v>
      </c>
    </row>
    <row r="19" spans="1:48" s="18" customFormat="1" ht="12.75" hidden="1">
      <c r="A19" s="15" t="s">
        <v>5</v>
      </c>
      <c r="B19" s="51"/>
      <c r="C19" s="51">
        <f aca="true" t="shared" si="15" ref="C19:AM19">SUM(C9:C18)</f>
        <v>45343.30000000001</v>
      </c>
      <c r="D19" s="51">
        <f t="shared" si="15"/>
        <v>15642.782500000008</v>
      </c>
      <c r="E19" s="48">
        <f t="shared" si="15"/>
        <v>2520.4300000000003</v>
      </c>
      <c r="F19" s="48">
        <f t="shared" si="15"/>
        <v>579.01</v>
      </c>
      <c r="G19" s="48">
        <f t="shared" si="15"/>
        <v>3410.45</v>
      </c>
      <c r="H19" s="48">
        <f t="shared" si="15"/>
        <v>784.3699999999999</v>
      </c>
      <c r="I19" s="48">
        <f t="shared" si="15"/>
        <v>8198.410000000002</v>
      </c>
      <c r="J19" s="48">
        <f t="shared" si="15"/>
        <v>1884.7299999999996</v>
      </c>
      <c r="K19" s="48">
        <f t="shared" si="15"/>
        <v>5672.41</v>
      </c>
      <c r="L19" s="48">
        <f t="shared" si="15"/>
        <v>1305.57</v>
      </c>
      <c r="M19" s="48">
        <f t="shared" si="15"/>
        <v>2016.1500000000003</v>
      </c>
      <c r="N19" s="48">
        <f t="shared" si="15"/>
        <v>463.37000000000006</v>
      </c>
      <c r="O19" s="48">
        <f t="shared" si="15"/>
        <v>21817.850000000002</v>
      </c>
      <c r="P19" s="48">
        <f t="shared" si="15"/>
        <v>5017.049999999999</v>
      </c>
      <c r="Q19" s="52">
        <f t="shared" si="15"/>
        <v>1693.3500000000001</v>
      </c>
      <c r="R19" s="52">
        <f t="shared" si="15"/>
        <v>2291.05</v>
      </c>
      <c r="S19" s="52">
        <f t="shared" si="15"/>
        <v>5502.21</v>
      </c>
      <c r="T19" s="52">
        <f t="shared" si="15"/>
        <v>3814.7799999999997</v>
      </c>
      <c r="U19" s="52">
        <f t="shared" si="15"/>
        <v>1354.66</v>
      </c>
      <c r="V19" s="52">
        <f t="shared" si="15"/>
        <v>14656.05</v>
      </c>
      <c r="W19" s="52">
        <f t="shared" si="15"/>
        <v>35315.88250000001</v>
      </c>
      <c r="X19" s="77">
        <f t="shared" si="15"/>
        <v>0</v>
      </c>
      <c r="Y19" s="16">
        <f t="shared" si="15"/>
        <v>3082.2960000000003</v>
      </c>
      <c r="Z19" s="16">
        <f t="shared" si="15"/>
        <v>1032.2189944000002</v>
      </c>
      <c r="AA19" s="16">
        <f t="shared" si="15"/>
        <v>4333.0902246000005</v>
      </c>
      <c r="AB19" s="16">
        <f t="shared" si="15"/>
        <v>779.9562404279999</v>
      </c>
      <c r="AC19" s="16">
        <f t="shared" si="15"/>
        <v>4237.111116160001</v>
      </c>
      <c r="AD19" s="16">
        <f t="shared" si="15"/>
        <v>762.6800009087999</v>
      </c>
      <c r="AE19" s="16">
        <f t="shared" si="15"/>
        <v>9750.25027592</v>
      </c>
      <c r="AF19" s="16">
        <f t="shared" si="15"/>
        <v>1755.0450496656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0</v>
      </c>
      <c r="AL19" s="16">
        <f t="shared" si="15"/>
        <v>0</v>
      </c>
      <c r="AM19" s="16">
        <f t="shared" si="15"/>
        <v>0</v>
      </c>
      <c r="AN19" s="16"/>
      <c r="AO19" s="16"/>
      <c r="AP19" s="16">
        <f aca="true" t="shared" si="16" ref="AP19:AV19">SUM(AP9:AP18)</f>
        <v>1381.7328</v>
      </c>
      <c r="AQ19" s="16">
        <f t="shared" si="16"/>
        <v>0</v>
      </c>
      <c r="AR19" s="16">
        <f t="shared" si="16"/>
        <v>0</v>
      </c>
      <c r="AS19" s="16">
        <f t="shared" si="16"/>
        <v>27114.380702082402</v>
      </c>
      <c r="AT19" s="16">
        <f t="shared" si="16"/>
        <v>0</v>
      </c>
      <c r="AU19" s="16">
        <f t="shared" si="16"/>
        <v>8201.501797917601</v>
      </c>
      <c r="AV19" s="17">
        <f t="shared" si="16"/>
        <v>-7161.8</v>
      </c>
    </row>
    <row r="20" spans="1:48" ht="12.75" hidden="1">
      <c r="A20" s="9"/>
      <c r="B20" s="10"/>
      <c r="C20" s="11"/>
      <c r="D20" s="1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/>
      <c r="P20" s="42"/>
      <c r="Q20" s="44"/>
      <c r="R20" s="44"/>
      <c r="S20" s="44"/>
      <c r="T20" s="44"/>
      <c r="U20" s="44"/>
      <c r="V20" s="44"/>
      <c r="W20" s="78"/>
      <c r="X20" s="79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3"/>
      <c r="AL20" s="73"/>
      <c r="AM20" s="74"/>
      <c r="AN20" s="74"/>
      <c r="AO20" s="74"/>
      <c r="AP20" s="19"/>
      <c r="AQ20" s="13"/>
      <c r="AR20" s="14"/>
      <c r="AS20" s="14"/>
      <c r="AT20" s="14"/>
      <c r="AU20" s="14"/>
      <c r="AV20" s="8"/>
    </row>
    <row r="21" spans="1:48" s="18" customFormat="1" ht="13.5" hidden="1" thickBot="1">
      <c r="A21" s="20" t="s">
        <v>45</v>
      </c>
      <c r="B21" s="21"/>
      <c r="C21" s="21">
        <f>C19</f>
        <v>45343.30000000001</v>
      </c>
      <c r="D21" s="21">
        <f aca="true" t="shared" si="17" ref="D21:AV21">D19</f>
        <v>15642.782500000008</v>
      </c>
      <c r="E21" s="21">
        <f t="shared" si="17"/>
        <v>2520.4300000000003</v>
      </c>
      <c r="F21" s="21">
        <f t="shared" si="17"/>
        <v>579.01</v>
      </c>
      <c r="G21" s="21">
        <f t="shared" si="17"/>
        <v>3410.45</v>
      </c>
      <c r="H21" s="21">
        <f t="shared" si="17"/>
        <v>784.3699999999999</v>
      </c>
      <c r="I21" s="21">
        <f t="shared" si="17"/>
        <v>8198.410000000002</v>
      </c>
      <c r="J21" s="21">
        <f t="shared" si="17"/>
        <v>1884.7299999999996</v>
      </c>
      <c r="K21" s="21">
        <f t="shared" si="17"/>
        <v>5672.41</v>
      </c>
      <c r="L21" s="21">
        <f t="shared" si="17"/>
        <v>1305.57</v>
      </c>
      <c r="M21" s="21">
        <f t="shared" si="17"/>
        <v>2016.1500000000003</v>
      </c>
      <c r="N21" s="21">
        <f t="shared" si="17"/>
        <v>463.37000000000006</v>
      </c>
      <c r="O21" s="21">
        <f t="shared" si="17"/>
        <v>21817.850000000002</v>
      </c>
      <c r="P21" s="21">
        <f t="shared" si="17"/>
        <v>5017.049999999999</v>
      </c>
      <c r="Q21" s="21">
        <f t="shared" si="17"/>
        <v>1693.3500000000001</v>
      </c>
      <c r="R21" s="21">
        <f t="shared" si="17"/>
        <v>2291.05</v>
      </c>
      <c r="S21" s="21">
        <f t="shared" si="17"/>
        <v>5502.21</v>
      </c>
      <c r="T21" s="21">
        <f t="shared" si="17"/>
        <v>3814.7799999999997</v>
      </c>
      <c r="U21" s="21">
        <f t="shared" si="17"/>
        <v>1354.66</v>
      </c>
      <c r="V21" s="21">
        <f t="shared" si="17"/>
        <v>14656.05</v>
      </c>
      <c r="W21" s="21">
        <f t="shared" si="17"/>
        <v>35315.88250000001</v>
      </c>
      <c r="X21" s="21">
        <f t="shared" si="17"/>
        <v>0</v>
      </c>
      <c r="Y21" s="21">
        <f t="shared" si="17"/>
        <v>3082.2960000000003</v>
      </c>
      <c r="Z21" s="21">
        <f t="shared" si="17"/>
        <v>1032.2189944000002</v>
      </c>
      <c r="AA21" s="21">
        <f t="shared" si="17"/>
        <v>4333.0902246000005</v>
      </c>
      <c r="AB21" s="21">
        <f t="shared" si="17"/>
        <v>779.9562404279999</v>
      </c>
      <c r="AC21" s="21">
        <f t="shared" si="17"/>
        <v>4237.111116160001</v>
      </c>
      <c r="AD21" s="21">
        <f t="shared" si="17"/>
        <v>762.6800009087999</v>
      </c>
      <c r="AE21" s="21">
        <f t="shared" si="17"/>
        <v>9750.25027592</v>
      </c>
      <c r="AF21" s="21">
        <f t="shared" si="17"/>
        <v>1755.0450496656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0</v>
      </c>
      <c r="AL21" s="21">
        <f t="shared" si="17"/>
        <v>0</v>
      </c>
      <c r="AM21" s="21">
        <f t="shared" si="17"/>
        <v>0</v>
      </c>
      <c r="AN21" s="21">
        <f t="shared" si="17"/>
        <v>0</v>
      </c>
      <c r="AO21" s="21">
        <f t="shared" si="17"/>
        <v>0</v>
      </c>
      <c r="AP21" s="21">
        <f t="shared" si="17"/>
        <v>1381.7328</v>
      </c>
      <c r="AQ21" s="21">
        <f t="shared" si="17"/>
        <v>0</v>
      </c>
      <c r="AR21" s="21">
        <f t="shared" si="17"/>
        <v>0</v>
      </c>
      <c r="AS21" s="21">
        <f t="shared" si="17"/>
        <v>27114.380702082402</v>
      </c>
      <c r="AT21" s="21">
        <f t="shared" si="17"/>
        <v>0</v>
      </c>
      <c r="AU21" s="21">
        <f t="shared" si="17"/>
        <v>8201.501797917601</v>
      </c>
      <c r="AV21" s="21">
        <f t="shared" si="17"/>
        <v>-7161.8</v>
      </c>
    </row>
    <row r="22" spans="1:48" ht="15" customHeight="1" hidden="1">
      <c r="A22" s="5" t="s">
        <v>82</v>
      </c>
      <c r="B22" s="49"/>
      <c r="C22" s="50"/>
      <c r="D22" s="5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6"/>
      <c r="P22" s="46"/>
      <c r="Q22" s="53"/>
      <c r="R22" s="53"/>
      <c r="S22" s="53"/>
      <c r="T22" s="53"/>
      <c r="U22" s="53"/>
      <c r="V22" s="45"/>
      <c r="W22" s="75"/>
      <c r="X22" s="76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 hidden="1">
      <c r="A23" s="126" t="s">
        <v>83</v>
      </c>
      <c r="B23" s="124">
        <v>524.2</v>
      </c>
      <c r="C23" s="106">
        <f aca="true" t="shared" si="18" ref="C23:C34">B23*8.65</f>
        <v>4534.330000000001</v>
      </c>
      <c r="D23" s="107">
        <f>C23-E23-F23-G23-H23-I23-J23-K23-L23-M23-N23</f>
        <v>1812.9000000000008</v>
      </c>
      <c r="E23" s="82">
        <v>256.17</v>
      </c>
      <c r="F23" s="82">
        <v>58</v>
      </c>
      <c r="G23" s="82">
        <v>346.81</v>
      </c>
      <c r="H23" s="82">
        <v>78.64</v>
      </c>
      <c r="I23" s="82">
        <v>833.44</v>
      </c>
      <c r="J23" s="82">
        <v>188.87</v>
      </c>
      <c r="K23" s="82">
        <v>577.32</v>
      </c>
      <c r="L23" s="82">
        <v>130.85</v>
      </c>
      <c r="M23" s="82">
        <v>204.91</v>
      </c>
      <c r="N23" s="108">
        <v>46.42</v>
      </c>
      <c r="O23" s="71">
        <f aca="true" t="shared" si="19" ref="O23:O34">E23+G23+I23+K23+M23</f>
        <v>2218.65</v>
      </c>
      <c r="P23" s="127">
        <f aca="true" t="shared" si="20" ref="P23:P34">N23+L23+J23+H23+F23</f>
        <v>502.78</v>
      </c>
      <c r="Q23" s="109">
        <v>161.8</v>
      </c>
      <c r="R23" s="110">
        <v>219.09</v>
      </c>
      <c r="S23" s="110">
        <v>527.57</v>
      </c>
      <c r="T23" s="110">
        <v>364.66</v>
      </c>
      <c r="U23" s="110">
        <v>129.39</v>
      </c>
      <c r="V23" s="105">
        <f>SUM(Q23:U23)</f>
        <v>1402.5100000000002</v>
      </c>
      <c r="W23" s="128">
        <f aca="true" t="shared" si="21" ref="W23:W34">D23+P23+V23</f>
        <v>3718.190000000001</v>
      </c>
      <c r="X23" s="84"/>
      <c r="Y23" s="14">
        <f aca="true" t="shared" si="22" ref="Y23:Y34">0.6*B23</f>
        <v>314.52000000000004</v>
      </c>
      <c r="Z23" s="14">
        <f aca="true" t="shared" si="23" ref="Z23:Z34">B23*0.2</f>
        <v>104.84000000000002</v>
      </c>
      <c r="AA23" s="14">
        <f aca="true" t="shared" si="24" ref="AA23:AA34">1*B23</f>
        <v>524.2</v>
      </c>
      <c r="AB23" s="14">
        <v>0</v>
      </c>
      <c r="AC23" s="14">
        <f>0.98*B23</f>
        <v>513.716</v>
      </c>
      <c r="AD23" s="14">
        <v>0</v>
      </c>
      <c r="AE23" s="14">
        <f aca="true" t="shared" si="25" ref="AE23:AE34">2.25*B23</f>
        <v>1179.45</v>
      </c>
      <c r="AF23" s="14">
        <v>0</v>
      </c>
      <c r="AG23" s="14">
        <v>0</v>
      </c>
      <c r="AH23" s="14">
        <f>AG23*0.18</f>
        <v>0</v>
      </c>
      <c r="AI23" s="86"/>
      <c r="AJ23" s="86"/>
      <c r="AK23" s="74"/>
      <c r="AL23" s="74"/>
      <c r="AM23" s="74"/>
      <c r="AN23" s="111">
        <v>508</v>
      </c>
      <c r="AO23" s="96">
        <v>0.3</v>
      </c>
      <c r="AP23" s="14">
        <f aca="true" t="shared" si="26" ref="AP23:AP34">AN23*AO23*1.4</f>
        <v>213.35999999999999</v>
      </c>
      <c r="AQ23" s="90"/>
      <c r="AR23" s="90">
        <f aca="true" t="shared" si="27" ref="AR23:AR34">AQ23*0.18</f>
        <v>0</v>
      </c>
      <c r="AS23" s="90">
        <f>SUM(Y23:AR23)-AN23-AO23</f>
        <v>2850.0860000000007</v>
      </c>
      <c r="AT23" s="93"/>
      <c r="AU23" s="12">
        <f aca="true" t="shared" si="28" ref="AU23:AU34">W23+X23-AS23-AT23</f>
        <v>868.1040000000003</v>
      </c>
      <c r="AV23" s="26">
        <f aca="true" t="shared" si="29" ref="AV23:AV34">V23-O23</f>
        <v>-816.1399999999999</v>
      </c>
    </row>
    <row r="24" spans="1:48" ht="15" customHeight="1" hidden="1">
      <c r="A24" s="126" t="s">
        <v>84</v>
      </c>
      <c r="B24" s="124">
        <v>524.2</v>
      </c>
      <c r="C24" s="106">
        <f t="shared" si="18"/>
        <v>4534.330000000001</v>
      </c>
      <c r="D24" s="107">
        <f>C24-E24-F24-G24-H24-I24-J24-K24-L24-M24-N24</f>
        <v>1812.9000000000008</v>
      </c>
      <c r="E24" s="82">
        <v>256.17</v>
      </c>
      <c r="F24" s="82">
        <v>58</v>
      </c>
      <c r="G24" s="82">
        <v>346.81</v>
      </c>
      <c r="H24" s="82">
        <v>78.64</v>
      </c>
      <c r="I24" s="82">
        <v>833.44</v>
      </c>
      <c r="J24" s="82">
        <v>188.87</v>
      </c>
      <c r="K24" s="82">
        <v>577.32</v>
      </c>
      <c r="L24" s="82">
        <v>130.85</v>
      </c>
      <c r="M24" s="82">
        <v>204.91</v>
      </c>
      <c r="N24" s="108">
        <v>46.42</v>
      </c>
      <c r="O24" s="71">
        <f t="shared" si="19"/>
        <v>2218.65</v>
      </c>
      <c r="P24" s="83">
        <f t="shared" si="20"/>
        <v>502.78</v>
      </c>
      <c r="Q24" s="110">
        <v>285.69</v>
      </c>
      <c r="R24" s="110">
        <v>386.68</v>
      </c>
      <c r="S24" s="110">
        <v>930.41</v>
      </c>
      <c r="T24" s="110">
        <v>643.8</v>
      </c>
      <c r="U24" s="110">
        <v>228.54</v>
      </c>
      <c r="V24" s="105">
        <f>SUM(Q24:U24)</f>
        <v>2475.12</v>
      </c>
      <c r="W24" s="84">
        <f t="shared" si="21"/>
        <v>4790.800000000001</v>
      </c>
      <c r="X24" s="84"/>
      <c r="Y24" s="14">
        <f t="shared" si="22"/>
        <v>314.52000000000004</v>
      </c>
      <c r="Z24" s="14">
        <f t="shared" si="23"/>
        <v>104.84000000000002</v>
      </c>
      <c r="AA24" s="14">
        <f t="shared" si="24"/>
        <v>524.2</v>
      </c>
      <c r="AB24" s="14">
        <v>0</v>
      </c>
      <c r="AC24" s="14">
        <f>0.98*B24</f>
        <v>513.716</v>
      </c>
      <c r="AD24" s="14">
        <v>0</v>
      </c>
      <c r="AE24" s="14">
        <f t="shared" si="25"/>
        <v>1179.45</v>
      </c>
      <c r="AF24" s="14">
        <v>0</v>
      </c>
      <c r="AG24" s="14">
        <v>0</v>
      </c>
      <c r="AH24" s="14">
        <f>AG24*0.18</f>
        <v>0</v>
      </c>
      <c r="AI24" s="86"/>
      <c r="AJ24" s="86"/>
      <c r="AK24" s="74">
        <v>1336.59</v>
      </c>
      <c r="AL24" s="74"/>
      <c r="AM24" s="74"/>
      <c r="AN24" s="111">
        <v>407</v>
      </c>
      <c r="AO24" s="96">
        <v>0.3</v>
      </c>
      <c r="AP24" s="14">
        <f t="shared" si="26"/>
        <v>170.93999999999997</v>
      </c>
      <c r="AQ24" s="90"/>
      <c r="AR24" s="90">
        <f t="shared" si="27"/>
        <v>0</v>
      </c>
      <c r="AS24" s="90">
        <f aca="true" t="shared" si="30" ref="AS24:AS34">SUM(Y24:AR24)-AN24-AO24</f>
        <v>4144.256</v>
      </c>
      <c r="AT24" s="93"/>
      <c r="AU24" s="12">
        <f t="shared" si="28"/>
        <v>646.5440000000008</v>
      </c>
      <c r="AV24" s="26">
        <f t="shared" si="29"/>
        <v>256.4699999999998</v>
      </c>
    </row>
    <row r="25" spans="1:48" ht="12.75" hidden="1">
      <c r="A25" s="9" t="s">
        <v>38</v>
      </c>
      <c r="B25" s="124">
        <v>524.2</v>
      </c>
      <c r="C25" s="106">
        <f t="shared" si="18"/>
        <v>4534.330000000001</v>
      </c>
      <c r="D25" s="107">
        <f>C25-E25-F25-G25-H25-I25-J25-K25-L25-M25-N25</f>
        <v>1812.9000000000008</v>
      </c>
      <c r="E25" s="82">
        <v>256.17</v>
      </c>
      <c r="F25" s="82">
        <v>58</v>
      </c>
      <c r="G25" s="82">
        <v>346.81</v>
      </c>
      <c r="H25" s="82">
        <v>78.64</v>
      </c>
      <c r="I25" s="82">
        <v>833.44</v>
      </c>
      <c r="J25" s="82">
        <v>188.87</v>
      </c>
      <c r="K25" s="82">
        <v>577.32</v>
      </c>
      <c r="L25" s="82">
        <v>130.85</v>
      </c>
      <c r="M25" s="82">
        <v>204.91</v>
      </c>
      <c r="N25" s="108">
        <v>46.42</v>
      </c>
      <c r="O25" s="71">
        <f t="shared" si="19"/>
        <v>2218.65</v>
      </c>
      <c r="P25" s="83">
        <f t="shared" si="20"/>
        <v>502.78</v>
      </c>
      <c r="Q25" s="110">
        <v>134.75</v>
      </c>
      <c r="R25" s="110">
        <v>182.43</v>
      </c>
      <c r="S25" s="110">
        <v>438.47</v>
      </c>
      <c r="T25" s="110">
        <v>303.65</v>
      </c>
      <c r="U25" s="110">
        <v>107.78</v>
      </c>
      <c r="V25" s="105">
        <f>SUM(Q25:U25)</f>
        <v>1167.0800000000002</v>
      </c>
      <c r="W25" s="84">
        <f t="shared" si="21"/>
        <v>3482.760000000001</v>
      </c>
      <c r="X25" s="84"/>
      <c r="Y25" s="14">
        <f t="shared" si="22"/>
        <v>314.52000000000004</v>
      </c>
      <c r="Z25" s="14">
        <f t="shared" si="23"/>
        <v>104.84000000000002</v>
      </c>
      <c r="AA25" s="14">
        <f t="shared" si="24"/>
        <v>524.2</v>
      </c>
      <c r="AB25" s="14">
        <v>0</v>
      </c>
      <c r="AC25" s="14">
        <f>0.98*B25</f>
        <v>513.716</v>
      </c>
      <c r="AD25" s="14">
        <v>0</v>
      </c>
      <c r="AE25" s="14">
        <f t="shared" si="25"/>
        <v>1179.45</v>
      </c>
      <c r="AF25" s="14">
        <v>0</v>
      </c>
      <c r="AG25" s="14"/>
      <c r="AH25" s="14"/>
      <c r="AI25" s="86"/>
      <c r="AJ25" s="86"/>
      <c r="AK25" s="74">
        <v>900</v>
      </c>
      <c r="AL25" s="74"/>
      <c r="AM25" s="74"/>
      <c r="AN25" s="111">
        <v>383</v>
      </c>
      <c r="AO25" s="96">
        <v>0.3</v>
      </c>
      <c r="AP25" s="14">
        <f t="shared" si="26"/>
        <v>160.85999999999999</v>
      </c>
      <c r="AQ25" s="90"/>
      <c r="AR25" s="90">
        <f t="shared" si="27"/>
        <v>0</v>
      </c>
      <c r="AS25" s="90">
        <f t="shared" si="30"/>
        <v>3697.5860000000007</v>
      </c>
      <c r="AT25" s="93"/>
      <c r="AU25" s="12">
        <f t="shared" si="28"/>
        <v>-214.82599999999957</v>
      </c>
      <c r="AV25" s="26">
        <f t="shared" si="29"/>
        <v>-1051.57</v>
      </c>
    </row>
    <row r="26" spans="1:48" ht="12.75" hidden="1">
      <c r="A26" s="9" t="s">
        <v>39</v>
      </c>
      <c r="B26" s="124">
        <v>524.2</v>
      </c>
      <c r="C26" s="106">
        <f t="shared" si="18"/>
        <v>4534.330000000001</v>
      </c>
      <c r="D26" s="107">
        <f>C26-E26-F26-G26-H26-I26-J26-K26-L26-M26-N26</f>
        <v>1812.9000000000008</v>
      </c>
      <c r="E26" s="82">
        <v>256.17</v>
      </c>
      <c r="F26" s="82">
        <v>58</v>
      </c>
      <c r="G26" s="82">
        <v>346.81</v>
      </c>
      <c r="H26" s="82">
        <v>78.64</v>
      </c>
      <c r="I26" s="82">
        <v>833.44</v>
      </c>
      <c r="J26" s="82">
        <v>188.87</v>
      </c>
      <c r="K26" s="82">
        <v>577.32</v>
      </c>
      <c r="L26" s="82">
        <v>130.85</v>
      </c>
      <c r="M26" s="82">
        <v>204.91</v>
      </c>
      <c r="N26" s="108">
        <v>46.42</v>
      </c>
      <c r="O26" s="71">
        <f t="shared" si="19"/>
        <v>2218.65</v>
      </c>
      <c r="P26" s="83">
        <f t="shared" si="20"/>
        <v>502.78</v>
      </c>
      <c r="Q26" s="110">
        <v>175.38</v>
      </c>
      <c r="R26" s="110">
        <v>237.37</v>
      </c>
      <c r="S26" s="110">
        <v>570.63</v>
      </c>
      <c r="T26" s="110">
        <v>395.23</v>
      </c>
      <c r="U26" s="110">
        <v>140.3</v>
      </c>
      <c r="V26" s="105">
        <f aca="true" t="shared" si="31" ref="V26:V34">SUM(Q26:U26)</f>
        <v>1518.91</v>
      </c>
      <c r="W26" s="84">
        <f t="shared" si="21"/>
        <v>3834.590000000001</v>
      </c>
      <c r="X26" s="84"/>
      <c r="Y26" s="14">
        <f t="shared" si="22"/>
        <v>314.52000000000004</v>
      </c>
      <c r="Z26" s="14">
        <f t="shared" si="23"/>
        <v>104.84000000000002</v>
      </c>
      <c r="AA26" s="14">
        <f t="shared" si="24"/>
        <v>524.2</v>
      </c>
      <c r="AB26" s="14">
        <v>0</v>
      </c>
      <c r="AC26" s="14">
        <f aca="true" t="shared" si="32" ref="AC26:AC34">(0.98*B26)</f>
        <v>513.716</v>
      </c>
      <c r="AD26" s="14">
        <v>0</v>
      </c>
      <c r="AE26" s="14">
        <f t="shared" si="25"/>
        <v>1179.45</v>
      </c>
      <c r="AF26" s="14">
        <v>0</v>
      </c>
      <c r="AG26" s="14"/>
      <c r="AH26" s="14"/>
      <c r="AI26" s="86"/>
      <c r="AJ26" s="86"/>
      <c r="AK26" s="74"/>
      <c r="AL26" s="74"/>
      <c r="AM26" s="74"/>
      <c r="AN26" s="111">
        <v>307</v>
      </c>
      <c r="AO26" s="96">
        <v>0.3</v>
      </c>
      <c r="AP26" s="14">
        <f t="shared" si="26"/>
        <v>128.94</v>
      </c>
      <c r="AQ26" s="90"/>
      <c r="AR26" s="90">
        <f t="shared" si="27"/>
        <v>0</v>
      </c>
      <c r="AS26" s="90">
        <f t="shared" si="30"/>
        <v>2765.6660000000006</v>
      </c>
      <c r="AT26" s="93"/>
      <c r="AU26" s="12">
        <f t="shared" si="28"/>
        <v>1068.9240000000004</v>
      </c>
      <c r="AV26" s="26">
        <f t="shared" si="29"/>
        <v>-699.74</v>
      </c>
    </row>
    <row r="27" spans="1:48" ht="12.75" hidden="1">
      <c r="A27" s="9" t="s">
        <v>40</v>
      </c>
      <c r="B27" s="105">
        <v>524.2</v>
      </c>
      <c r="C27" s="106">
        <f t="shared" si="18"/>
        <v>4534.330000000001</v>
      </c>
      <c r="D27" s="107">
        <f>C27-E27-F27-G27-H27-I27-J27-K27-L27-M27-N27</f>
        <v>1812.9000000000008</v>
      </c>
      <c r="E27" s="82">
        <v>256.17</v>
      </c>
      <c r="F27" s="82">
        <v>58</v>
      </c>
      <c r="G27" s="82">
        <v>346.81</v>
      </c>
      <c r="H27" s="82">
        <v>78.64</v>
      </c>
      <c r="I27" s="82">
        <v>833.44</v>
      </c>
      <c r="J27" s="82">
        <v>188.87</v>
      </c>
      <c r="K27" s="82">
        <v>577.32</v>
      </c>
      <c r="L27" s="82">
        <v>130.85</v>
      </c>
      <c r="M27" s="82">
        <v>204.91</v>
      </c>
      <c r="N27" s="108">
        <v>46.42</v>
      </c>
      <c r="O27" s="71">
        <f t="shared" si="19"/>
        <v>2218.65</v>
      </c>
      <c r="P27" s="83">
        <f t="shared" si="20"/>
        <v>502.78</v>
      </c>
      <c r="Q27" s="110">
        <v>254.32</v>
      </c>
      <c r="R27" s="110">
        <v>344.25</v>
      </c>
      <c r="S27" s="110">
        <v>827.37</v>
      </c>
      <c r="T27" s="110">
        <v>573.07</v>
      </c>
      <c r="U27" s="110">
        <v>203.43</v>
      </c>
      <c r="V27" s="105">
        <f t="shared" si="31"/>
        <v>2202.44</v>
      </c>
      <c r="W27" s="84">
        <f t="shared" si="21"/>
        <v>4518.120000000001</v>
      </c>
      <c r="X27" s="84"/>
      <c r="Y27" s="14">
        <f t="shared" si="22"/>
        <v>314.52000000000004</v>
      </c>
      <c r="Z27" s="14">
        <f t="shared" si="23"/>
        <v>104.84000000000002</v>
      </c>
      <c r="AA27" s="14">
        <f t="shared" si="24"/>
        <v>524.2</v>
      </c>
      <c r="AB27" s="14">
        <v>0</v>
      </c>
      <c r="AC27" s="14">
        <f t="shared" si="32"/>
        <v>513.716</v>
      </c>
      <c r="AD27" s="14">
        <v>0</v>
      </c>
      <c r="AE27" s="14">
        <f t="shared" si="25"/>
        <v>1179.45</v>
      </c>
      <c r="AF27" s="14">
        <v>0</v>
      </c>
      <c r="AG27" s="14"/>
      <c r="AH27" s="14"/>
      <c r="AI27" s="86"/>
      <c r="AJ27" s="86"/>
      <c r="AK27" s="74"/>
      <c r="AL27" s="74"/>
      <c r="AM27" s="74"/>
      <c r="AN27" s="111">
        <v>263</v>
      </c>
      <c r="AO27" s="96">
        <v>0.3</v>
      </c>
      <c r="AP27" s="14">
        <f t="shared" si="26"/>
        <v>110.45999999999998</v>
      </c>
      <c r="AQ27" s="90"/>
      <c r="AR27" s="90">
        <f t="shared" si="27"/>
        <v>0</v>
      </c>
      <c r="AS27" s="90">
        <f t="shared" si="30"/>
        <v>2747.1860000000006</v>
      </c>
      <c r="AT27" s="93"/>
      <c r="AU27" s="12">
        <f t="shared" si="28"/>
        <v>1770.9340000000002</v>
      </c>
      <c r="AV27" s="26">
        <f t="shared" si="29"/>
        <v>-16.210000000000036</v>
      </c>
    </row>
    <row r="28" spans="1:48" ht="12.75" hidden="1">
      <c r="A28" s="9" t="s">
        <v>41</v>
      </c>
      <c r="B28" s="105">
        <v>524.5</v>
      </c>
      <c r="C28" s="106">
        <f t="shared" si="18"/>
        <v>4536.925</v>
      </c>
      <c r="D28" s="107">
        <f>(C28-E28-F28-G28-H28-I28-J28-K28-L28-M28-N28)*0.80125+0.01</f>
        <v>1453.3933687500003</v>
      </c>
      <c r="E28" s="82">
        <v>256.3</v>
      </c>
      <c r="F28" s="82">
        <v>58.05</v>
      </c>
      <c r="G28" s="82">
        <v>347</v>
      </c>
      <c r="H28" s="82">
        <v>78.7</v>
      </c>
      <c r="I28" s="82">
        <v>833.9</v>
      </c>
      <c r="J28" s="82">
        <v>189.01</v>
      </c>
      <c r="K28" s="82">
        <v>577.64</v>
      </c>
      <c r="L28" s="82">
        <v>130.95</v>
      </c>
      <c r="M28" s="82">
        <v>205.02</v>
      </c>
      <c r="N28" s="108">
        <v>46.46</v>
      </c>
      <c r="O28" s="71">
        <f t="shared" si="19"/>
        <v>2219.8599999999997</v>
      </c>
      <c r="P28" s="83">
        <f t="shared" si="20"/>
        <v>503.16999999999996</v>
      </c>
      <c r="Q28" s="110">
        <v>280.53</v>
      </c>
      <c r="R28" s="110">
        <v>379.79</v>
      </c>
      <c r="S28" s="110">
        <v>912.77</v>
      </c>
      <c r="T28" s="110">
        <v>632.24</v>
      </c>
      <c r="U28" s="110">
        <v>224.39</v>
      </c>
      <c r="V28" s="105">
        <f t="shared" si="31"/>
        <v>2429.72</v>
      </c>
      <c r="W28" s="84">
        <f t="shared" si="21"/>
        <v>4386.283368750001</v>
      </c>
      <c r="X28" s="84"/>
      <c r="Y28" s="14">
        <f t="shared" si="22"/>
        <v>314.7</v>
      </c>
      <c r="Z28" s="14">
        <f t="shared" si="23"/>
        <v>104.9</v>
      </c>
      <c r="AA28" s="14">
        <f t="shared" si="24"/>
        <v>524.5</v>
      </c>
      <c r="AB28" s="14">
        <v>0</v>
      </c>
      <c r="AC28" s="14">
        <f t="shared" si="32"/>
        <v>514.01</v>
      </c>
      <c r="AD28" s="14">
        <v>0</v>
      </c>
      <c r="AE28" s="14">
        <f t="shared" si="25"/>
        <v>1180.125</v>
      </c>
      <c r="AF28" s="14">
        <v>0</v>
      </c>
      <c r="AG28" s="14"/>
      <c r="AH28" s="14"/>
      <c r="AI28" s="86"/>
      <c r="AJ28" s="86"/>
      <c r="AK28" s="74"/>
      <c r="AL28" s="74"/>
      <c r="AM28" s="74"/>
      <c r="AN28" s="111">
        <v>233</v>
      </c>
      <c r="AO28" s="96">
        <v>0.3</v>
      </c>
      <c r="AP28" s="14">
        <f t="shared" si="26"/>
        <v>97.85999999999999</v>
      </c>
      <c r="AQ28" s="90"/>
      <c r="AR28" s="90">
        <f t="shared" si="27"/>
        <v>0</v>
      </c>
      <c r="AS28" s="90">
        <f t="shared" si="30"/>
        <v>2736.0950000000003</v>
      </c>
      <c r="AT28" s="93"/>
      <c r="AU28" s="12">
        <f t="shared" si="28"/>
        <v>1650.1883687500003</v>
      </c>
      <c r="AV28" s="26">
        <f t="shared" si="29"/>
        <v>209.86000000000013</v>
      </c>
    </row>
    <row r="29" spans="1:48" ht="12.75" hidden="1">
      <c r="A29" s="9" t="s">
        <v>42</v>
      </c>
      <c r="B29" s="129">
        <v>524.5</v>
      </c>
      <c r="C29" s="106">
        <f t="shared" si="18"/>
        <v>4536.925</v>
      </c>
      <c r="D29" s="107">
        <f>(C29-E29-F29-G29-H29-I29-J29-K29-L29-M29-N29)*0.805915</f>
        <v>1457.356242375</v>
      </c>
      <c r="E29" s="82">
        <v>315.01</v>
      </c>
      <c r="F29" s="82">
        <v>0</v>
      </c>
      <c r="G29" s="82">
        <v>426.55</v>
      </c>
      <c r="H29" s="82">
        <v>0</v>
      </c>
      <c r="I29" s="82">
        <v>1025.01</v>
      </c>
      <c r="J29" s="82">
        <v>0</v>
      </c>
      <c r="K29" s="82">
        <v>710.03</v>
      </c>
      <c r="L29" s="82">
        <v>0</v>
      </c>
      <c r="M29" s="82">
        <v>252</v>
      </c>
      <c r="N29" s="108">
        <v>0</v>
      </c>
      <c r="O29" s="71">
        <f t="shared" si="19"/>
        <v>2728.6</v>
      </c>
      <c r="P29" s="83">
        <f t="shared" si="20"/>
        <v>0</v>
      </c>
      <c r="Q29" s="110">
        <v>55.41</v>
      </c>
      <c r="R29" s="110">
        <v>74.98</v>
      </c>
      <c r="S29" s="110">
        <v>180.23</v>
      </c>
      <c r="T29" s="110">
        <v>124.84</v>
      </c>
      <c r="U29" s="110">
        <v>44.31</v>
      </c>
      <c r="V29" s="105">
        <f t="shared" si="31"/>
        <v>479.77000000000004</v>
      </c>
      <c r="W29" s="84">
        <f t="shared" si="21"/>
        <v>1937.126242375</v>
      </c>
      <c r="X29" s="84"/>
      <c r="Y29" s="14">
        <f t="shared" si="22"/>
        <v>314.7</v>
      </c>
      <c r="Z29" s="14">
        <f t="shared" si="23"/>
        <v>104.9</v>
      </c>
      <c r="AA29" s="14">
        <f t="shared" si="24"/>
        <v>524.5</v>
      </c>
      <c r="AB29" s="14">
        <v>0</v>
      </c>
      <c r="AC29" s="14">
        <f t="shared" si="32"/>
        <v>514.01</v>
      </c>
      <c r="AD29" s="14">
        <v>0</v>
      </c>
      <c r="AE29" s="14">
        <f t="shared" si="25"/>
        <v>1180.125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248</v>
      </c>
      <c r="AO29" s="96">
        <v>0.3</v>
      </c>
      <c r="AP29" s="14">
        <f t="shared" si="26"/>
        <v>104.15999999999998</v>
      </c>
      <c r="AQ29" s="90"/>
      <c r="AR29" s="90">
        <f t="shared" si="27"/>
        <v>0</v>
      </c>
      <c r="AS29" s="90">
        <f t="shared" si="30"/>
        <v>2742.395</v>
      </c>
      <c r="AT29" s="93"/>
      <c r="AU29" s="12">
        <f t="shared" si="28"/>
        <v>-805.268757625</v>
      </c>
      <c r="AV29" s="26">
        <f t="shared" si="29"/>
        <v>-2248.83</v>
      </c>
    </row>
    <row r="30" spans="1:48" ht="12.75" hidden="1">
      <c r="A30" s="9" t="s">
        <v>43</v>
      </c>
      <c r="B30" s="105">
        <v>524.5</v>
      </c>
      <c r="C30" s="106">
        <f t="shared" si="18"/>
        <v>4536.925</v>
      </c>
      <c r="D30" s="107">
        <f>(C30-E30-F30-G30-H30-I30-J30-K30-L30-M30-N30)*0.857717</f>
        <v>1551.0310940249997</v>
      </c>
      <c r="E30" s="82">
        <v>315.01</v>
      </c>
      <c r="F30" s="82">
        <v>0</v>
      </c>
      <c r="G30" s="82">
        <v>426.55</v>
      </c>
      <c r="H30" s="82">
        <v>0</v>
      </c>
      <c r="I30" s="82">
        <v>1025.01</v>
      </c>
      <c r="J30" s="82">
        <v>0</v>
      </c>
      <c r="K30" s="82">
        <v>710.03</v>
      </c>
      <c r="L30" s="82">
        <v>0</v>
      </c>
      <c r="M30" s="82">
        <v>252</v>
      </c>
      <c r="N30" s="108">
        <v>0</v>
      </c>
      <c r="O30" s="71">
        <f t="shared" si="19"/>
        <v>2728.6</v>
      </c>
      <c r="P30" s="83">
        <f t="shared" si="20"/>
        <v>0</v>
      </c>
      <c r="Q30" s="110">
        <v>189.09</v>
      </c>
      <c r="R30" s="110">
        <v>256.14</v>
      </c>
      <c r="S30" s="110">
        <v>615.4</v>
      </c>
      <c r="T30" s="110">
        <v>426.29</v>
      </c>
      <c r="U30" s="110">
        <v>151.27</v>
      </c>
      <c r="V30" s="105">
        <f t="shared" si="31"/>
        <v>1638.19</v>
      </c>
      <c r="W30" s="84">
        <f t="shared" si="21"/>
        <v>3189.2210940249997</v>
      </c>
      <c r="X30" s="84"/>
      <c r="Y30" s="14">
        <f t="shared" si="22"/>
        <v>314.7</v>
      </c>
      <c r="Z30" s="14">
        <f t="shared" si="23"/>
        <v>104.9</v>
      </c>
      <c r="AA30" s="14">
        <f t="shared" si="24"/>
        <v>524.5</v>
      </c>
      <c r="AB30" s="14">
        <v>0</v>
      </c>
      <c r="AC30" s="14">
        <f t="shared" si="32"/>
        <v>514.01</v>
      </c>
      <c r="AD30" s="14">
        <v>0</v>
      </c>
      <c r="AE30" s="14">
        <f t="shared" si="25"/>
        <v>1180.125</v>
      </c>
      <c r="AF30" s="14">
        <v>0</v>
      </c>
      <c r="AG30" s="14"/>
      <c r="AH30" s="14"/>
      <c r="AI30" s="86"/>
      <c r="AJ30" s="86"/>
      <c r="AK30" s="74"/>
      <c r="AL30" s="74">
        <f>47.8</f>
        <v>47.8</v>
      </c>
      <c r="AM30" s="74"/>
      <c r="AN30" s="111">
        <v>293</v>
      </c>
      <c r="AO30" s="96">
        <v>0.3</v>
      </c>
      <c r="AP30" s="14">
        <f t="shared" si="26"/>
        <v>123.05999999999997</v>
      </c>
      <c r="AQ30" s="90"/>
      <c r="AR30" s="90">
        <f t="shared" si="27"/>
        <v>0</v>
      </c>
      <c r="AS30" s="90">
        <f t="shared" si="30"/>
        <v>2809.0950000000003</v>
      </c>
      <c r="AT30" s="93"/>
      <c r="AU30" s="12">
        <f t="shared" si="28"/>
        <v>380.1260940249995</v>
      </c>
      <c r="AV30" s="26">
        <f t="shared" si="29"/>
        <v>-1090.4099999999999</v>
      </c>
    </row>
    <row r="31" spans="1:48" ht="12.75" hidden="1">
      <c r="A31" s="9" t="s">
        <v>44</v>
      </c>
      <c r="B31" s="105">
        <v>524.5</v>
      </c>
      <c r="C31" s="106">
        <f t="shared" si="18"/>
        <v>4536.925</v>
      </c>
      <c r="D31" s="107">
        <f>(C31-E31-F31-G31-H31-I31-J31-K31-L31-M31-N31)*0.87553</f>
        <v>1583.24278725</v>
      </c>
      <c r="E31" s="82">
        <v>315.01</v>
      </c>
      <c r="F31" s="82">
        <v>0</v>
      </c>
      <c r="G31" s="82">
        <v>426.55</v>
      </c>
      <c r="H31" s="82">
        <v>0</v>
      </c>
      <c r="I31" s="82">
        <v>1025.01</v>
      </c>
      <c r="J31" s="82">
        <v>0</v>
      </c>
      <c r="K31" s="82">
        <v>710.03</v>
      </c>
      <c r="L31" s="82">
        <v>0</v>
      </c>
      <c r="M31" s="82">
        <v>252</v>
      </c>
      <c r="N31" s="108">
        <v>0</v>
      </c>
      <c r="O31" s="71">
        <f t="shared" si="19"/>
        <v>2728.6</v>
      </c>
      <c r="P31" s="83">
        <f t="shared" si="20"/>
        <v>0</v>
      </c>
      <c r="Q31" s="110">
        <v>202.58</v>
      </c>
      <c r="R31" s="110">
        <v>274.31</v>
      </c>
      <c r="S31" s="110">
        <v>659.14</v>
      </c>
      <c r="T31" s="110">
        <v>456.59</v>
      </c>
      <c r="U31" s="110">
        <v>162.05</v>
      </c>
      <c r="V31" s="105">
        <f t="shared" si="31"/>
        <v>1754.6699999999998</v>
      </c>
      <c r="W31" s="84">
        <f t="shared" si="21"/>
        <v>3337.91278725</v>
      </c>
      <c r="X31" s="84"/>
      <c r="Y31" s="14">
        <f t="shared" si="22"/>
        <v>314.7</v>
      </c>
      <c r="Z31" s="14">
        <f t="shared" si="23"/>
        <v>104.9</v>
      </c>
      <c r="AA31" s="14">
        <f t="shared" si="24"/>
        <v>524.5</v>
      </c>
      <c r="AB31" s="14">
        <v>0</v>
      </c>
      <c r="AC31" s="14">
        <f t="shared" si="32"/>
        <v>514.01</v>
      </c>
      <c r="AD31" s="14">
        <v>0</v>
      </c>
      <c r="AE31" s="14">
        <f t="shared" si="25"/>
        <v>1180.125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349</v>
      </c>
      <c r="AO31" s="96">
        <v>0.3</v>
      </c>
      <c r="AP31" s="14">
        <f t="shared" si="26"/>
        <v>146.57999999999998</v>
      </c>
      <c r="AQ31" s="90"/>
      <c r="AR31" s="90">
        <f t="shared" si="27"/>
        <v>0</v>
      </c>
      <c r="AS31" s="90">
        <f t="shared" si="30"/>
        <v>2784.815</v>
      </c>
      <c r="AT31" s="93"/>
      <c r="AU31" s="12">
        <f t="shared" si="28"/>
        <v>553.0977872499998</v>
      </c>
      <c r="AV31" s="26">
        <f t="shared" si="29"/>
        <v>-973.9300000000001</v>
      </c>
    </row>
    <row r="32" spans="1:48" ht="12.75" hidden="1">
      <c r="A32" s="9" t="s">
        <v>34</v>
      </c>
      <c r="B32" s="105">
        <v>524.5</v>
      </c>
      <c r="C32" s="106">
        <f t="shared" si="18"/>
        <v>4536.925</v>
      </c>
      <c r="D32" s="107">
        <f>(C32-E32-F32-G32-H32-I32-J32-K32-L32-M32-N32)*0.811308</f>
        <v>1467.1085391</v>
      </c>
      <c r="E32" s="82">
        <v>315.01</v>
      </c>
      <c r="F32" s="82">
        <v>0</v>
      </c>
      <c r="G32" s="82">
        <v>426.55</v>
      </c>
      <c r="H32" s="82">
        <v>0</v>
      </c>
      <c r="I32" s="82">
        <v>1025.01</v>
      </c>
      <c r="J32" s="82">
        <v>0</v>
      </c>
      <c r="K32" s="82">
        <v>710.03</v>
      </c>
      <c r="L32" s="82">
        <v>0</v>
      </c>
      <c r="M32" s="82">
        <v>252</v>
      </c>
      <c r="N32" s="108">
        <v>0</v>
      </c>
      <c r="O32" s="71">
        <f t="shared" si="19"/>
        <v>2728.6</v>
      </c>
      <c r="P32" s="83">
        <f t="shared" si="20"/>
        <v>0</v>
      </c>
      <c r="Q32" s="110">
        <v>308.44</v>
      </c>
      <c r="R32" s="110">
        <v>417.54</v>
      </c>
      <c r="S32" s="110">
        <v>1003.53</v>
      </c>
      <c r="T32" s="110">
        <v>695.1</v>
      </c>
      <c r="U32" s="110">
        <v>246.73</v>
      </c>
      <c r="V32" s="105">
        <f t="shared" si="31"/>
        <v>2671.34</v>
      </c>
      <c r="W32" s="84">
        <f t="shared" si="21"/>
        <v>4138.4485391</v>
      </c>
      <c r="X32" s="84"/>
      <c r="Y32" s="14">
        <f t="shared" si="22"/>
        <v>314.7</v>
      </c>
      <c r="Z32" s="14">
        <f t="shared" si="23"/>
        <v>104.9</v>
      </c>
      <c r="AA32" s="14">
        <f t="shared" si="24"/>
        <v>524.5</v>
      </c>
      <c r="AB32" s="14">
        <v>0</v>
      </c>
      <c r="AC32" s="14">
        <f t="shared" si="32"/>
        <v>514.01</v>
      </c>
      <c r="AD32" s="14">
        <v>0</v>
      </c>
      <c r="AE32" s="14">
        <f t="shared" si="25"/>
        <v>1180.125</v>
      </c>
      <c r="AF32" s="14">
        <v>0</v>
      </c>
      <c r="AG32" s="14"/>
      <c r="AH32" s="14"/>
      <c r="AI32" s="86"/>
      <c r="AJ32" s="86"/>
      <c r="AK32" s="74"/>
      <c r="AL32" s="74"/>
      <c r="AM32" s="74"/>
      <c r="AN32" s="111">
        <v>425</v>
      </c>
      <c r="AO32" s="96">
        <v>0.3</v>
      </c>
      <c r="AP32" s="14">
        <f t="shared" si="26"/>
        <v>178.5</v>
      </c>
      <c r="AQ32" s="90"/>
      <c r="AR32" s="90">
        <f t="shared" si="27"/>
        <v>0</v>
      </c>
      <c r="AS32" s="90">
        <f t="shared" si="30"/>
        <v>2816.735</v>
      </c>
      <c r="AT32" s="93"/>
      <c r="AU32" s="12">
        <f t="shared" si="28"/>
        <v>1321.7135390999997</v>
      </c>
      <c r="AV32" s="26">
        <f t="shared" si="29"/>
        <v>-57.25999999999976</v>
      </c>
    </row>
    <row r="33" spans="1:48" ht="12.75" hidden="1">
      <c r="A33" s="9" t="s">
        <v>35</v>
      </c>
      <c r="B33" s="105">
        <v>524.5</v>
      </c>
      <c r="C33" s="106">
        <f t="shared" si="18"/>
        <v>4536.925</v>
      </c>
      <c r="D33" s="107">
        <f>(C33-E33-F33-G33-H33-I33-J33-K33-L33-M33-N33)*0.870679</f>
        <v>1574.4706026749998</v>
      </c>
      <c r="E33" s="82">
        <v>315.01</v>
      </c>
      <c r="F33" s="82">
        <v>0</v>
      </c>
      <c r="G33" s="82">
        <v>426.55</v>
      </c>
      <c r="H33" s="82">
        <v>0</v>
      </c>
      <c r="I33" s="82">
        <v>1025.01</v>
      </c>
      <c r="J33" s="82">
        <v>0</v>
      </c>
      <c r="K33" s="82">
        <v>710.03</v>
      </c>
      <c r="L33" s="82">
        <v>0</v>
      </c>
      <c r="M33" s="82">
        <v>252</v>
      </c>
      <c r="N33" s="108">
        <v>0</v>
      </c>
      <c r="O33" s="71">
        <f t="shared" si="19"/>
        <v>2728.6</v>
      </c>
      <c r="P33" s="83">
        <f t="shared" si="20"/>
        <v>0</v>
      </c>
      <c r="Q33" s="110">
        <v>333.5</v>
      </c>
      <c r="R33" s="110">
        <v>451.47</v>
      </c>
      <c r="S33" s="110">
        <v>1085.1</v>
      </c>
      <c r="T33" s="110">
        <v>751.61</v>
      </c>
      <c r="U33" s="110">
        <v>266.78</v>
      </c>
      <c r="V33" s="105">
        <f t="shared" si="31"/>
        <v>2888.46</v>
      </c>
      <c r="W33" s="84">
        <f t="shared" si="21"/>
        <v>4462.930602675</v>
      </c>
      <c r="X33" s="84"/>
      <c r="Y33" s="14">
        <f t="shared" si="22"/>
        <v>314.7</v>
      </c>
      <c r="Z33" s="14">
        <f t="shared" si="23"/>
        <v>104.9</v>
      </c>
      <c r="AA33" s="14">
        <f t="shared" si="24"/>
        <v>524.5</v>
      </c>
      <c r="AB33" s="14">
        <v>0</v>
      </c>
      <c r="AC33" s="14">
        <f t="shared" si="32"/>
        <v>514.01</v>
      </c>
      <c r="AD33" s="14">
        <v>0</v>
      </c>
      <c r="AE33" s="14">
        <f t="shared" si="25"/>
        <v>1180.125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470</v>
      </c>
      <c r="AO33" s="96">
        <v>0.3</v>
      </c>
      <c r="AP33" s="14">
        <f t="shared" si="26"/>
        <v>197.39999999999998</v>
      </c>
      <c r="AQ33" s="90"/>
      <c r="AR33" s="90">
        <f t="shared" si="27"/>
        <v>0</v>
      </c>
      <c r="AS33" s="90">
        <f t="shared" si="30"/>
        <v>2835.635</v>
      </c>
      <c r="AT33" s="93"/>
      <c r="AU33" s="12">
        <f t="shared" si="28"/>
        <v>1627.2956026749998</v>
      </c>
      <c r="AV33" s="26">
        <f t="shared" si="29"/>
        <v>159.86000000000013</v>
      </c>
    </row>
    <row r="34" spans="1:48" ht="12.75" hidden="1">
      <c r="A34" s="9" t="s">
        <v>36</v>
      </c>
      <c r="B34" s="105">
        <v>524.5</v>
      </c>
      <c r="C34" s="106">
        <f t="shared" si="18"/>
        <v>4536.925</v>
      </c>
      <c r="D34" s="107">
        <f>(C34-E34-F34-G34-H34-I34-J34-K34-L34-M34-N34)*0.91496</f>
        <v>1654.5541916</v>
      </c>
      <c r="E34" s="82">
        <v>315</v>
      </c>
      <c r="F34" s="82">
        <v>0</v>
      </c>
      <c r="G34" s="82">
        <v>426.55</v>
      </c>
      <c r="H34" s="82">
        <v>0</v>
      </c>
      <c r="I34" s="82">
        <v>1025.01</v>
      </c>
      <c r="J34" s="82">
        <v>0</v>
      </c>
      <c r="K34" s="82">
        <v>710.03</v>
      </c>
      <c r="L34" s="82">
        <v>0</v>
      </c>
      <c r="M34" s="82">
        <v>252</v>
      </c>
      <c r="N34" s="108">
        <v>0</v>
      </c>
      <c r="O34" s="71">
        <f t="shared" si="19"/>
        <v>2728.59</v>
      </c>
      <c r="P34" s="83">
        <f t="shared" si="20"/>
        <v>0</v>
      </c>
      <c r="Q34" s="110">
        <v>161.49</v>
      </c>
      <c r="R34" s="110">
        <v>218.53</v>
      </c>
      <c r="S34" s="110">
        <v>525.36</v>
      </c>
      <c r="T34" s="110">
        <v>363.86</v>
      </c>
      <c r="U34" s="110">
        <v>129.19</v>
      </c>
      <c r="V34" s="105">
        <f t="shared" si="31"/>
        <v>1398.43</v>
      </c>
      <c r="W34" s="84">
        <f t="shared" si="21"/>
        <v>3052.9841916</v>
      </c>
      <c r="X34" s="84"/>
      <c r="Y34" s="14">
        <f t="shared" si="22"/>
        <v>314.7</v>
      </c>
      <c r="Z34" s="14">
        <f t="shared" si="23"/>
        <v>104.9</v>
      </c>
      <c r="AA34" s="14">
        <f t="shared" si="24"/>
        <v>524.5</v>
      </c>
      <c r="AB34" s="14">
        <v>0</v>
      </c>
      <c r="AC34" s="14">
        <f t="shared" si="32"/>
        <v>514.01</v>
      </c>
      <c r="AD34" s="14">
        <v>0</v>
      </c>
      <c r="AE34" s="14">
        <f t="shared" si="25"/>
        <v>1180.125</v>
      </c>
      <c r="AF34" s="14">
        <v>0</v>
      </c>
      <c r="AG34" s="14"/>
      <c r="AH34" s="14"/>
      <c r="AI34" s="86"/>
      <c r="AJ34" s="86"/>
      <c r="AK34" s="74">
        <v>13620</v>
      </c>
      <c r="AL34" s="74"/>
      <c r="AM34" s="74"/>
      <c r="AN34" s="111">
        <v>514</v>
      </c>
      <c r="AO34" s="96">
        <v>0.3</v>
      </c>
      <c r="AP34" s="14">
        <f t="shared" si="26"/>
        <v>215.87999999999997</v>
      </c>
      <c r="AQ34" s="90"/>
      <c r="AR34" s="90">
        <f t="shared" si="27"/>
        <v>0</v>
      </c>
      <c r="AS34" s="90">
        <f t="shared" si="30"/>
        <v>16474.115</v>
      </c>
      <c r="AT34" s="93"/>
      <c r="AU34" s="12">
        <f t="shared" si="28"/>
        <v>-13421.130808400001</v>
      </c>
      <c r="AV34" s="26">
        <f t="shared" si="29"/>
        <v>-1330.16</v>
      </c>
    </row>
    <row r="35" spans="1:48" s="18" customFormat="1" ht="12.75" hidden="1">
      <c r="A35" s="15" t="s">
        <v>5</v>
      </c>
      <c r="B35" s="51"/>
      <c r="C35" s="17">
        <f aca="true" t="shared" si="33" ref="C35:AU35">SUM(C23:C34)</f>
        <v>54430.125000000015</v>
      </c>
      <c r="D35" s="17">
        <f t="shared" si="33"/>
        <v>19805.656825775004</v>
      </c>
      <c r="E35" s="17">
        <f t="shared" si="33"/>
        <v>3427.2000000000007</v>
      </c>
      <c r="F35" s="17">
        <f t="shared" si="33"/>
        <v>348.05</v>
      </c>
      <c r="G35" s="17">
        <f t="shared" si="33"/>
        <v>4640.350000000001</v>
      </c>
      <c r="H35" s="17">
        <f t="shared" si="33"/>
        <v>471.9</v>
      </c>
      <c r="I35" s="17">
        <f t="shared" si="33"/>
        <v>11151.160000000002</v>
      </c>
      <c r="J35" s="17">
        <f t="shared" si="33"/>
        <v>1133.3600000000001</v>
      </c>
      <c r="K35" s="17">
        <f t="shared" si="33"/>
        <v>7724.419999999999</v>
      </c>
      <c r="L35" s="17">
        <f t="shared" si="33"/>
        <v>785.2</v>
      </c>
      <c r="M35" s="17">
        <f t="shared" si="33"/>
        <v>2741.5699999999997</v>
      </c>
      <c r="N35" s="17">
        <f t="shared" si="33"/>
        <v>278.56</v>
      </c>
      <c r="O35" s="17">
        <f t="shared" si="33"/>
        <v>29684.699999999997</v>
      </c>
      <c r="P35" s="17">
        <f t="shared" si="33"/>
        <v>3017.0699999999997</v>
      </c>
      <c r="Q35" s="17">
        <f t="shared" si="33"/>
        <v>2542.9799999999996</v>
      </c>
      <c r="R35" s="17">
        <f t="shared" si="33"/>
        <v>3442.5800000000004</v>
      </c>
      <c r="S35" s="17">
        <f t="shared" si="33"/>
        <v>8275.98</v>
      </c>
      <c r="T35" s="17">
        <f t="shared" si="33"/>
        <v>5730.9400000000005</v>
      </c>
      <c r="U35" s="17">
        <f t="shared" si="33"/>
        <v>2034.1599999999999</v>
      </c>
      <c r="V35" s="17">
        <f t="shared" si="33"/>
        <v>22026.64</v>
      </c>
      <c r="W35" s="17">
        <f t="shared" si="33"/>
        <v>44849.36682577501</v>
      </c>
      <c r="X35" s="17">
        <f t="shared" si="33"/>
        <v>0</v>
      </c>
      <c r="Y35" s="17">
        <f t="shared" si="33"/>
        <v>3775.499999999999</v>
      </c>
      <c r="Z35" s="17">
        <f t="shared" si="33"/>
        <v>1258.5000000000002</v>
      </c>
      <c r="AA35" s="17">
        <f t="shared" si="33"/>
        <v>6292.5</v>
      </c>
      <c r="AB35" s="17">
        <f t="shared" si="33"/>
        <v>0</v>
      </c>
      <c r="AC35" s="17">
        <f t="shared" si="33"/>
        <v>6166.6500000000015</v>
      </c>
      <c r="AD35" s="17">
        <f t="shared" si="33"/>
        <v>0</v>
      </c>
      <c r="AE35" s="17">
        <f t="shared" si="33"/>
        <v>14158.125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15856.59</v>
      </c>
      <c r="AL35" s="17">
        <f t="shared" si="33"/>
        <v>47.8</v>
      </c>
      <c r="AM35" s="17">
        <f t="shared" si="33"/>
        <v>0</v>
      </c>
      <c r="AN35" s="17">
        <f t="shared" si="33"/>
        <v>4400</v>
      </c>
      <c r="AO35" s="17">
        <f t="shared" si="33"/>
        <v>3.599999999999999</v>
      </c>
      <c r="AP35" s="17">
        <f t="shared" si="33"/>
        <v>1847.9999999999998</v>
      </c>
      <c r="AQ35" s="17">
        <f t="shared" si="33"/>
        <v>0</v>
      </c>
      <c r="AR35" s="17">
        <f t="shared" si="33"/>
        <v>0</v>
      </c>
      <c r="AS35" s="17">
        <f t="shared" si="33"/>
        <v>49403.66500000001</v>
      </c>
      <c r="AT35" s="17">
        <f t="shared" si="33"/>
        <v>0</v>
      </c>
      <c r="AU35" s="17">
        <f t="shared" si="33"/>
        <v>-4554.2981742249995</v>
      </c>
      <c r="AV35" s="17">
        <f>SUM(AV23:AV34)</f>
        <v>-7658.0599999999995</v>
      </c>
    </row>
    <row r="36" spans="1:48" ht="12.75">
      <c r="A36" s="9"/>
      <c r="B36" s="10"/>
      <c r="C36" s="11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4"/>
      <c r="R36" s="44"/>
      <c r="S36" s="44"/>
      <c r="T36" s="44"/>
      <c r="U36" s="44"/>
      <c r="V36" s="44"/>
      <c r="W36" s="78"/>
      <c r="X36" s="79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3"/>
      <c r="AL36" s="73"/>
      <c r="AM36" s="74"/>
      <c r="AN36" s="74"/>
      <c r="AO36" s="74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>C35+C21</f>
        <v>99773.42500000002</v>
      </c>
      <c r="D37" s="21">
        <f aca="true" t="shared" si="34" ref="D37:AV37">D35+D21</f>
        <v>35448.43932577501</v>
      </c>
      <c r="E37" s="21">
        <f t="shared" si="34"/>
        <v>5947.630000000001</v>
      </c>
      <c r="F37" s="21">
        <f t="shared" si="34"/>
        <v>927.06</v>
      </c>
      <c r="G37" s="21">
        <f t="shared" si="34"/>
        <v>8050.800000000001</v>
      </c>
      <c r="H37" s="21">
        <f t="shared" si="34"/>
        <v>1256.27</v>
      </c>
      <c r="I37" s="21">
        <f t="shared" si="34"/>
        <v>19349.570000000003</v>
      </c>
      <c r="J37" s="21">
        <f t="shared" si="34"/>
        <v>3018.0899999999997</v>
      </c>
      <c r="K37" s="21">
        <f t="shared" si="34"/>
        <v>13396.829999999998</v>
      </c>
      <c r="L37" s="21">
        <f t="shared" si="34"/>
        <v>2090.77</v>
      </c>
      <c r="M37" s="21">
        <f t="shared" si="34"/>
        <v>4757.72</v>
      </c>
      <c r="N37" s="21">
        <f t="shared" si="34"/>
        <v>741.9300000000001</v>
      </c>
      <c r="O37" s="21">
        <f t="shared" si="34"/>
        <v>51502.55</v>
      </c>
      <c r="P37" s="21">
        <f t="shared" si="34"/>
        <v>8034.119999999999</v>
      </c>
      <c r="Q37" s="21">
        <f t="shared" si="34"/>
        <v>4236.33</v>
      </c>
      <c r="R37" s="21">
        <f t="shared" si="34"/>
        <v>5733.630000000001</v>
      </c>
      <c r="S37" s="21">
        <f t="shared" si="34"/>
        <v>13778.189999999999</v>
      </c>
      <c r="T37" s="21">
        <f t="shared" si="34"/>
        <v>9545.720000000001</v>
      </c>
      <c r="U37" s="21">
        <f t="shared" si="34"/>
        <v>3388.8199999999997</v>
      </c>
      <c r="V37" s="21">
        <f t="shared" si="34"/>
        <v>36682.69</v>
      </c>
      <c r="W37" s="21">
        <f t="shared" si="34"/>
        <v>80165.24932577502</v>
      </c>
      <c r="X37" s="21">
        <f t="shared" si="34"/>
        <v>0</v>
      </c>
      <c r="Y37" s="21">
        <f t="shared" si="34"/>
        <v>6857.795999999999</v>
      </c>
      <c r="Z37" s="21">
        <f t="shared" si="34"/>
        <v>2290.7189944</v>
      </c>
      <c r="AA37" s="21">
        <f t="shared" si="34"/>
        <v>10625.5902246</v>
      </c>
      <c r="AB37" s="21">
        <f t="shared" si="34"/>
        <v>779.9562404279999</v>
      </c>
      <c r="AC37" s="21">
        <f t="shared" si="34"/>
        <v>10403.761116160003</v>
      </c>
      <c r="AD37" s="21">
        <f t="shared" si="34"/>
        <v>762.6800009087999</v>
      </c>
      <c r="AE37" s="21">
        <f t="shared" si="34"/>
        <v>23908.37527592</v>
      </c>
      <c r="AF37" s="21">
        <f t="shared" si="34"/>
        <v>1755.0450496656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15856.59</v>
      </c>
      <c r="AL37" s="21">
        <f t="shared" si="34"/>
        <v>47.8</v>
      </c>
      <c r="AM37" s="21">
        <f t="shared" si="34"/>
        <v>0</v>
      </c>
      <c r="AN37" s="21">
        <f t="shared" si="34"/>
        <v>4400</v>
      </c>
      <c r="AO37" s="21">
        <f t="shared" si="34"/>
        <v>3.599999999999999</v>
      </c>
      <c r="AP37" s="21">
        <f t="shared" si="34"/>
        <v>3229.7327999999998</v>
      </c>
      <c r="AQ37" s="21">
        <f t="shared" si="34"/>
        <v>0</v>
      </c>
      <c r="AR37" s="21">
        <f t="shared" si="34"/>
        <v>0</v>
      </c>
      <c r="AS37" s="21">
        <f t="shared" si="34"/>
        <v>76518.04570208241</v>
      </c>
      <c r="AT37" s="21">
        <f t="shared" si="34"/>
        <v>0</v>
      </c>
      <c r="AU37" s="21">
        <f t="shared" si="34"/>
        <v>3647.2036236926015</v>
      </c>
      <c r="AV37" s="21">
        <f t="shared" si="34"/>
        <v>-14819.86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L5:L6"/>
    <mergeCell ref="M5:M6"/>
    <mergeCell ref="E5:E6"/>
    <mergeCell ref="F5:F6"/>
    <mergeCell ref="G5:G6"/>
    <mergeCell ref="H5:H6"/>
    <mergeCell ref="I5:I6"/>
    <mergeCell ref="J5:J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6">
      <selection activeCell="B48" sqref="B48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67" t="s">
        <v>46</v>
      </c>
      <c r="C1" s="367"/>
      <c r="D1" s="367"/>
      <c r="E1" s="367"/>
      <c r="F1" s="367"/>
      <c r="G1" s="367"/>
      <c r="H1" s="367"/>
    </row>
    <row r="2" spans="2:8" ht="21" customHeight="1">
      <c r="B2" s="367" t="s">
        <v>47</v>
      </c>
      <c r="C2" s="367"/>
      <c r="D2" s="367"/>
      <c r="E2" s="367"/>
      <c r="F2" s="367"/>
      <c r="G2" s="367"/>
      <c r="H2" s="367"/>
    </row>
    <row r="5" spans="1:15" ht="12.75">
      <c r="A5" s="369" t="s">
        <v>81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</row>
    <row r="6" spans="1:15" ht="12.75">
      <c r="A6" s="370" t="s">
        <v>86</v>
      </c>
      <c r="B6" s="370"/>
      <c r="C6" s="370"/>
      <c r="D6" s="370"/>
      <c r="E6" s="370"/>
      <c r="F6" s="370"/>
      <c r="G6" s="370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368" t="s">
        <v>48</v>
      </c>
      <c r="B8" s="368"/>
      <c r="C8" s="368"/>
      <c r="D8" s="368"/>
      <c r="E8" s="368">
        <v>8.65</v>
      </c>
      <c r="F8" s="368"/>
    </row>
    <row r="9" spans="1:16" ht="12.75" customHeight="1">
      <c r="A9" s="322" t="s">
        <v>49</v>
      </c>
      <c r="B9" s="340" t="s">
        <v>1</v>
      </c>
      <c r="C9" s="343" t="s">
        <v>50</v>
      </c>
      <c r="D9" s="346" t="s">
        <v>3</v>
      </c>
      <c r="E9" s="359" t="s">
        <v>51</v>
      </c>
      <c r="F9" s="360"/>
      <c r="G9" s="363" t="s">
        <v>52</v>
      </c>
      <c r="H9" s="364"/>
      <c r="I9" s="349" t="s">
        <v>8</v>
      </c>
      <c r="J9" s="299"/>
      <c r="K9" s="299"/>
      <c r="L9" s="299"/>
      <c r="M9" s="299"/>
      <c r="N9" s="350"/>
      <c r="O9" s="336" t="s">
        <v>53</v>
      </c>
      <c r="P9" s="336" t="s">
        <v>10</v>
      </c>
    </row>
    <row r="10" spans="1:16" ht="12.75">
      <c r="A10" s="323"/>
      <c r="B10" s="341"/>
      <c r="C10" s="344"/>
      <c r="D10" s="347"/>
      <c r="E10" s="361"/>
      <c r="F10" s="362"/>
      <c r="G10" s="365"/>
      <c r="H10" s="366"/>
      <c r="I10" s="351"/>
      <c r="J10" s="290"/>
      <c r="K10" s="290"/>
      <c r="L10" s="290"/>
      <c r="M10" s="290"/>
      <c r="N10" s="352"/>
      <c r="O10" s="337"/>
      <c r="P10" s="337"/>
    </row>
    <row r="11" spans="1:16" ht="26.25" customHeight="1">
      <c r="A11" s="323"/>
      <c r="B11" s="341"/>
      <c r="C11" s="344"/>
      <c r="D11" s="347"/>
      <c r="E11" s="353" t="s">
        <v>54</v>
      </c>
      <c r="F11" s="354"/>
      <c r="G11" s="70" t="s">
        <v>55</v>
      </c>
      <c r="H11" s="331" t="s">
        <v>7</v>
      </c>
      <c r="I11" s="355" t="s">
        <v>56</v>
      </c>
      <c r="J11" s="357" t="s">
        <v>26</v>
      </c>
      <c r="K11" s="357" t="s">
        <v>57</v>
      </c>
      <c r="L11" s="357" t="s">
        <v>31</v>
      </c>
      <c r="M11" s="357" t="s">
        <v>58</v>
      </c>
      <c r="N11" s="331" t="s">
        <v>33</v>
      </c>
      <c r="O11" s="337"/>
      <c r="P11" s="337"/>
    </row>
    <row r="12" spans="1:16" ht="66.75" customHeight="1" thickBot="1">
      <c r="A12" s="339"/>
      <c r="B12" s="342"/>
      <c r="C12" s="345"/>
      <c r="D12" s="348"/>
      <c r="E12" s="54" t="s">
        <v>59</v>
      </c>
      <c r="F12" s="57" t="s">
        <v>17</v>
      </c>
      <c r="G12" s="67" t="s">
        <v>78</v>
      </c>
      <c r="H12" s="332"/>
      <c r="I12" s="356"/>
      <c r="J12" s="358"/>
      <c r="K12" s="358"/>
      <c r="L12" s="358"/>
      <c r="M12" s="358"/>
      <c r="N12" s="332"/>
      <c r="O12" s="338"/>
      <c r="P12" s="338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524.2</v>
      </c>
      <c r="C15" s="23">
        <f aca="true" t="shared" si="0" ref="C15:C24">B15*8.65</f>
        <v>4534.330000000001</v>
      </c>
      <c r="D15" s="24">
        <f>Лист1!D9</f>
        <v>566.7912500000001</v>
      </c>
      <c r="E15" s="12">
        <f>Лист1!O9</f>
        <v>2055.83</v>
      </c>
      <c r="F15" s="26">
        <f>Лист1!P9</f>
        <v>478.90000000000003</v>
      </c>
      <c r="G15" s="25">
        <f>Лист1!V9</f>
        <v>0</v>
      </c>
      <c r="H15" s="26">
        <f>Лист1!W9</f>
        <v>1045.69125</v>
      </c>
      <c r="I15" s="25">
        <f>Лист1!Y9</f>
        <v>283.06800000000004</v>
      </c>
      <c r="J15" s="12">
        <f>Лист1!AA9+Лист1!AB9</f>
        <v>468.42260934</v>
      </c>
      <c r="K15" s="12">
        <f>Лист1!Z9+Лист1!AC9+Лист1!AD9+Лист1!AE9+Лист1!AF9+Лист1!AG9+Лист1!AH9+Лист1!AI9+Лист1!AJ9</f>
        <v>1608.243283036</v>
      </c>
      <c r="L15" s="27">
        <f>Лист1!AK9+Лист1!AL9+Лист1!AM9+Лист1!AQ9+Лист1!AR9</f>
        <v>0</v>
      </c>
      <c r="M15" s="27">
        <f>Лист1!AP9</f>
        <v>151.85184</v>
      </c>
      <c r="N15" s="26">
        <f>Лист1!AS9</f>
        <v>2359.7338923760003</v>
      </c>
      <c r="O15" s="63">
        <f>Лист1!AU9</f>
        <v>-1314.0426423760002</v>
      </c>
      <c r="P15" s="63">
        <f>Лист1!AV9</f>
        <v>-2055.83</v>
      </c>
      <c r="Q15" s="1"/>
      <c r="R15" s="1"/>
    </row>
    <row r="16" spans="1:18" ht="12.75">
      <c r="A16" s="9" t="s">
        <v>39</v>
      </c>
      <c r="B16" s="68">
        <f>Лист1!B10</f>
        <v>524.2</v>
      </c>
      <c r="C16" s="23">
        <f t="shared" si="0"/>
        <v>4534.330000000001</v>
      </c>
      <c r="D16" s="24">
        <f>Лист1!D10</f>
        <v>566.7912500000001</v>
      </c>
      <c r="E16" s="12">
        <f>Лист1!O10</f>
        <v>2055.83</v>
      </c>
      <c r="F16" s="26">
        <f>Лист1!P10</f>
        <v>478.90000000000003</v>
      </c>
      <c r="G16" s="25">
        <f>Лист1!V10</f>
        <v>656.7900000000001</v>
      </c>
      <c r="H16" s="26">
        <f>Лист1!W10</f>
        <v>1702.4812500000003</v>
      </c>
      <c r="I16" s="25">
        <f>Лист1!Y10</f>
        <v>283.06800000000004</v>
      </c>
      <c r="J16" s="12">
        <f>Лист1!AA10+Лист1!AB10</f>
        <v>468.42260934</v>
      </c>
      <c r="K16" s="12">
        <f>Лист1!Z10+Лист1!AC10+Лист1!AD10+Лист1!AE10+Лист1!AF10+Лист1!AG10+Лист1!AH10+Лист1!AI10+Лист1!AJ10</f>
        <v>1609.847335036</v>
      </c>
      <c r="L16" s="27">
        <f>Лист1!AK10+Лист1!AL10+Лист1!AM10+Лист1!AQ10+Лист1!AR10</f>
        <v>0</v>
      </c>
      <c r="M16" s="27">
        <f>Лист1!AP10</f>
        <v>121.71936</v>
      </c>
      <c r="N16" s="26">
        <f>Лист1!AS10</f>
        <v>2634.9091443760003</v>
      </c>
      <c r="O16" s="63">
        <f>Лист1!AU10</f>
        <v>-932.427894376</v>
      </c>
      <c r="P16" s="63">
        <f>Лист1!AV10</f>
        <v>-1399.04</v>
      </c>
      <c r="Q16" s="1"/>
      <c r="R16" s="1"/>
    </row>
    <row r="17" spans="1:18" ht="12.75">
      <c r="A17" s="9" t="s">
        <v>40</v>
      </c>
      <c r="B17" s="68">
        <f>Лист1!B11</f>
        <v>524.2</v>
      </c>
      <c r="C17" s="23">
        <f t="shared" si="0"/>
        <v>4534.330000000001</v>
      </c>
      <c r="D17" s="24">
        <f>Лист1!D11</f>
        <v>1818.900000000001</v>
      </c>
      <c r="E17" s="12">
        <f>Лист1!O11</f>
        <v>2175.64</v>
      </c>
      <c r="F17" s="26">
        <f>Лист1!P11</f>
        <v>539.7900000000001</v>
      </c>
      <c r="G17" s="25">
        <f>Лист1!V11</f>
        <v>1362.08</v>
      </c>
      <c r="H17" s="26">
        <f>Лист1!W11</f>
        <v>3720.770000000001</v>
      </c>
      <c r="I17" s="25">
        <f>Лист1!Y11</f>
        <v>314.52000000000004</v>
      </c>
      <c r="J17" s="12">
        <f>Лист1!AA11+Лист1!AB11</f>
        <v>520.46229674</v>
      </c>
      <c r="K17" s="12">
        <f>Лист1!Z11+Лист1!AC11+Лист1!AD11+Лист1!AE11+Лист1!AF11+Лист1!AG11+Лист1!AH11+Лист1!AI11+Лист1!AJ11</f>
        <v>1787.2779324800001</v>
      </c>
      <c r="L17" s="27">
        <f>Лист1!AK11+Лист1!AL11+Лист1!AM11+Лист1!AQ11+Лист1!AR11</f>
        <v>0</v>
      </c>
      <c r="M17" s="27">
        <f>Лист1!AP11</f>
        <v>104.27423999999999</v>
      </c>
      <c r="N17" s="26">
        <f>Лист1!AS11</f>
        <v>2726.5344692200006</v>
      </c>
      <c r="O17" s="63">
        <f>Лист1!AU11</f>
        <v>994.2355307800003</v>
      </c>
      <c r="P17" s="63">
        <f>Лист1!AV11</f>
        <v>-813.56</v>
      </c>
      <c r="Q17" s="1"/>
      <c r="R17" s="1"/>
    </row>
    <row r="18" spans="1:18" ht="12.75">
      <c r="A18" s="9" t="s">
        <v>41</v>
      </c>
      <c r="B18" s="68">
        <f>Лист1!B12</f>
        <v>524.2</v>
      </c>
      <c r="C18" s="23">
        <f t="shared" si="0"/>
        <v>4534.330000000001</v>
      </c>
      <c r="D18" s="24">
        <f>Лист1!D12</f>
        <v>1812.95</v>
      </c>
      <c r="E18" s="12">
        <f>Лист1!O12</f>
        <v>2964.4</v>
      </c>
      <c r="F18" s="26">
        <f>Лист1!P12</f>
        <v>671.87</v>
      </c>
      <c r="G18" s="25">
        <f>Лист1!V12</f>
        <v>593.93</v>
      </c>
      <c r="H18" s="26">
        <f>Лист1!W12</f>
        <v>3078.75</v>
      </c>
      <c r="I18" s="25">
        <f>Лист1!Y12</f>
        <v>314.52000000000004</v>
      </c>
      <c r="J18" s="12">
        <f>Лист1!AA12+Лист1!AB12</f>
        <v>519.589514224</v>
      </c>
      <c r="K18" s="12">
        <f>Лист1!Z12+Лист1!AC12+Лист1!AD12+Лист1!AE12+Лист1!AF12+Лист1!AG12+Лист1!AH12+Лист1!AI12+Лист1!AJ12</f>
        <v>1784.2085975912003</v>
      </c>
      <c r="L18" s="27">
        <f>Лист1!AK12+Лист1!AL12+Лист1!AM12+Лист1!AQ12+Лист1!AR12</f>
        <v>0</v>
      </c>
      <c r="M18" s="27">
        <f>Лист1!AP12</f>
        <v>92.37983999999999</v>
      </c>
      <c r="N18" s="26">
        <f>Лист1!AS12</f>
        <v>2710.6979518152</v>
      </c>
      <c r="O18" s="63">
        <f>Лист1!AU12</f>
        <v>368.0520481847998</v>
      </c>
      <c r="P18" s="63">
        <f>Лист1!AV12</f>
        <v>-2370.4700000000003</v>
      </c>
      <c r="Q18" s="1"/>
      <c r="R18" s="1"/>
    </row>
    <row r="19" spans="1:18" ht="12.75">
      <c r="A19" s="9" t="s">
        <v>42</v>
      </c>
      <c r="B19" s="68">
        <f>Лист1!B13</f>
        <v>524.2</v>
      </c>
      <c r="C19" s="23">
        <f t="shared" si="0"/>
        <v>4534.330000000001</v>
      </c>
      <c r="D19" s="24">
        <f>Лист1!D13</f>
        <v>1812.85</v>
      </c>
      <c r="E19" s="12">
        <f>Лист1!O13</f>
        <v>1472.8999999999999</v>
      </c>
      <c r="F19" s="26">
        <f>Лист1!P13</f>
        <v>333.69000000000005</v>
      </c>
      <c r="G19" s="25">
        <f>Лист1!V13</f>
        <v>1856.7500000000002</v>
      </c>
      <c r="H19" s="26">
        <f>Лист1!W13</f>
        <v>4003.29</v>
      </c>
      <c r="I19" s="25">
        <f>Лист1!Y13</f>
        <v>314.52000000000004</v>
      </c>
      <c r="J19" s="12">
        <f>Лист1!AA13+Лист1!AB13</f>
        <v>519.589514224</v>
      </c>
      <c r="K19" s="12">
        <f>Лист1!Z13+Лист1!AC13+Лист1!AD13+Лист1!AE13+Лист1!AF13+Лист1!AG13+Лист1!AH13+Лист1!AI13+Лист1!AJ13</f>
        <v>1782.5230379912002</v>
      </c>
      <c r="L19" s="27">
        <f>Лист1!AK13+Лист1!AL13+Лист1!AM13+Лист1!AQ13+Лист1!AR13</f>
        <v>0</v>
      </c>
      <c r="M19" s="27">
        <f>Лист1!AP13</f>
        <v>98.32704</v>
      </c>
      <c r="N19" s="26">
        <f>Лист1!AS13</f>
        <v>2714.9595922152002</v>
      </c>
      <c r="O19" s="63">
        <f>Лист1!AU13</f>
        <v>1288.3304077847997</v>
      </c>
      <c r="P19" s="63">
        <f>Лист1!AV13</f>
        <v>383.85000000000036</v>
      </c>
      <c r="Q19" s="1"/>
      <c r="R19" s="1"/>
    </row>
    <row r="20" spans="1:18" ht="12.75">
      <c r="A20" s="9" t="s">
        <v>43</v>
      </c>
      <c r="B20" s="68">
        <f>Лист1!B14</f>
        <v>524.2</v>
      </c>
      <c r="C20" s="23">
        <f t="shared" si="0"/>
        <v>4534.330000000001</v>
      </c>
      <c r="D20" s="24">
        <f>Лист1!D14</f>
        <v>1812.9000000000008</v>
      </c>
      <c r="E20" s="12">
        <f>Лист1!O14</f>
        <v>2218.65</v>
      </c>
      <c r="F20" s="26">
        <f>Лист1!P14</f>
        <v>502.78</v>
      </c>
      <c r="G20" s="25">
        <f>Лист1!V14</f>
        <v>1293.57</v>
      </c>
      <c r="H20" s="26">
        <f>Лист1!W14</f>
        <v>3609.250000000001</v>
      </c>
      <c r="I20" s="25">
        <f>Лист1!Y14</f>
        <v>314.52000000000004</v>
      </c>
      <c r="J20" s="12">
        <f>Лист1!AA14+Лист1!AB14</f>
        <v>519.6210605800001</v>
      </c>
      <c r="K20" s="12">
        <f>Лист1!Z14+Лист1!AC14+Лист1!AD14+Лист1!AE14+Лист1!AF14+Лист1!AG14+Лист1!AH14+Лист1!AI14+Лист1!AJ14</f>
        <v>1782.994264436</v>
      </c>
      <c r="L20" s="27">
        <f>Лист1!AK14+Лист1!AL14+Лист1!AM14+Лист1!AQ14+Лист1!AR14</f>
        <v>0</v>
      </c>
      <c r="M20" s="27">
        <f>Лист1!AP14</f>
        <v>116.16863999999998</v>
      </c>
      <c r="N20" s="26">
        <f>Лист1!AS14</f>
        <v>2733.3039650160003</v>
      </c>
      <c r="O20" s="63">
        <f>Лист1!AU14</f>
        <v>875.9460349840006</v>
      </c>
      <c r="P20" s="63">
        <f>Лист1!AV14</f>
        <v>-925.0800000000002</v>
      </c>
      <c r="Q20" s="1"/>
      <c r="R20" s="1"/>
    </row>
    <row r="21" spans="1:18" ht="12.75">
      <c r="A21" s="9" t="s">
        <v>44</v>
      </c>
      <c r="B21" s="68">
        <f>Лист1!B15</f>
        <v>524.2</v>
      </c>
      <c r="C21" s="23">
        <f t="shared" si="0"/>
        <v>4534.330000000001</v>
      </c>
      <c r="D21" s="24">
        <f>Лист1!D15</f>
        <v>1812.9000000000008</v>
      </c>
      <c r="E21" s="12">
        <f>Лист1!O15</f>
        <v>2218.65</v>
      </c>
      <c r="F21" s="26">
        <f>Лист1!P15</f>
        <v>502.78</v>
      </c>
      <c r="G21" s="25">
        <f>Лист1!V15</f>
        <v>657.27</v>
      </c>
      <c r="H21" s="26">
        <f>Лист1!W15</f>
        <v>2972.9500000000007</v>
      </c>
      <c r="I21" s="25">
        <f>Лист1!Y15</f>
        <v>314.52000000000004</v>
      </c>
      <c r="J21" s="12">
        <f>Лист1!AA15+Лист1!AB15</f>
        <v>519.6210605800001</v>
      </c>
      <c r="K21" s="12">
        <f>Лист1!Z15+Лист1!AC15+Лист1!AD15+Лист1!AE15+Лист1!AF15+Лист1!AG15+Лист1!AH15+Лист1!AI15+Лист1!AJ15</f>
        <v>1783.160666484</v>
      </c>
      <c r="L21" s="27">
        <f>Лист1!AK15+Лист1!AL15+Лист1!AM15+Лист1!AQ15+Лист1!AR15</f>
        <v>0</v>
      </c>
      <c r="M21" s="27">
        <f>Лист1!AP15</f>
        <v>138.37152</v>
      </c>
      <c r="N21" s="26">
        <f>Лист1!AS15</f>
        <v>2755.6732470640004</v>
      </c>
      <c r="O21" s="63">
        <f>Лист1!AU15</f>
        <v>217.27675293600032</v>
      </c>
      <c r="P21" s="63">
        <f>Лист1!AV15</f>
        <v>-1561.38</v>
      </c>
      <c r="Q21" s="1"/>
      <c r="R21" s="1"/>
    </row>
    <row r="22" spans="1:18" ht="12.75">
      <c r="A22" s="9" t="s">
        <v>34</v>
      </c>
      <c r="B22" s="68">
        <f>Лист1!B16</f>
        <v>524.2</v>
      </c>
      <c r="C22" s="23">
        <f>B22*8.65</f>
        <v>4534.330000000001</v>
      </c>
      <c r="D22" s="24">
        <f>Лист1!D16</f>
        <v>1812.9000000000008</v>
      </c>
      <c r="E22" s="12">
        <f>Лист1!O16</f>
        <v>2218.65</v>
      </c>
      <c r="F22" s="26">
        <f>Лист1!P16</f>
        <v>502.78</v>
      </c>
      <c r="G22" s="25">
        <f>Лист1!V16</f>
        <v>3454.0699999999997</v>
      </c>
      <c r="H22" s="26">
        <f>Лист1!W16</f>
        <v>5769.75</v>
      </c>
      <c r="I22" s="25">
        <f>Лист1!Y16</f>
        <v>314.52000000000004</v>
      </c>
      <c r="J22" s="12">
        <f>Лист1!AA16+Лист1!AB16</f>
        <v>525.7726</v>
      </c>
      <c r="K22" s="12">
        <f>Лист1!Z16+Лист1!AC16+Лист1!AD16+Лист1!AE16+Лист1!AF16+Лист1!AG16+Лист1!AH16+Лист1!AI16+Лист1!AJ16</f>
        <v>1799.6834400000002</v>
      </c>
      <c r="L22" s="27">
        <f>Лист1!AK16+Лист1!AL16+Лист1!AM16+Лист1!AQ16+Лист1!AR16</f>
        <v>0</v>
      </c>
      <c r="M22" s="27">
        <f>Лист1!AP16</f>
        <v>168.504</v>
      </c>
      <c r="N22" s="26">
        <f>Лист1!AS16</f>
        <v>2808.48004</v>
      </c>
      <c r="O22" s="63">
        <f>Лист1!AU16</f>
        <v>2961.26996</v>
      </c>
      <c r="P22" s="63">
        <f>Лист1!AV16</f>
        <v>1235.4199999999996</v>
      </c>
      <c r="Q22" s="1"/>
      <c r="R22" s="1"/>
    </row>
    <row r="23" spans="1:18" ht="12.75">
      <c r="A23" s="9" t="s">
        <v>35</v>
      </c>
      <c r="B23" s="68">
        <f>Лист1!B17</f>
        <v>524.2</v>
      </c>
      <c r="C23" s="23">
        <f t="shared" si="0"/>
        <v>4534.330000000001</v>
      </c>
      <c r="D23" s="24">
        <f>Лист1!D17</f>
        <v>1812.9000000000008</v>
      </c>
      <c r="E23" s="12">
        <f>Лист1!O17</f>
        <v>2218.65</v>
      </c>
      <c r="F23" s="26">
        <f>Лист1!P17</f>
        <v>502.78</v>
      </c>
      <c r="G23" s="25">
        <f>Лист1!V17</f>
        <v>2523.0699999999997</v>
      </c>
      <c r="H23" s="26">
        <f>Лист1!W17</f>
        <v>4838.75</v>
      </c>
      <c r="I23" s="25">
        <f>Лист1!Y17</f>
        <v>314.52000000000004</v>
      </c>
      <c r="J23" s="12">
        <f>Лист1!AA17+Лист1!AB17</f>
        <v>525.7726</v>
      </c>
      <c r="K23" s="12">
        <f>Лист1!Z17+Лист1!AC17+Лист1!AD17+Лист1!AE17+Лист1!AF17+Лист1!AG17+Лист1!AH17+Лист1!AI17+Лист1!AJ17</f>
        <v>1799.6834400000002</v>
      </c>
      <c r="L23" s="27">
        <f>Лист1!AK17+Лист1!AL17+Лист1!AM17+Лист1!AQ17+Лист1!AR17</f>
        <v>0</v>
      </c>
      <c r="M23" s="27">
        <f>Лист1!AP17</f>
        <v>186.34560000000002</v>
      </c>
      <c r="N23" s="26">
        <f>Лист1!AS17</f>
        <v>2826.32164</v>
      </c>
      <c r="O23" s="63">
        <f>Лист1!AU17</f>
        <v>2012.4283599999999</v>
      </c>
      <c r="P23" s="63">
        <f>Лист1!AV17</f>
        <v>304.4199999999996</v>
      </c>
      <c r="Q23" s="1"/>
      <c r="R23" s="1"/>
    </row>
    <row r="24" spans="1:18" ht="13.5" thickBot="1">
      <c r="A24" s="28" t="s">
        <v>36</v>
      </c>
      <c r="B24" s="68">
        <f>Лист1!B18</f>
        <v>524.2</v>
      </c>
      <c r="C24" s="29">
        <f t="shared" si="0"/>
        <v>4534.330000000001</v>
      </c>
      <c r="D24" s="24">
        <f>Лист1!D18</f>
        <v>1812.9000000000008</v>
      </c>
      <c r="E24" s="12">
        <f>Лист1!O18</f>
        <v>2218.65</v>
      </c>
      <c r="F24" s="26">
        <f>Лист1!P18</f>
        <v>502.78</v>
      </c>
      <c r="G24" s="25">
        <f>Лист1!V18</f>
        <v>2258.52</v>
      </c>
      <c r="H24" s="26">
        <f>Лист1!W18</f>
        <v>4574.200000000001</v>
      </c>
      <c r="I24" s="25">
        <f>Лист1!Y18</f>
        <v>314.52000000000004</v>
      </c>
      <c r="J24" s="12">
        <f>Лист1!AA18+Лист1!AB18</f>
        <v>525.7726</v>
      </c>
      <c r="K24" s="12">
        <f>Лист1!Z18+Лист1!AC18+Лист1!AD18+Лист1!AE18+Лист1!AF18+Лист1!AG18+Лист1!AH18+Лист1!AI18+Лист1!AJ18</f>
        <v>1799.6834400000002</v>
      </c>
      <c r="L24" s="27">
        <f>Лист1!AK18+Лист1!AL18+Лист1!AM18+Лист1!AQ18+Лист1!AR18</f>
        <v>0</v>
      </c>
      <c r="M24" s="27">
        <f>Лист1!AP18</f>
        <v>203.79072</v>
      </c>
      <c r="N24" s="26">
        <f>Лист1!AS18</f>
        <v>2843.76676</v>
      </c>
      <c r="O24" s="63">
        <f>Лист1!AU18</f>
        <v>1730.4332400000008</v>
      </c>
      <c r="P24" s="63">
        <f>Лист1!AV18</f>
        <v>39.86999999999989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45343.30000000001</v>
      </c>
      <c r="D25" s="58">
        <f t="shared" si="1"/>
        <v>15642.782500000008</v>
      </c>
      <c r="E25" s="32">
        <f t="shared" si="1"/>
        <v>21817.850000000002</v>
      </c>
      <c r="F25" s="59">
        <f t="shared" si="1"/>
        <v>5017.049999999999</v>
      </c>
      <c r="G25" s="58">
        <f t="shared" si="1"/>
        <v>14656.05</v>
      </c>
      <c r="H25" s="59">
        <f t="shared" si="1"/>
        <v>35315.88250000001</v>
      </c>
      <c r="I25" s="58">
        <f t="shared" si="1"/>
        <v>3082.2960000000003</v>
      </c>
      <c r="J25" s="58">
        <f aca="true" t="shared" si="2" ref="J25:P25">SUM(J15:J24)</f>
        <v>5113.046465028001</v>
      </c>
      <c r="K25" s="58">
        <f t="shared" si="2"/>
        <v>17537.3054370544</v>
      </c>
      <c r="L25" s="58">
        <f t="shared" si="2"/>
        <v>0</v>
      </c>
      <c r="M25" s="58">
        <f t="shared" si="2"/>
        <v>1381.7328</v>
      </c>
      <c r="N25" s="58">
        <f t="shared" si="2"/>
        <v>27114.380702082402</v>
      </c>
      <c r="O25" s="58">
        <f t="shared" si="2"/>
        <v>8201.501797917601</v>
      </c>
      <c r="P25" s="64">
        <f t="shared" si="2"/>
        <v>-7161.8</v>
      </c>
      <c r="Q25" s="61"/>
      <c r="R25" s="61"/>
    </row>
    <row r="26" spans="1:18" ht="13.5" thickBot="1">
      <c r="A26" s="333" t="s">
        <v>60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65"/>
      <c r="Q26" s="1"/>
      <c r="R26" s="1"/>
    </row>
    <row r="27" spans="1:18" s="18" customFormat="1" ht="13.5" thickBot="1">
      <c r="A27" s="66" t="s">
        <v>45</v>
      </c>
      <c r="B27" s="33"/>
      <c r="C27" s="34">
        <f>C25</f>
        <v>45343.30000000001</v>
      </c>
      <c r="D27" s="34">
        <f aca="true" t="shared" si="3" ref="D27:P27">D25</f>
        <v>15642.782500000008</v>
      </c>
      <c r="E27" s="34">
        <f t="shared" si="3"/>
        <v>21817.850000000002</v>
      </c>
      <c r="F27" s="34">
        <f t="shared" si="3"/>
        <v>5017.049999999999</v>
      </c>
      <c r="G27" s="34">
        <f t="shared" si="3"/>
        <v>14656.05</v>
      </c>
      <c r="H27" s="34">
        <f t="shared" si="3"/>
        <v>35315.88250000001</v>
      </c>
      <c r="I27" s="34">
        <f t="shared" si="3"/>
        <v>3082.2960000000003</v>
      </c>
      <c r="J27" s="34">
        <f t="shared" si="3"/>
        <v>5113.046465028001</v>
      </c>
      <c r="K27" s="34">
        <f t="shared" si="3"/>
        <v>17537.3054370544</v>
      </c>
      <c r="L27" s="34">
        <f t="shared" si="3"/>
        <v>0</v>
      </c>
      <c r="M27" s="34">
        <f t="shared" si="3"/>
        <v>1381.7328</v>
      </c>
      <c r="N27" s="142">
        <f t="shared" si="3"/>
        <v>27114.380702082402</v>
      </c>
      <c r="O27" s="141">
        <f t="shared" si="3"/>
        <v>8201.501797917601</v>
      </c>
      <c r="P27" s="34">
        <f t="shared" si="3"/>
        <v>-7161.8</v>
      </c>
      <c r="Q27" s="62"/>
      <c r="R27" s="61"/>
    </row>
    <row r="28" spans="1:18" ht="13.5" thickBot="1">
      <c r="A28" s="145" t="s">
        <v>82</v>
      </c>
      <c r="B28" s="137"/>
      <c r="C28" s="132"/>
      <c r="D28" s="132"/>
      <c r="E28" s="130"/>
      <c r="F28" s="130"/>
      <c r="G28" s="130"/>
      <c r="H28" s="130"/>
      <c r="I28" s="130"/>
      <c r="J28" s="137"/>
      <c r="K28" s="130"/>
      <c r="L28" s="130"/>
      <c r="M28" s="130"/>
      <c r="N28" s="143"/>
      <c r="O28" s="130"/>
      <c r="P28" s="130"/>
      <c r="Q28" s="1"/>
      <c r="R28" s="1"/>
    </row>
    <row r="29" spans="1:16" ht="13.5" thickBot="1">
      <c r="A29" s="8" t="s">
        <v>83</v>
      </c>
      <c r="B29" s="144">
        <f>Лист1!B23</f>
        <v>524.2</v>
      </c>
      <c r="C29" s="147">
        <f aca="true" t="shared" si="4" ref="C29:C40">B29*8.65</f>
        <v>4534.330000000001</v>
      </c>
      <c r="D29" s="133">
        <f>Лист1!D23</f>
        <v>1812.9000000000008</v>
      </c>
      <c r="E29" s="63">
        <f>Лист1!O23</f>
        <v>2218.65</v>
      </c>
      <c r="F29" s="135">
        <f>Лист1!P23</f>
        <v>502.78</v>
      </c>
      <c r="G29" s="63">
        <f>Лист1!V23</f>
        <v>1402.5100000000002</v>
      </c>
      <c r="H29" s="135">
        <f>Лист1!W23</f>
        <v>3718.190000000001</v>
      </c>
      <c r="I29" s="63">
        <f>Лист1!Y23</f>
        <v>314.52000000000004</v>
      </c>
      <c r="J29" s="138">
        <f>Лист1!AA23+Лист1!AB23</f>
        <v>524.2</v>
      </c>
      <c r="K29" s="63">
        <f>Лист1!Z23+Лист1!AC23+Лист1!AD23+Лист1!AE23+Лист1!AF23+Лист1!AG23+Лист1!AH23+Лист1!AI23+Лист1!AJ23</f>
        <v>1798.006</v>
      </c>
      <c r="L29" s="139">
        <f>Лист1!AK23+Лист1!AL23+Лист1!AM23+Лист1!AQ23+Лист1!AR23</f>
        <v>0</v>
      </c>
      <c r="M29" s="139">
        <f>Лист1!AP23</f>
        <v>213.35999999999999</v>
      </c>
      <c r="N29" s="63">
        <f>Лист1!AS23</f>
        <v>2850.0860000000007</v>
      </c>
      <c r="O29" s="135">
        <f>Лист1!AU23</f>
        <v>868.1040000000003</v>
      </c>
      <c r="P29" s="63">
        <f>Лист1!AV23</f>
        <v>-816.1399999999999</v>
      </c>
    </row>
    <row r="30" spans="1:16" ht="13.5" thickBot="1">
      <c r="A30" s="8" t="s">
        <v>84</v>
      </c>
      <c r="B30" s="144">
        <f>Лист1!B24</f>
        <v>524.2</v>
      </c>
      <c r="C30" s="147">
        <f t="shared" si="4"/>
        <v>4534.330000000001</v>
      </c>
      <c r="D30" s="133">
        <f>Лист1!D24</f>
        <v>1812.9000000000008</v>
      </c>
      <c r="E30" s="63">
        <f>Лист1!O24</f>
        <v>2218.65</v>
      </c>
      <c r="F30" s="135">
        <f>Лист1!P24</f>
        <v>502.78</v>
      </c>
      <c r="G30" s="63">
        <f>Лист1!V24</f>
        <v>2475.12</v>
      </c>
      <c r="H30" s="135">
        <f>Лист1!W24</f>
        <v>4790.800000000001</v>
      </c>
      <c r="I30" s="63">
        <f>Лист1!Y24</f>
        <v>314.52000000000004</v>
      </c>
      <c r="J30" s="138">
        <f>Лист1!AA24+Лист1!AB24</f>
        <v>524.2</v>
      </c>
      <c r="K30" s="63">
        <f>Лист1!Z24+Лист1!AC24+Лист1!AD24+Лист1!AE24+Лист1!AF24+Лист1!AG24+Лист1!AH24+Лист1!AI24+Лист1!AJ24</f>
        <v>1798.006</v>
      </c>
      <c r="L30" s="139">
        <f>Лист1!AK24+Лист1!AL24+Лист1!AM24+Лист1!AQ24+Лист1!AR24</f>
        <v>1336.59</v>
      </c>
      <c r="M30" s="139">
        <f>Лист1!AP24</f>
        <v>170.93999999999997</v>
      </c>
      <c r="N30" s="63">
        <f>Лист1!AS24</f>
        <v>4144.256</v>
      </c>
      <c r="O30" s="135">
        <f>Лист1!AU24</f>
        <v>646.5440000000008</v>
      </c>
      <c r="P30" s="63">
        <f>Лист1!AV24</f>
        <v>256.4699999999998</v>
      </c>
    </row>
    <row r="31" spans="1:18" ht="13.5" thickBot="1">
      <c r="A31" s="131" t="s">
        <v>38</v>
      </c>
      <c r="B31" s="144">
        <f>Лист1!B25</f>
        <v>524.2</v>
      </c>
      <c r="C31" s="147">
        <f t="shared" si="4"/>
        <v>4534.330000000001</v>
      </c>
      <c r="D31" s="133">
        <f>Лист1!D25</f>
        <v>1812.9000000000008</v>
      </c>
      <c r="E31" s="63">
        <f>Лист1!O25</f>
        <v>2218.65</v>
      </c>
      <c r="F31" s="135">
        <f>Лист1!P25</f>
        <v>502.78</v>
      </c>
      <c r="G31" s="63">
        <f>Лист1!V25</f>
        <v>1167.0800000000002</v>
      </c>
      <c r="H31" s="135">
        <f>Лист1!W25</f>
        <v>3482.760000000001</v>
      </c>
      <c r="I31" s="63">
        <f>Лист1!Y25</f>
        <v>314.52000000000004</v>
      </c>
      <c r="J31" s="138">
        <f>Лист1!AA25+Лист1!AB25</f>
        <v>524.2</v>
      </c>
      <c r="K31" s="63">
        <f>Лист1!Z25+Лист1!AC25+Лист1!AD25+Лист1!AE25+Лист1!AF25+Лист1!AG25+Лист1!AH25+Лист1!AI25+Лист1!AJ25</f>
        <v>1798.006</v>
      </c>
      <c r="L31" s="139">
        <f>Лист1!AK25+Лист1!AL25+Лист1!AM25+Лист1!AQ25+Лист1!AR25</f>
        <v>900</v>
      </c>
      <c r="M31" s="139">
        <f>Лист1!AP25</f>
        <v>160.85999999999999</v>
      </c>
      <c r="N31" s="63">
        <f>Лист1!AS25</f>
        <v>3697.5860000000007</v>
      </c>
      <c r="O31" s="135">
        <f>Лист1!AU25</f>
        <v>-214.82599999999957</v>
      </c>
      <c r="P31" s="63">
        <f>Лист1!AV25</f>
        <v>-1051.57</v>
      </c>
      <c r="Q31" s="1"/>
      <c r="R31" s="1"/>
    </row>
    <row r="32" spans="1:18" ht="12.75">
      <c r="A32" s="131" t="s">
        <v>39</v>
      </c>
      <c r="B32" s="144">
        <f>Лист1!B26</f>
        <v>524.2</v>
      </c>
      <c r="C32" s="36">
        <f t="shared" si="4"/>
        <v>4534.330000000001</v>
      </c>
      <c r="D32" s="133">
        <f>Лист1!D26</f>
        <v>1812.9000000000008</v>
      </c>
      <c r="E32" s="63">
        <f>Лист1!O26</f>
        <v>2218.65</v>
      </c>
      <c r="F32" s="135">
        <f>Лист1!P26</f>
        <v>502.78</v>
      </c>
      <c r="G32" s="63">
        <f>Лист1!V26</f>
        <v>1518.91</v>
      </c>
      <c r="H32" s="135">
        <f>Лист1!W26</f>
        <v>3834.590000000001</v>
      </c>
      <c r="I32" s="63">
        <f>Лист1!Y26</f>
        <v>314.52000000000004</v>
      </c>
      <c r="J32" s="138">
        <f>Лист1!AA26+Лист1!AB26</f>
        <v>524.2</v>
      </c>
      <c r="K32" s="63">
        <f>Лист1!Z26+Лист1!AC26+Лист1!AD26+Лист1!AE26+Лист1!AF26+Лист1!AG26+Лист1!AH26+Лист1!AI26+Лист1!AJ26</f>
        <v>1798.006</v>
      </c>
      <c r="L32" s="139">
        <f>Лист1!AK26+Лист1!AL26+Лист1!AM26+Лист1!AQ26+Лист1!AR26</f>
        <v>0</v>
      </c>
      <c r="M32" s="139">
        <f>Лист1!AP26</f>
        <v>128.94</v>
      </c>
      <c r="N32" s="63">
        <f>Лист1!AS26</f>
        <v>2765.6660000000006</v>
      </c>
      <c r="O32" s="135">
        <f>Лист1!AU26</f>
        <v>1068.9240000000004</v>
      </c>
      <c r="P32" s="63">
        <f>Лист1!AV26</f>
        <v>-699.74</v>
      </c>
      <c r="Q32" s="1"/>
      <c r="R32" s="1"/>
    </row>
    <row r="33" spans="1:18" ht="12.75">
      <c r="A33" s="131" t="s">
        <v>40</v>
      </c>
      <c r="B33" s="144">
        <f>Лист1!B27</f>
        <v>524.2</v>
      </c>
      <c r="C33" s="23">
        <f t="shared" si="4"/>
        <v>4534.330000000001</v>
      </c>
      <c r="D33" s="133">
        <f>Лист1!D27</f>
        <v>1812.9000000000008</v>
      </c>
      <c r="E33" s="63">
        <f>Лист1!O27</f>
        <v>2218.65</v>
      </c>
      <c r="F33" s="135">
        <f>Лист1!P27</f>
        <v>502.78</v>
      </c>
      <c r="G33" s="63">
        <f>Лист1!V27</f>
        <v>2202.44</v>
      </c>
      <c r="H33" s="135">
        <f>Лист1!W27</f>
        <v>4518.120000000001</v>
      </c>
      <c r="I33" s="63">
        <f>Лист1!Y27</f>
        <v>314.52000000000004</v>
      </c>
      <c r="J33" s="138">
        <f>Лист1!AA27+Лист1!AB27</f>
        <v>524.2</v>
      </c>
      <c r="K33" s="63">
        <f>Лист1!Z27+Лист1!AC27+Лист1!AD27+Лист1!AE27+Лист1!AF27+Лист1!AG27+Лист1!AH27+Лист1!AI27+Лист1!AJ27</f>
        <v>1798.006</v>
      </c>
      <c r="L33" s="139">
        <f>Лист1!AK27+Лист1!AL27+Лист1!AM27+Лист1!AQ27+Лист1!AR27</f>
        <v>0</v>
      </c>
      <c r="M33" s="139">
        <f>Лист1!AP27</f>
        <v>110.45999999999998</v>
      </c>
      <c r="N33" s="63">
        <f>Лист1!AS27</f>
        <v>2747.1860000000006</v>
      </c>
      <c r="O33" s="135">
        <f>Лист1!AU27</f>
        <v>1770.9340000000002</v>
      </c>
      <c r="P33" s="63">
        <f>Лист1!AV27</f>
        <v>-16.210000000000036</v>
      </c>
      <c r="Q33" s="1"/>
      <c r="R33" s="1"/>
    </row>
    <row r="34" spans="1:18" ht="12.75">
      <c r="A34" s="131" t="s">
        <v>41</v>
      </c>
      <c r="B34" s="144">
        <f>Лист1!B28</f>
        <v>524.5</v>
      </c>
      <c r="C34" s="23">
        <f t="shared" si="4"/>
        <v>4536.925</v>
      </c>
      <c r="D34" s="133">
        <f>Лист1!D28</f>
        <v>1453.3933687500003</v>
      </c>
      <c r="E34" s="63">
        <f>Лист1!O28</f>
        <v>2219.8599999999997</v>
      </c>
      <c r="F34" s="135">
        <f>Лист1!P28</f>
        <v>503.16999999999996</v>
      </c>
      <c r="G34" s="63">
        <f>Лист1!V28</f>
        <v>2429.72</v>
      </c>
      <c r="H34" s="135">
        <f>Лист1!W28</f>
        <v>4386.283368750001</v>
      </c>
      <c r="I34" s="63">
        <f>Лист1!Y28</f>
        <v>314.7</v>
      </c>
      <c r="J34" s="138">
        <f>Лист1!AA28+Лист1!AB28</f>
        <v>524.5</v>
      </c>
      <c r="K34" s="63">
        <f>Лист1!Z28+Лист1!AC28+Лист1!AD28+Лист1!AE28+Лист1!AF28+Лист1!AG28+Лист1!AH28+Лист1!AI28+Лист1!AJ28</f>
        <v>1799.0349999999999</v>
      </c>
      <c r="L34" s="139">
        <f>Лист1!AK28+Лист1!AL28+Лист1!AM28+Лист1!AQ28+Лист1!AR28</f>
        <v>0</v>
      </c>
      <c r="M34" s="139">
        <f>Лист1!AP28</f>
        <v>97.85999999999999</v>
      </c>
      <c r="N34" s="63">
        <f>Лист1!AS28</f>
        <v>2736.0950000000003</v>
      </c>
      <c r="O34" s="135">
        <f>Лист1!AU28</f>
        <v>1650.1883687500003</v>
      </c>
      <c r="P34" s="63">
        <f>Лист1!AV28</f>
        <v>209.86000000000013</v>
      </c>
      <c r="Q34" s="1"/>
      <c r="R34" s="1"/>
    </row>
    <row r="35" spans="1:18" ht="12.75">
      <c r="A35" s="131" t="s">
        <v>42</v>
      </c>
      <c r="B35" s="144">
        <f>Лист1!B29</f>
        <v>524.5</v>
      </c>
      <c r="C35" s="23">
        <f t="shared" si="4"/>
        <v>4536.925</v>
      </c>
      <c r="D35" s="133">
        <f>Лист1!D29</f>
        <v>1457.356242375</v>
      </c>
      <c r="E35" s="63">
        <f>Лист1!O29</f>
        <v>2728.6</v>
      </c>
      <c r="F35" s="135">
        <f>Лист1!P29</f>
        <v>0</v>
      </c>
      <c r="G35" s="63">
        <f>Лист1!V29</f>
        <v>479.77000000000004</v>
      </c>
      <c r="H35" s="135">
        <f>Лист1!W29</f>
        <v>1937.126242375</v>
      </c>
      <c r="I35" s="63">
        <f>Лист1!Y29</f>
        <v>314.7</v>
      </c>
      <c r="J35" s="138">
        <f>Лист1!AA29+Лист1!AB29</f>
        <v>524.5</v>
      </c>
      <c r="K35" s="63">
        <f>Лист1!Z29+Лист1!AC29+Лист1!AD29+Лист1!AE29+Лист1!AF29+Лист1!AG29+Лист1!AH29+Лист1!AI29+Лист1!AJ29</f>
        <v>1799.0349999999999</v>
      </c>
      <c r="L35" s="139">
        <f>Лист1!AK29+Лист1!AL29+Лист1!AM29+Лист1!AQ29+Лист1!AR29</f>
        <v>0</v>
      </c>
      <c r="M35" s="139">
        <f>Лист1!AP29</f>
        <v>104.15999999999998</v>
      </c>
      <c r="N35" s="63">
        <f>Лист1!AS29</f>
        <v>2742.395</v>
      </c>
      <c r="O35" s="135">
        <f>Лист1!AU29</f>
        <v>-805.268757625</v>
      </c>
      <c r="P35" s="63">
        <f>Лист1!AV29</f>
        <v>-2248.83</v>
      </c>
      <c r="Q35" s="1"/>
      <c r="R35" s="1"/>
    </row>
    <row r="36" spans="1:18" ht="12.75">
      <c r="A36" s="131" t="s">
        <v>43</v>
      </c>
      <c r="B36" s="144">
        <f>Лист1!B30</f>
        <v>524.5</v>
      </c>
      <c r="C36" s="23">
        <f t="shared" si="4"/>
        <v>4536.925</v>
      </c>
      <c r="D36" s="133">
        <f>Лист1!D30</f>
        <v>1551.0310940249997</v>
      </c>
      <c r="E36" s="63">
        <f>Лист1!O30</f>
        <v>2728.6</v>
      </c>
      <c r="F36" s="135">
        <f>Лист1!P30</f>
        <v>0</v>
      </c>
      <c r="G36" s="63">
        <f>Лист1!V30</f>
        <v>1638.19</v>
      </c>
      <c r="H36" s="135">
        <f>Лист1!W30</f>
        <v>3189.2210940249997</v>
      </c>
      <c r="I36" s="63">
        <f>Лист1!Y30</f>
        <v>314.7</v>
      </c>
      <c r="J36" s="138">
        <f>Лист1!AA30+Лист1!AB30</f>
        <v>524.5</v>
      </c>
      <c r="K36" s="63">
        <f>Лист1!Z30+Лист1!AC30+Лист1!AD30+Лист1!AE30+Лист1!AF30+Лист1!AG30+Лист1!AH30+Лист1!AI30+Лист1!AJ30</f>
        <v>1799.0349999999999</v>
      </c>
      <c r="L36" s="139">
        <f>Лист1!AK30+Лист1!AL30+Лист1!AM30+Лист1!AQ30+Лист1!AR30</f>
        <v>47.8</v>
      </c>
      <c r="M36" s="139">
        <f>Лист1!AP30</f>
        <v>123.05999999999997</v>
      </c>
      <c r="N36" s="63">
        <f>Лист1!AS30</f>
        <v>2809.0950000000003</v>
      </c>
      <c r="O36" s="135">
        <f>Лист1!AU30</f>
        <v>380.1260940249995</v>
      </c>
      <c r="P36" s="63">
        <f>Лист1!AV30</f>
        <v>-1090.4099999999999</v>
      </c>
      <c r="Q36" s="1"/>
      <c r="R36" s="1"/>
    </row>
    <row r="37" spans="1:18" ht="12.75">
      <c r="A37" s="131" t="s">
        <v>44</v>
      </c>
      <c r="B37" s="144">
        <f>Лист1!B31</f>
        <v>524.5</v>
      </c>
      <c r="C37" s="23">
        <f t="shared" si="4"/>
        <v>4536.925</v>
      </c>
      <c r="D37" s="133">
        <f>Лист1!D31</f>
        <v>1583.24278725</v>
      </c>
      <c r="E37" s="63">
        <f>Лист1!O31</f>
        <v>2728.6</v>
      </c>
      <c r="F37" s="135">
        <f>Лист1!P31</f>
        <v>0</v>
      </c>
      <c r="G37" s="63">
        <f>Лист1!V31</f>
        <v>1754.6699999999998</v>
      </c>
      <c r="H37" s="135">
        <f>Лист1!W31</f>
        <v>3337.91278725</v>
      </c>
      <c r="I37" s="63">
        <f>Лист1!Y31</f>
        <v>314.7</v>
      </c>
      <c r="J37" s="138">
        <f>Лист1!AA31+Лист1!AB31</f>
        <v>524.5</v>
      </c>
      <c r="K37" s="63">
        <f>Лист1!Z31+Лист1!AC31+Лист1!AD31+Лист1!AE31+Лист1!AF31+Лист1!AG31+Лист1!AH31+Лист1!AI31+Лист1!AJ31</f>
        <v>1799.0349999999999</v>
      </c>
      <c r="L37" s="139">
        <f>Лист1!AK31+Лист1!AL31+Лист1!AM31+Лист1!AQ31+Лист1!AR31</f>
        <v>0</v>
      </c>
      <c r="M37" s="139">
        <f>Лист1!AP31</f>
        <v>146.57999999999998</v>
      </c>
      <c r="N37" s="63">
        <f>Лист1!AS31</f>
        <v>2784.815</v>
      </c>
      <c r="O37" s="135">
        <f>Лист1!AU31</f>
        <v>553.0977872499998</v>
      </c>
      <c r="P37" s="63">
        <f>Лист1!AV31</f>
        <v>-973.9300000000001</v>
      </c>
      <c r="Q37" s="1"/>
      <c r="R37" s="1"/>
    </row>
    <row r="38" spans="1:18" ht="12.75">
      <c r="A38" s="131" t="s">
        <v>34</v>
      </c>
      <c r="B38" s="144">
        <f>Лист1!B32</f>
        <v>524.5</v>
      </c>
      <c r="C38" s="23">
        <f>B38*8.65</f>
        <v>4536.925</v>
      </c>
      <c r="D38" s="133">
        <f>Лист1!D32</f>
        <v>1467.1085391</v>
      </c>
      <c r="E38" s="63">
        <f>Лист1!O32</f>
        <v>2728.6</v>
      </c>
      <c r="F38" s="135">
        <f>Лист1!P32</f>
        <v>0</v>
      </c>
      <c r="G38" s="63">
        <f>Лист1!V32</f>
        <v>2671.34</v>
      </c>
      <c r="H38" s="135">
        <f>Лист1!W32</f>
        <v>4138.4485391</v>
      </c>
      <c r="I38" s="63">
        <f>Лист1!Y32</f>
        <v>314.7</v>
      </c>
      <c r="J38" s="138">
        <f>Лист1!AA32+Лист1!AB32</f>
        <v>524.5</v>
      </c>
      <c r="K38" s="63">
        <f>Лист1!Z32+Лист1!AC32+Лист1!AD32+Лист1!AE32+Лист1!AF32+Лист1!AG32+Лист1!AH32+Лист1!AI32+Лист1!AJ32</f>
        <v>1799.0349999999999</v>
      </c>
      <c r="L38" s="139">
        <f>Лист1!AK32+Лист1!AL32+Лист1!AM32+Лист1!AQ32+Лист1!AR32</f>
        <v>0</v>
      </c>
      <c r="M38" s="139">
        <f>Лист1!AP32</f>
        <v>178.5</v>
      </c>
      <c r="N38" s="63">
        <f>Лист1!AS32</f>
        <v>2816.735</v>
      </c>
      <c r="O38" s="135">
        <f>Лист1!AU32</f>
        <v>1321.7135390999997</v>
      </c>
      <c r="P38" s="63">
        <f>Лист1!AV32</f>
        <v>-57.25999999999976</v>
      </c>
      <c r="Q38" s="1"/>
      <c r="R38" s="1"/>
    </row>
    <row r="39" spans="1:18" ht="12.75">
      <c r="A39" s="131" t="s">
        <v>35</v>
      </c>
      <c r="B39" s="144">
        <f>Лист1!B33</f>
        <v>524.5</v>
      </c>
      <c r="C39" s="23">
        <f t="shared" si="4"/>
        <v>4536.925</v>
      </c>
      <c r="D39" s="133">
        <f>Лист1!D33</f>
        <v>1574.4706026749998</v>
      </c>
      <c r="E39" s="63">
        <f>Лист1!O33</f>
        <v>2728.6</v>
      </c>
      <c r="F39" s="135">
        <f>Лист1!P33</f>
        <v>0</v>
      </c>
      <c r="G39" s="63">
        <f>Лист1!V33</f>
        <v>2888.46</v>
      </c>
      <c r="H39" s="135">
        <f>Лист1!W33</f>
        <v>4462.930602675</v>
      </c>
      <c r="I39" s="63">
        <f>Лист1!Y33</f>
        <v>314.7</v>
      </c>
      <c r="J39" s="138">
        <f>Лист1!AA33+Лист1!AB33</f>
        <v>524.5</v>
      </c>
      <c r="K39" s="63">
        <f>Лист1!Z33+Лист1!AC33+Лист1!AD33+Лист1!AE33+Лист1!AF33+Лист1!AG33+Лист1!AH33+Лист1!AI33+Лист1!AJ33</f>
        <v>1799.0349999999999</v>
      </c>
      <c r="L39" s="139">
        <f>Лист1!AK33+Лист1!AL33+Лист1!AM33+Лист1!AQ33+Лист1!AR33</f>
        <v>0</v>
      </c>
      <c r="M39" s="139">
        <f>Лист1!AP33</f>
        <v>197.39999999999998</v>
      </c>
      <c r="N39" s="63">
        <f>Лист1!AS33</f>
        <v>2835.635</v>
      </c>
      <c r="O39" s="135">
        <f>Лист1!AU33</f>
        <v>1627.2956026749998</v>
      </c>
      <c r="P39" s="63">
        <f>Лист1!AV33</f>
        <v>159.86000000000013</v>
      </c>
      <c r="Q39" s="1"/>
      <c r="R39" s="1"/>
    </row>
    <row r="40" spans="1:18" ht="13.5" thickBot="1">
      <c r="A40" s="146" t="s">
        <v>36</v>
      </c>
      <c r="B40" s="144">
        <f>Лист1!B34</f>
        <v>524.5</v>
      </c>
      <c r="C40" s="29">
        <f t="shared" si="4"/>
        <v>4536.925</v>
      </c>
      <c r="D40" s="134">
        <f>Лист1!D34</f>
        <v>1654.5541916</v>
      </c>
      <c r="E40" s="136">
        <f>Лист1!O34</f>
        <v>2728.59</v>
      </c>
      <c r="F40" s="135">
        <f>Лист1!P34</f>
        <v>0</v>
      </c>
      <c r="G40" s="136">
        <f>Лист1!V34</f>
        <v>1398.43</v>
      </c>
      <c r="H40" s="135">
        <f>Лист1!W34</f>
        <v>3052.9841916</v>
      </c>
      <c r="I40" s="136">
        <f>Лист1!Y34</f>
        <v>314.7</v>
      </c>
      <c r="J40" s="138">
        <f>Лист1!AA34+Лист1!AB34</f>
        <v>524.5</v>
      </c>
      <c r="K40" s="136">
        <f>Лист1!Z34+Лист1!AC34+Лист1!AD34+Лист1!AE34+Лист1!AF34+Лист1!AG34+Лист1!AH34+Лист1!AI34+Лист1!AJ34</f>
        <v>1799.0349999999999</v>
      </c>
      <c r="L40" s="140">
        <f>Лист1!AK34+Лист1!AL34+Лист1!AM34+Лист1!AQ34+Лист1!AR34</f>
        <v>13620</v>
      </c>
      <c r="M40" s="139">
        <f>Лист1!AP34</f>
        <v>215.87999999999997</v>
      </c>
      <c r="N40" s="63">
        <f>Лист1!AS34</f>
        <v>16474.115</v>
      </c>
      <c r="O40" s="135">
        <f>Лист1!AU34</f>
        <v>-13421.130808400001</v>
      </c>
      <c r="P40" s="63">
        <f>Лист1!AV34</f>
        <v>-1330.16</v>
      </c>
      <c r="Q40" s="1"/>
      <c r="R40" s="1"/>
    </row>
    <row r="41" spans="1:18" s="18" customFormat="1" ht="13.5" thickBot="1">
      <c r="A41" s="30" t="s">
        <v>5</v>
      </c>
      <c r="B41" s="31"/>
      <c r="C41" s="64">
        <f aca="true" t="shared" si="5" ref="C41:O41">SUM(C29:C40)</f>
        <v>54430.125000000015</v>
      </c>
      <c r="D41" s="64">
        <f t="shared" si="5"/>
        <v>19805.656825775004</v>
      </c>
      <c r="E41" s="64">
        <f t="shared" si="5"/>
        <v>29684.699999999997</v>
      </c>
      <c r="F41" s="64">
        <f t="shared" si="5"/>
        <v>3017.0699999999997</v>
      </c>
      <c r="G41" s="64">
        <f t="shared" si="5"/>
        <v>22026.64</v>
      </c>
      <c r="H41" s="64">
        <f t="shared" si="5"/>
        <v>44849.36682577501</v>
      </c>
      <c r="I41" s="64">
        <f t="shared" si="5"/>
        <v>3775.499999999999</v>
      </c>
      <c r="J41" s="64">
        <f t="shared" si="5"/>
        <v>6292.5</v>
      </c>
      <c r="K41" s="64">
        <f t="shared" si="5"/>
        <v>21583.275</v>
      </c>
      <c r="L41" s="64">
        <f t="shared" si="5"/>
        <v>15904.39</v>
      </c>
      <c r="M41" s="64">
        <f t="shared" si="5"/>
        <v>1847.9999999999998</v>
      </c>
      <c r="N41" s="64">
        <f t="shared" si="5"/>
        <v>49403.66500000001</v>
      </c>
      <c r="O41" s="64">
        <f t="shared" si="5"/>
        <v>-4554.2981742249995</v>
      </c>
      <c r="P41" s="64">
        <f>SUM(P29:P40)</f>
        <v>-7658.0599999999995</v>
      </c>
      <c r="Q41" s="61"/>
      <c r="R41" s="61"/>
    </row>
    <row r="42" spans="1:18" ht="13.5" thickBot="1">
      <c r="A42" s="333" t="s">
        <v>60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65"/>
      <c r="Q42" s="1"/>
      <c r="R42" s="1"/>
    </row>
    <row r="43" spans="1:18" s="18" customFormat="1" ht="13.5" thickBot="1">
      <c r="A43" s="66" t="s">
        <v>45</v>
      </c>
      <c r="B43" s="33"/>
      <c r="C43" s="34">
        <f aca="true" t="shared" si="6" ref="C43:O43">C41+C27</f>
        <v>99773.42500000002</v>
      </c>
      <c r="D43" s="34">
        <f t="shared" si="6"/>
        <v>35448.43932577501</v>
      </c>
      <c r="E43" s="34">
        <f t="shared" si="6"/>
        <v>51502.55</v>
      </c>
      <c r="F43" s="34">
        <f t="shared" si="6"/>
        <v>8034.119999999999</v>
      </c>
      <c r="G43" s="34">
        <f t="shared" si="6"/>
        <v>36682.69</v>
      </c>
      <c r="H43" s="34">
        <f t="shared" si="6"/>
        <v>80165.24932577502</v>
      </c>
      <c r="I43" s="34">
        <f t="shared" si="6"/>
        <v>6857.795999999999</v>
      </c>
      <c r="J43" s="34">
        <f t="shared" si="6"/>
        <v>11405.546465028001</v>
      </c>
      <c r="K43" s="34">
        <f t="shared" si="6"/>
        <v>39120.58043705441</v>
      </c>
      <c r="L43" s="34">
        <f t="shared" si="6"/>
        <v>15904.39</v>
      </c>
      <c r="M43" s="34">
        <f t="shared" si="6"/>
        <v>3229.7327999999998</v>
      </c>
      <c r="N43" s="34">
        <f t="shared" si="6"/>
        <v>76518.04570208241</v>
      </c>
      <c r="O43" s="34">
        <f t="shared" si="6"/>
        <v>3647.2036236926015</v>
      </c>
      <c r="P43" s="34">
        <f>P41+P27</f>
        <v>-14819.86</v>
      </c>
      <c r="Q43" s="62"/>
      <c r="R43" s="61"/>
    </row>
    <row r="46" spans="1:18" ht="12.75">
      <c r="A46" s="18" t="s">
        <v>79</v>
      </c>
      <c r="D46" s="69" t="s">
        <v>85</v>
      </c>
      <c r="Q46" s="1"/>
      <c r="R46" s="1"/>
    </row>
    <row r="47" spans="1:18" ht="12.75">
      <c r="A47" s="19" t="s">
        <v>61</v>
      </c>
      <c r="B47" s="19" t="s">
        <v>62</v>
      </c>
      <c r="C47" s="335" t="s">
        <v>63</v>
      </c>
      <c r="D47" s="335"/>
      <c r="Q47" s="1"/>
      <c r="R47" s="1"/>
    </row>
    <row r="48" spans="1:18" ht="12.75">
      <c r="A48" s="95">
        <v>23057.67</v>
      </c>
      <c r="B48" s="95">
        <v>0</v>
      </c>
      <c r="C48" s="329">
        <f>A48-B48</f>
        <v>23057.67</v>
      </c>
      <c r="D48" s="330"/>
      <c r="Q48" s="1"/>
      <c r="R48" s="1"/>
    </row>
    <row r="49" spans="1:18" ht="12.75">
      <c r="A49" s="41"/>
      <c r="Q49" s="1"/>
      <c r="R49" s="1"/>
    </row>
    <row r="50" spans="1:18" ht="12.75">
      <c r="A50" s="2" t="s">
        <v>66</v>
      </c>
      <c r="G50" s="2" t="s">
        <v>67</v>
      </c>
      <c r="Q50" s="1"/>
      <c r="R50" s="1"/>
    </row>
    <row r="51" ht="12.75">
      <c r="A51" s="1"/>
    </row>
    <row r="52" ht="12.75">
      <c r="A52" s="1"/>
    </row>
    <row r="53" ht="12.75">
      <c r="A53" s="2" t="s">
        <v>77</v>
      </c>
    </row>
    <row r="54" ht="12.75">
      <c r="A54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8:D48"/>
    <mergeCell ref="N11:N12"/>
    <mergeCell ref="A26:O26"/>
    <mergeCell ref="C47:D47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zoomScalePageLayoutView="0" workbookViewId="0" topLeftCell="A1">
      <pane xSplit="2" ySplit="2" topLeftCell="K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6" sqref="AC26:AC37"/>
    </sheetView>
  </sheetViews>
  <sheetFormatPr defaultColWidth="9.00390625" defaultRowHeight="12.75"/>
  <cols>
    <col min="1" max="1" width="8.75390625" style="149" bestFit="1" customWidth="1"/>
    <col min="2" max="2" width="9.125" style="149" customWidth="1"/>
    <col min="3" max="3" width="10.125" style="149" customWidth="1"/>
    <col min="4" max="4" width="10.375" style="149" customWidth="1"/>
    <col min="5" max="5" width="11.125" style="149" customWidth="1"/>
    <col min="6" max="6" width="10.875" style="149" customWidth="1"/>
    <col min="7" max="8" width="12.125" style="149" customWidth="1"/>
    <col min="9" max="9" width="12.00390625" style="149" customWidth="1"/>
    <col min="10" max="10" width="11.125" style="149" customWidth="1"/>
    <col min="11" max="11" width="11.00390625" style="149" customWidth="1"/>
    <col min="12" max="12" width="12.375" style="149" customWidth="1"/>
    <col min="13" max="13" width="10.125" style="149" bestFit="1" customWidth="1"/>
    <col min="14" max="14" width="15.625" style="149" customWidth="1"/>
    <col min="15" max="15" width="16.375" style="149" customWidth="1"/>
    <col min="16" max="16" width="14.625" style="149" customWidth="1"/>
    <col min="17" max="17" width="11.625" style="149" customWidth="1"/>
    <col min="18" max="19" width="11.25390625" style="149" customWidth="1"/>
    <col min="20" max="20" width="10.625" style="149" customWidth="1"/>
    <col min="21" max="21" width="9.25390625" style="149" customWidth="1"/>
    <col min="22" max="22" width="10.125" style="149" bestFit="1" customWidth="1"/>
    <col min="23" max="23" width="10.125" style="149" customWidth="1"/>
    <col min="24" max="24" width="12.625" style="149" customWidth="1"/>
    <col min="25" max="25" width="9.25390625" style="149" bestFit="1" customWidth="1"/>
    <col min="26" max="26" width="11.625" style="149" customWidth="1"/>
    <col min="27" max="27" width="9.25390625" style="149" customWidth="1"/>
    <col min="28" max="28" width="10.625" style="149" customWidth="1"/>
    <col min="29" max="29" width="10.75390625" style="149" customWidth="1"/>
    <col min="30" max="30" width="12.125" style="149" customWidth="1"/>
    <col min="31" max="31" width="11.75390625" style="149" customWidth="1"/>
    <col min="32" max="33" width="10.375" style="149" customWidth="1"/>
    <col min="34" max="34" width="10.75390625" style="149" customWidth="1"/>
    <col min="35" max="35" width="9.125" style="149" customWidth="1"/>
    <col min="36" max="36" width="10.125" style="149" bestFit="1" customWidth="1"/>
    <col min="37" max="37" width="9.125" style="149" customWidth="1"/>
    <col min="38" max="38" width="9.75390625" style="149" bestFit="1" customWidth="1"/>
    <col min="39" max="16384" width="9.125" style="149" customWidth="1"/>
  </cols>
  <sheetData>
    <row r="1" spans="1:16" ht="21" customHeight="1">
      <c r="A1" s="321" t="s">
        <v>100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148"/>
    </row>
    <row r="2" spans="1:16" ht="15" customHeight="1">
      <c r="A2" s="148"/>
      <c r="B2" s="150"/>
      <c r="C2" s="151"/>
      <c r="D2" s="151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ht="13.5" thickBot="1"/>
    <row r="4" spans="1:30" ht="31.5" customHeight="1" thickBot="1">
      <c r="A4" s="322" t="s">
        <v>0</v>
      </c>
      <c r="B4" s="399" t="s">
        <v>1</v>
      </c>
      <c r="C4" s="401" t="s">
        <v>2</v>
      </c>
      <c r="D4" s="403" t="s">
        <v>3</v>
      </c>
      <c r="E4" s="380" t="s">
        <v>87</v>
      </c>
      <c r="F4" s="405"/>
      <c r="G4" s="360"/>
      <c r="H4" s="360" t="s">
        <v>88</v>
      </c>
      <c r="I4" s="382" t="s">
        <v>5</v>
      </c>
      <c r="J4" s="409" t="s">
        <v>6</v>
      </c>
      <c r="K4" s="410"/>
      <c r="L4" s="411"/>
      <c r="M4" s="415" t="s">
        <v>23</v>
      </c>
      <c r="N4" s="310" t="s">
        <v>89</v>
      </c>
      <c r="O4" s="371" t="s">
        <v>64</v>
      </c>
      <c r="P4" s="387" t="s">
        <v>8</v>
      </c>
      <c r="Q4" s="388"/>
      <c r="R4" s="388"/>
      <c r="S4" s="388"/>
      <c r="T4" s="388"/>
      <c r="U4" s="388"/>
      <c r="V4" s="388"/>
      <c r="W4" s="388"/>
      <c r="X4" s="388"/>
      <c r="Y4" s="388"/>
      <c r="Z4" s="389"/>
      <c r="AA4" s="300" t="s">
        <v>90</v>
      </c>
      <c r="AB4" s="302"/>
      <c r="AC4" s="393" t="s">
        <v>9</v>
      </c>
      <c r="AD4" s="393" t="s">
        <v>10</v>
      </c>
    </row>
    <row r="5" spans="1:30" ht="20.25" customHeight="1" thickBot="1">
      <c r="A5" s="323"/>
      <c r="B5" s="400"/>
      <c r="C5" s="402"/>
      <c r="D5" s="404"/>
      <c r="E5" s="406"/>
      <c r="F5" s="407"/>
      <c r="G5" s="408"/>
      <c r="H5" s="354"/>
      <c r="I5" s="383"/>
      <c r="J5" s="412"/>
      <c r="K5" s="413"/>
      <c r="L5" s="414"/>
      <c r="M5" s="416"/>
      <c r="N5" s="311"/>
      <c r="O5" s="372"/>
      <c r="P5" s="390"/>
      <c r="Q5" s="391"/>
      <c r="R5" s="391"/>
      <c r="S5" s="391"/>
      <c r="T5" s="391"/>
      <c r="U5" s="391"/>
      <c r="V5" s="391"/>
      <c r="W5" s="391"/>
      <c r="X5" s="391"/>
      <c r="Y5" s="391"/>
      <c r="Z5" s="392"/>
      <c r="AA5" s="395" t="s">
        <v>65</v>
      </c>
      <c r="AB5" s="371" t="s">
        <v>91</v>
      </c>
      <c r="AC5" s="394"/>
      <c r="AD5" s="394"/>
    </row>
    <row r="6" spans="1:30" ht="27" customHeight="1">
      <c r="A6" s="323"/>
      <c r="B6" s="400"/>
      <c r="C6" s="402"/>
      <c r="D6" s="404"/>
      <c r="E6" s="380" t="s">
        <v>92</v>
      </c>
      <c r="F6" s="382" t="s">
        <v>13</v>
      </c>
      <c r="G6" s="382" t="s">
        <v>15</v>
      </c>
      <c r="H6" s="354"/>
      <c r="I6" s="383"/>
      <c r="J6" s="385" t="s">
        <v>92</v>
      </c>
      <c r="K6" s="383" t="s">
        <v>13</v>
      </c>
      <c r="L6" s="386" t="s">
        <v>15</v>
      </c>
      <c r="M6" s="416"/>
      <c r="N6" s="311"/>
      <c r="O6" s="372"/>
      <c r="P6" s="397" t="s">
        <v>24</v>
      </c>
      <c r="Q6" s="375" t="s">
        <v>25</v>
      </c>
      <c r="R6" s="375" t="s">
        <v>102</v>
      </c>
      <c r="S6" s="375" t="s">
        <v>103</v>
      </c>
      <c r="T6" s="316" t="s">
        <v>93</v>
      </c>
      <c r="U6" s="288" t="s">
        <v>94</v>
      </c>
      <c r="V6" s="288" t="s">
        <v>27</v>
      </c>
      <c r="W6" s="371" t="s">
        <v>95</v>
      </c>
      <c r="X6" s="371" t="s">
        <v>32</v>
      </c>
      <c r="Y6" s="371" t="s">
        <v>27</v>
      </c>
      <c r="Z6" s="373" t="s">
        <v>33</v>
      </c>
      <c r="AA6" s="396"/>
      <c r="AB6" s="372"/>
      <c r="AC6" s="394"/>
      <c r="AD6" s="394"/>
    </row>
    <row r="7" spans="1:30" ht="50.25" customHeight="1" thickBot="1">
      <c r="A7" s="339"/>
      <c r="B7" s="400"/>
      <c r="C7" s="402"/>
      <c r="D7" s="404"/>
      <c r="E7" s="381"/>
      <c r="F7" s="383"/>
      <c r="G7" s="384"/>
      <c r="H7" s="362"/>
      <c r="I7" s="383"/>
      <c r="J7" s="381"/>
      <c r="K7" s="383"/>
      <c r="L7" s="386"/>
      <c r="M7" s="416"/>
      <c r="N7" s="311"/>
      <c r="O7" s="372"/>
      <c r="P7" s="398"/>
      <c r="Q7" s="376"/>
      <c r="R7" s="376"/>
      <c r="S7" s="376"/>
      <c r="T7" s="377"/>
      <c r="U7" s="378"/>
      <c r="V7" s="378"/>
      <c r="W7" s="379"/>
      <c r="X7" s="372"/>
      <c r="Y7" s="372"/>
      <c r="Z7" s="374"/>
      <c r="AA7" s="396"/>
      <c r="AB7" s="372"/>
      <c r="AC7" s="394"/>
      <c r="AD7" s="394"/>
    </row>
    <row r="8" spans="1:52" s="18" customFormat="1" ht="13.5" thickBot="1">
      <c r="A8" s="152" t="s">
        <v>45</v>
      </c>
      <c r="B8" s="21"/>
      <c r="C8" s="21">
        <f>Лист1!C37</f>
        <v>99773.42500000002</v>
      </c>
      <c r="D8" s="21">
        <f>Лист1!D37</f>
        <v>35448.43932577501</v>
      </c>
      <c r="E8" s="153">
        <f>Лист1!E37+Лист1!G37+Лист1!K37</f>
        <v>27395.260000000002</v>
      </c>
      <c r="F8" s="153">
        <f>Лист1!I37</f>
        <v>19349.570000000003</v>
      </c>
      <c r="G8" s="154">
        <f>Лист1!M37</f>
        <v>4757.72</v>
      </c>
      <c r="H8" s="153">
        <f>Лист1!P37</f>
        <v>8034.119999999999</v>
      </c>
      <c r="I8" s="153">
        <f>Лист1!O37</f>
        <v>51502.55</v>
      </c>
      <c r="J8" s="153">
        <f>Лист1!Q37+Лист1!R37+Лист1!T37</f>
        <v>19515.68</v>
      </c>
      <c r="K8" s="153">
        <f>Лист1!S37</f>
        <v>13778.189999999999</v>
      </c>
      <c r="L8" s="153">
        <f>Лист1!U37</f>
        <v>3388.8199999999997</v>
      </c>
      <c r="M8" s="153">
        <f>Лист1!V37</f>
        <v>36682.69</v>
      </c>
      <c r="N8" s="153">
        <f>Лист1!W37</f>
        <v>80165.24932577502</v>
      </c>
      <c r="O8" s="153">
        <f>'[1]Лист1'!X37</f>
        <v>0</v>
      </c>
      <c r="P8" s="153">
        <f>Лист1!Y37</f>
        <v>6857.795999999999</v>
      </c>
      <c r="Q8" s="153">
        <f>Лист1!Z37</f>
        <v>2290.7189944</v>
      </c>
      <c r="R8" s="155">
        <f>Лист1!AA37+Лист1!AB37+Лист1!AC37+Лист1!AD37+Лист1!AE37+Лист1!AF37+Лист1!AP37</f>
        <v>51465.140707682396</v>
      </c>
      <c r="S8" s="155"/>
      <c r="T8" s="155">
        <f>Лист1!AK37+Лист1!AM37</f>
        <v>15856.59</v>
      </c>
      <c r="U8" s="155">
        <f>Лист1!AL37</f>
        <v>47.8</v>
      </c>
      <c r="V8" s="155">
        <v>0</v>
      </c>
      <c r="W8" s="155">
        <f>0</f>
        <v>0</v>
      </c>
      <c r="X8" s="155">
        <v>0</v>
      </c>
      <c r="Y8" s="155">
        <v>0</v>
      </c>
      <c r="Z8" s="155">
        <f>Лист1!AS37</f>
        <v>76518.04570208241</v>
      </c>
      <c r="AA8" s="155">
        <f>'[2]Лист1'!$BC$39</f>
        <v>0</v>
      </c>
      <c r="AB8" s="21">
        <f>Z8</f>
        <v>76518.04570208241</v>
      </c>
      <c r="AC8" s="21">
        <f>Лист1!AU37</f>
        <v>3647.2036236926015</v>
      </c>
      <c r="AD8" s="21">
        <f>Лист1!AV37</f>
        <v>-14819.86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1"/>
    </row>
    <row r="9" spans="1:38" ht="12.75">
      <c r="A9" s="156" t="s">
        <v>96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231"/>
      <c r="AC9" s="231"/>
      <c r="AD9" s="231"/>
      <c r="AE9" s="148"/>
      <c r="AF9" s="148"/>
      <c r="AG9" s="148"/>
      <c r="AH9" s="148"/>
      <c r="AI9" s="148"/>
      <c r="AJ9" s="148"/>
      <c r="AK9" s="148"/>
      <c r="AL9" s="148"/>
    </row>
    <row r="10" spans="1:44" ht="12.75">
      <c r="A10" s="157" t="s">
        <v>83</v>
      </c>
      <c r="B10" s="105">
        <v>524.5</v>
      </c>
      <c r="C10" s="106">
        <f>B10*8.55*0.75</f>
        <v>3363.3562500000003</v>
      </c>
      <c r="D10" s="107">
        <v>96.39</v>
      </c>
      <c r="E10" s="158">
        <v>2783.2</v>
      </c>
      <c r="F10" s="158">
        <v>878.57</v>
      </c>
      <c r="G10" s="158">
        <v>304.75</v>
      </c>
      <c r="H10" s="158"/>
      <c r="I10" s="159">
        <f>E10+F10+G10</f>
        <v>3966.52</v>
      </c>
      <c r="J10" s="110">
        <v>0</v>
      </c>
      <c r="K10" s="110">
        <v>707.55</v>
      </c>
      <c r="L10" s="160">
        <v>173.94</v>
      </c>
      <c r="M10" s="105">
        <f>SUM(J10:L10)</f>
        <v>881.49</v>
      </c>
      <c r="N10" s="161">
        <f aca="true" t="shared" si="0" ref="N10:N21">M10+D10</f>
        <v>977.88</v>
      </c>
      <c r="O10" s="161"/>
      <c r="P10" s="162">
        <f aca="true" t="shared" si="1" ref="P10:P21">0.67*B10</f>
        <v>351.415</v>
      </c>
      <c r="Q10" s="162">
        <f aca="true" t="shared" si="2" ref="Q10:Q21">B10*0.2</f>
        <v>104.9</v>
      </c>
      <c r="R10" s="162">
        <f aca="true" t="shared" si="3" ref="R10:R21">(4.23*B10)</f>
        <v>2218.635</v>
      </c>
      <c r="S10" s="162"/>
      <c r="T10" s="163">
        <f>1039.36</f>
        <v>1039.36</v>
      </c>
      <c r="U10" s="163"/>
      <c r="V10" s="163"/>
      <c r="W10" s="227"/>
      <c r="X10" s="164"/>
      <c r="Y10" s="164">
        <f aca="true" t="shared" si="4" ref="Y10:Y15">X10*0.18</f>
        <v>0</v>
      </c>
      <c r="Z10" s="164">
        <f aca="true" t="shared" si="5" ref="Z10:Z21">SUM(P10:Y10)</f>
        <v>3714.3100000000004</v>
      </c>
      <c r="AA10" s="165"/>
      <c r="AB10" s="232">
        <f>Z10</f>
        <v>3714.3100000000004</v>
      </c>
      <c r="AC10" s="232">
        <f>N10-AB10</f>
        <v>-2736.4300000000003</v>
      </c>
      <c r="AD10" s="232">
        <f>M10-I10</f>
        <v>-3085.0299999999997</v>
      </c>
      <c r="AE10" s="150"/>
      <c r="AF10" s="150"/>
      <c r="AG10" s="150"/>
      <c r="AH10" s="150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5" ht="12.75">
      <c r="A11" s="157" t="s">
        <v>84</v>
      </c>
      <c r="B11" s="166">
        <v>524.5</v>
      </c>
      <c r="C11" s="106">
        <f>B11*8.55*0.9</f>
        <v>4036.0275000000006</v>
      </c>
      <c r="D11" s="107">
        <v>96.39</v>
      </c>
      <c r="E11" s="167">
        <v>834.96</v>
      </c>
      <c r="F11" s="158">
        <v>878.57</v>
      </c>
      <c r="G11" s="168">
        <v>304.75</v>
      </c>
      <c r="H11" s="169"/>
      <c r="I11" s="170">
        <f>E11+F11+G11</f>
        <v>2018.2800000000002</v>
      </c>
      <c r="J11" s="171">
        <v>1154.32</v>
      </c>
      <c r="K11" s="110">
        <v>1407.12</v>
      </c>
      <c r="L11" s="160">
        <v>397.22</v>
      </c>
      <c r="M11" s="172">
        <f>SUM(J11:L11)</f>
        <v>2958.66</v>
      </c>
      <c r="N11" s="161">
        <f t="shared" si="0"/>
        <v>3055.0499999999997</v>
      </c>
      <c r="O11" s="161"/>
      <c r="P11" s="162">
        <f t="shared" si="1"/>
        <v>351.415</v>
      </c>
      <c r="Q11" s="162">
        <f t="shared" si="2"/>
        <v>104.9</v>
      </c>
      <c r="R11" s="162">
        <f t="shared" si="3"/>
        <v>2218.635</v>
      </c>
      <c r="S11" s="162"/>
      <c r="T11" s="163">
        <v>4057</v>
      </c>
      <c r="U11" s="163"/>
      <c r="V11" s="163"/>
      <c r="W11" s="227"/>
      <c r="X11" s="164"/>
      <c r="Y11" s="164">
        <f t="shared" si="4"/>
        <v>0</v>
      </c>
      <c r="Z11" s="164">
        <f t="shared" si="5"/>
        <v>6731.950000000001</v>
      </c>
      <c r="AA11" s="165"/>
      <c r="AB11" s="232">
        <f aca="true" t="shared" si="6" ref="AB11:AB21">Z11</f>
        <v>6731.950000000001</v>
      </c>
      <c r="AC11" s="232">
        <f aca="true" t="shared" si="7" ref="AC11:AC21">N11-AB11</f>
        <v>-3676.900000000001</v>
      </c>
      <c r="AD11" s="232">
        <f aca="true" t="shared" si="8" ref="AD11:AD21">M11-I11</f>
        <v>940.3799999999997</v>
      </c>
      <c r="AE11" s="150"/>
      <c r="AF11" s="150"/>
      <c r="AG11" s="150"/>
      <c r="AH11" s="150"/>
      <c r="AI11" s="150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</row>
    <row r="12" spans="1:35" ht="12.75">
      <c r="A12" s="157" t="s">
        <v>38</v>
      </c>
      <c r="B12" s="105">
        <v>524.5</v>
      </c>
      <c r="C12" s="106">
        <f>B12*8.55*0.5</f>
        <v>2242.2375</v>
      </c>
      <c r="D12" s="107">
        <v>96.39</v>
      </c>
      <c r="E12" s="158">
        <v>1809.08</v>
      </c>
      <c r="F12" s="158">
        <v>878.57</v>
      </c>
      <c r="G12" s="158">
        <v>304.75</v>
      </c>
      <c r="H12" s="169"/>
      <c r="I12" s="173">
        <f>E12+F12+G12</f>
        <v>2992.4</v>
      </c>
      <c r="J12" s="110">
        <v>733.72</v>
      </c>
      <c r="K12" s="110">
        <v>498.73</v>
      </c>
      <c r="L12" s="110">
        <v>163.38</v>
      </c>
      <c r="M12" s="105">
        <f>SUM(J12:L12)</f>
        <v>1395.83</v>
      </c>
      <c r="N12" s="161">
        <f t="shared" si="0"/>
        <v>1492.22</v>
      </c>
      <c r="O12" s="161"/>
      <c r="P12" s="162">
        <f t="shared" si="1"/>
        <v>351.415</v>
      </c>
      <c r="Q12" s="162">
        <f t="shared" si="2"/>
        <v>104.9</v>
      </c>
      <c r="R12" s="162">
        <f t="shared" si="3"/>
        <v>2218.635</v>
      </c>
      <c r="S12" s="162"/>
      <c r="T12" s="163"/>
      <c r="U12" s="163"/>
      <c r="V12" s="163"/>
      <c r="W12" s="227"/>
      <c r="X12" s="164"/>
      <c r="Y12" s="164">
        <f t="shared" si="4"/>
        <v>0</v>
      </c>
      <c r="Z12" s="164">
        <f t="shared" si="5"/>
        <v>2674.9500000000003</v>
      </c>
      <c r="AA12" s="165"/>
      <c r="AB12" s="232">
        <f t="shared" si="6"/>
        <v>2674.9500000000003</v>
      </c>
      <c r="AC12" s="232">
        <f t="shared" si="7"/>
        <v>-1182.7300000000002</v>
      </c>
      <c r="AD12" s="232">
        <f t="shared" si="8"/>
        <v>-1596.5700000000002</v>
      </c>
      <c r="AE12" s="150"/>
      <c r="AF12" s="148"/>
      <c r="AG12" s="148"/>
      <c r="AH12" s="148"/>
      <c r="AI12" s="148"/>
    </row>
    <row r="13" spans="1:43" ht="12.75">
      <c r="A13" s="174" t="s">
        <v>39</v>
      </c>
      <c r="B13" s="105">
        <v>524.5</v>
      </c>
      <c r="C13" s="106">
        <f>B13*8.55*0.75</f>
        <v>3363.3562500000003</v>
      </c>
      <c r="D13" s="107">
        <v>96.39</v>
      </c>
      <c r="E13" s="175">
        <v>1809.08</v>
      </c>
      <c r="F13" s="158">
        <v>878.57</v>
      </c>
      <c r="G13" s="158">
        <v>304.75</v>
      </c>
      <c r="H13" s="168"/>
      <c r="I13" s="176">
        <f>E13+F13+G13</f>
        <v>2992.4</v>
      </c>
      <c r="J13" s="110">
        <v>1742.54</v>
      </c>
      <c r="K13" s="110">
        <v>1551.47</v>
      </c>
      <c r="L13" s="160">
        <v>467.17</v>
      </c>
      <c r="M13" s="177">
        <f>SUM(J13:L13)</f>
        <v>3761.1800000000003</v>
      </c>
      <c r="N13" s="178">
        <f t="shared" si="0"/>
        <v>3857.57</v>
      </c>
      <c r="O13" s="178"/>
      <c r="P13" s="179">
        <f t="shared" si="1"/>
        <v>351.415</v>
      </c>
      <c r="Q13" s="179">
        <f t="shared" si="2"/>
        <v>104.9</v>
      </c>
      <c r="R13" s="179">
        <f t="shared" si="3"/>
        <v>2218.635</v>
      </c>
      <c r="S13" s="179"/>
      <c r="T13" s="180"/>
      <c r="U13" s="180"/>
      <c r="V13" s="180"/>
      <c r="W13" s="228"/>
      <c r="X13" s="181"/>
      <c r="Y13" s="181">
        <f t="shared" si="4"/>
        <v>0</v>
      </c>
      <c r="Z13" s="181">
        <f t="shared" si="5"/>
        <v>2674.9500000000003</v>
      </c>
      <c r="AA13" s="182"/>
      <c r="AB13" s="232">
        <f t="shared" si="6"/>
        <v>2674.9500000000003</v>
      </c>
      <c r="AC13" s="232">
        <f t="shared" si="7"/>
        <v>1182.62</v>
      </c>
      <c r="AD13" s="232">
        <f t="shared" si="8"/>
        <v>768.7800000000002</v>
      </c>
      <c r="AE13" s="150"/>
      <c r="AF13" s="150"/>
      <c r="AG13" s="150"/>
      <c r="AH13" s="150"/>
      <c r="AI13" s="150"/>
      <c r="AJ13" s="148"/>
      <c r="AK13" s="148"/>
      <c r="AL13" s="148"/>
      <c r="AM13" s="148"/>
      <c r="AN13" s="148"/>
      <c r="AO13" s="148"/>
      <c r="AP13" s="148"/>
      <c r="AQ13" s="148"/>
    </row>
    <row r="14" spans="1:43" ht="12.75">
      <c r="A14" s="174" t="s">
        <v>40</v>
      </c>
      <c r="B14" s="105">
        <v>524.5</v>
      </c>
      <c r="C14" s="106">
        <f>B14*8.55*0.75</f>
        <v>3363.3562500000003</v>
      </c>
      <c r="D14" s="107">
        <v>96.39</v>
      </c>
      <c r="E14" s="158">
        <v>2783.2</v>
      </c>
      <c r="F14" s="158">
        <v>1351.64</v>
      </c>
      <c r="G14" s="168">
        <v>468.86</v>
      </c>
      <c r="H14" s="169"/>
      <c r="I14" s="183">
        <f>SUM(E14:G14)</f>
        <v>4603.7</v>
      </c>
      <c r="J14" s="110">
        <v>1074.87</v>
      </c>
      <c r="K14" s="110">
        <v>651.1</v>
      </c>
      <c r="L14" s="160">
        <v>211.11</v>
      </c>
      <c r="M14" s="184">
        <f>SUM(J14:L14)</f>
        <v>1937.08</v>
      </c>
      <c r="N14" s="185">
        <f t="shared" si="0"/>
        <v>2033.47</v>
      </c>
      <c r="O14" s="178"/>
      <c r="P14" s="179">
        <f t="shared" si="1"/>
        <v>351.415</v>
      </c>
      <c r="Q14" s="179">
        <f t="shared" si="2"/>
        <v>104.9</v>
      </c>
      <c r="R14" s="179">
        <f t="shared" si="3"/>
        <v>2218.635</v>
      </c>
      <c r="S14" s="179"/>
      <c r="T14" s="180"/>
      <c r="U14" s="180"/>
      <c r="V14" s="180"/>
      <c r="W14" s="228"/>
      <c r="X14" s="181"/>
      <c r="Y14" s="181">
        <f t="shared" si="4"/>
        <v>0</v>
      </c>
      <c r="Z14" s="181">
        <f t="shared" si="5"/>
        <v>2674.9500000000003</v>
      </c>
      <c r="AA14" s="182"/>
      <c r="AB14" s="232">
        <f t="shared" si="6"/>
        <v>2674.9500000000003</v>
      </c>
      <c r="AC14" s="232">
        <f t="shared" si="7"/>
        <v>-641.4800000000002</v>
      </c>
      <c r="AD14" s="232">
        <f t="shared" si="8"/>
        <v>-2666.62</v>
      </c>
      <c r="AE14" s="150"/>
      <c r="AF14" s="150"/>
      <c r="AG14" s="150"/>
      <c r="AH14" s="150"/>
      <c r="AI14" s="150"/>
      <c r="AJ14" s="148"/>
      <c r="AK14" s="148"/>
      <c r="AL14" s="148"/>
      <c r="AM14" s="148"/>
      <c r="AN14" s="148"/>
      <c r="AO14" s="148"/>
      <c r="AP14" s="148"/>
      <c r="AQ14" s="148"/>
    </row>
    <row r="15" spans="1:43" ht="12.75">
      <c r="A15" s="174" t="s">
        <v>41</v>
      </c>
      <c r="B15" s="186">
        <v>524.5</v>
      </c>
      <c r="C15" s="106">
        <f aca="true" t="shared" si="9" ref="C15:C21">B15*8.55</f>
        <v>4484.475</v>
      </c>
      <c r="D15" s="107">
        <v>96.39</v>
      </c>
      <c r="E15" s="158">
        <v>2783.2</v>
      </c>
      <c r="F15" s="158">
        <v>1351.64</v>
      </c>
      <c r="G15" s="168">
        <v>468.86</v>
      </c>
      <c r="H15" s="169"/>
      <c r="I15" s="188">
        <f aca="true" t="shared" si="10" ref="I15:I21">SUM(E15:G15)</f>
        <v>4603.7</v>
      </c>
      <c r="J15" s="189">
        <v>1288.51</v>
      </c>
      <c r="K15" s="189">
        <v>696.89</v>
      </c>
      <c r="L15" s="190">
        <v>234.57</v>
      </c>
      <c r="M15" s="191">
        <v>2219.97</v>
      </c>
      <c r="N15" s="178">
        <f t="shared" si="0"/>
        <v>2316.3599999999997</v>
      </c>
      <c r="O15" s="178"/>
      <c r="P15" s="179">
        <f t="shared" si="1"/>
        <v>351.415</v>
      </c>
      <c r="Q15" s="179">
        <f t="shared" si="2"/>
        <v>104.9</v>
      </c>
      <c r="R15" s="179">
        <f t="shared" si="3"/>
        <v>2218.635</v>
      </c>
      <c r="S15" s="179"/>
      <c r="T15" s="180"/>
      <c r="U15" s="180"/>
      <c r="V15" s="180"/>
      <c r="W15" s="229"/>
      <c r="X15" s="192"/>
      <c r="Y15" s="193">
        <f t="shared" si="4"/>
        <v>0</v>
      </c>
      <c r="Z15" s="194">
        <f t="shared" si="5"/>
        <v>2674.9500000000003</v>
      </c>
      <c r="AA15" s="182"/>
      <c r="AB15" s="232">
        <f t="shared" si="6"/>
        <v>2674.9500000000003</v>
      </c>
      <c r="AC15" s="232">
        <f t="shared" si="7"/>
        <v>-358.5900000000006</v>
      </c>
      <c r="AD15" s="232">
        <f t="shared" si="8"/>
        <v>-2383.73</v>
      </c>
      <c r="AE15" s="150"/>
      <c r="AF15" s="150"/>
      <c r="AG15" s="150"/>
      <c r="AH15" s="150"/>
      <c r="AI15" s="150"/>
      <c r="AJ15" s="148"/>
      <c r="AK15" s="148"/>
      <c r="AL15" s="148"/>
      <c r="AM15" s="148"/>
      <c r="AN15" s="148"/>
      <c r="AO15" s="148"/>
      <c r="AP15" s="148"/>
      <c r="AQ15" s="148"/>
    </row>
    <row r="16" spans="1:39" ht="12.75">
      <c r="A16" s="174" t="s">
        <v>42</v>
      </c>
      <c r="B16" s="105">
        <v>524.5</v>
      </c>
      <c r="C16" s="106">
        <f t="shared" si="9"/>
        <v>4484.475</v>
      </c>
      <c r="D16" s="107">
        <v>96.39</v>
      </c>
      <c r="E16" s="195">
        <v>2783.2</v>
      </c>
      <c r="F16" s="195">
        <v>1351.64</v>
      </c>
      <c r="G16" s="196">
        <v>468.86</v>
      </c>
      <c r="H16" s="197"/>
      <c r="I16" s="188">
        <f t="shared" si="10"/>
        <v>4603.7</v>
      </c>
      <c r="J16" s="110">
        <v>3204.49</v>
      </c>
      <c r="K16" s="110">
        <v>2154.14</v>
      </c>
      <c r="L16" s="110">
        <v>686.78</v>
      </c>
      <c r="M16" s="198">
        <f aca="true" t="shared" si="11" ref="M16:M21">SUM(J16:L16)</f>
        <v>6045.409999999999</v>
      </c>
      <c r="N16" s="199">
        <f t="shared" si="0"/>
        <v>6141.799999999999</v>
      </c>
      <c r="O16" s="178"/>
      <c r="P16" s="179">
        <f t="shared" si="1"/>
        <v>351.415</v>
      </c>
      <c r="Q16" s="179">
        <f t="shared" si="2"/>
        <v>104.9</v>
      </c>
      <c r="R16" s="179">
        <f t="shared" si="3"/>
        <v>2218.635</v>
      </c>
      <c r="S16" s="179"/>
      <c r="T16" s="180"/>
      <c r="U16" s="180"/>
      <c r="V16" s="180"/>
      <c r="W16" s="229"/>
      <c r="X16" s="192">
        <v>-3015.88</v>
      </c>
      <c r="Y16" s="181">
        <f>X16*0</f>
        <v>0</v>
      </c>
      <c r="Z16" s="181">
        <f t="shared" si="5"/>
        <v>-340.92999999999984</v>
      </c>
      <c r="AA16" s="182"/>
      <c r="AB16" s="232">
        <f t="shared" si="6"/>
        <v>-340.92999999999984</v>
      </c>
      <c r="AC16" s="232">
        <f t="shared" si="7"/>
        <v>6482.73</v>
      </c>
      <c r="AD16" s="232">
        <f t="shared" si="8"/>
        <v>1441.7099999999991</v>
      </c>
      <c r="AE16" s="200"/>
      <c r="AF16" s="148"/>
      <c r="AG16" s="148"/>
      <c r="AH16" s="148"/>
      <c r="AI16" s="148"/>
      <c r="AJ16" s="148"/>
      <c r="AK16" s="148"/>
      <c r="AL16" s="148"/>
      <c r="AM16" s="148"/>
    </row>
    <row r="17" spans="1:38" ht="12.75">
      <c r="A17" s="174" t="s">
        <v>43</v>
      </c>
      <c r="B17" s="105">
        <v>524.5</v>
      </c>
      <c r="C17" s="106">
        <f t="shared" si="9"/>
        <v>4484.475</v>
      </c>
      <c r="D17" s="107">
        <v>96.39</v>
      </c>
      <c r="E17" s="158">
        <v>2780.56</v>
      </c>
      <c r="F17" s="158">
        <v>1350.34</v>
      </c>
      <c r="G17" s="158">
        <v>468.4</v>
      </c>
      <c r="H17" s="169"/>
      <c r="I17" s="188">
        <f t="shared" si="10"/>
        <v>4599.299999999999</v>
      </c>
      <c r="J17" s="110">
        <v>1929.81</v>
      </c>
      <c r="K17" s="110">
        <v>1333.22</v>
      </c>
      <c r="L17" s="110">
        <v>422.5</v>
      </c>
      <c r="M17" s="198">
        <f t="shared" si="11"/>
        <v>3685.5299999999997</v>
      </c>
      <c r="N17" s="199">
        <f t="shared" si="0"/>
        <v>3781.9199999999996</v>
      </c>
      <c r="O17" s="178"/>
      <c r="P17" s="179">
        <f t="shared" si="1"/>
        <v>351.415</v>
      </c>
      <c r="Q17" s="179">
        <f t="shared" si="2"/>
        <v>104.9</v>
      </c>
      <c r="R17" s="179">
        <f t="shared" si="3"/>
        <v>2218.635</v>
      </c>
      <c r="S17" s="179"/>
      <c r="T17" s="180"/>
      <c r="U17" s="180"/>
      <c r="V17" s="180"/>
      <c r="W17" s="229"/>
      <c r="X17" s="192"/>
      <c r="Y17" s="193">
        <f>X17*0.18</f>
        <v>0</v>
      </c>
      <c r="Z17" s="181">
        <f t="shared" si="5"/>
        <v>2674.9500000000003</v>
      </c>
      <c r="AA17" s="182"/>
      <c r="AB17" s="232">
        <f t="shared" si="6"/>
        <v>2674.9500000000003</v>
      </c>
      <c r="AC17" s="232">
        <f t="shared" si="7"/>
        <v>1106.9699999999993</v>
      </c>
      <c r="AD17" s="232">
        <f t="shared" si="8"/>
        <v>-913.7699999999995</v>
      </c>
      <c r="AE17" s="148"/>
      <c r="AF17" s="148"/>
      <c r="AG17" s="148"/>
      <c r="AH17" s="148"/>
      <c r="AI17" s="148"/>
      <c r="AJ17" s="148"/>
      <c r="AK17" s="148"/>
      <c r="AL17" s="148"/>
    </row>
    <row r="18" spans="1:38" ht="12.75">
      <c r="A18" s="174" t="s">
        <v>44</v>
      </c>
      <c r="B18" s="105">
        <v>524.5</v>
      </c>
      <c r="C18" s="106">
        <f t="shared" si="9"/>
        <v>4484.475</v>
      </c>
      <c r="D18" s="187">
        <v>78.54</v>
      </c>
      <c r="E18" s="158">
        <v>2772.94</v>
      </c>
      <c r="F18" s="158">
        <v>1346.6</v>
      </c>
      <c r="G18" s="158">
        <v>467.06</v>
      </c>
      <c r="H18" s="169"/>
      <c r="I18" s="188">
        <f t="shared" si="10"/>
        <v>4586.6</v>
      </c>
      <c r="J18" s="110">
        <v>2804.3</v>
      </c>
      <c r="K18" s="110">
        <v>1409.09</v>
      </c>
      <c r="L18" s="110">
        <v>481.73</v>
      </c>
      <c r="M18" s="201">
        <f t="shared" si="11"/>
        <v>4695.120000000001</v>
      </c>
      <c r="N18" s="199">
        <f t="shared" si="0"/>
        <v>4773.660000000001</v>
      </c>
      <c r="O18" s="178"/>
      <c r="P18" s="179">
        <f t="shared" si="1"/>
        <v>351.415</v>
      </c>
      <c r="Q18" s="179">
        <f t="shared" si="2"/>
        <v>104.9</v>
      </c>
      <c r="R18" s="179">
        <f t="shared" si="3"/>
        <v>2218.635</v>
      </c>
      <c r="S18" s="179"/>
      <c r="T18" s="180"/>
      <c r="U18" s="180"/>
      <c r="V18" s="180"/>
      <c r="W18" s="229"/>
      <c r="X18" s="192"/>
      <c r="Y18" s="193">
        <f>X18*0.18</f>
        <v>0</v>
      </c>
      <c r="Z18" s="181">
        <f t="shared" si="5"/>
        <v>2674.9500000000003</v>
      </c>
      <c r="AA18" s="182"/>
      <c r="AB18" s="232">
        <f t="shared" si="6"/>
        <v>2674.9500000000003</v>
      </c>
      <c r="AC18" s="232">
        <f t="shared" si="7"/>
        <v>2098.7100000000005</v>
      </c>
      <c r="AD18" s="232">
        <f t="shared" si="8"/>
        <v>108.52000000000044</v>
      </c>
      <c r="AE18" s="148"/>
      <c r="AF18" s="148"/>
      <c r="AG18" s="148"/>
      <c r="AH18" s="148"/>
      <c r="AI18" s="148"/>
      <c r="AJ18" s="148"/>
      <c r="AK18" s="148"/>
      <c r="AL18" s="148"/>
    </row>
    <row r="19" spans="1:38" ht="12.75">
      <c r="A19" s="174" t="s">
        <v>34</v>
      </c>
      <c r="B19" s="105">
        <v>524.5</v>
      </c>
      <c r="C19" s="106">
        <f t="shared" si="9"/>
        <v>4484.475</v>
      </c>
      <c r="D19" s="187">
        <v>78.54</v>
      </c>
      <c r="E19" s="158">
        <v>2772.94</v>
      </c>
      <c r="F19" s="158">
        <v>1346.6</v>
      </c>
      <c r="G19" s="202">
        <v>467.06</v>
      </c>
      <c r="H19" s="173"/>
      <c r="I19" s="188">
        <f t="shared" si="10"/>
        <v>4586.6</v>
      </c>
      <c r="J19" s="203">
        <v>2592.11</v>
      </c>
      <c r="K19" s="203">
        <v>1300.33</v>
      </c>
      <c r="L19" s="204">
        <v>441.32</v>
      </c>
      <c r="M19" s="201">
        <f t="shared" si="11"/>
        <v>4333.76</v>
      </c>
      <c r="N19" s="199">
        <f t="shared" si="0"/>
        <v>4412.3</v>
      </c>
      <c r="O19" s="178"/>
      <c r="P19" s="179">
        <f t="shared" si="1"/>
        <v>351.415</v>
      </c>
      <c r="Q19" s="179">
        <f t="shared" si="2"/>
        <v>104.9</v>
      </c>
      <c r="R19" s="179">
        <f t="shared" si="3"/>
        <v>2218.635</v>
      </c>
      <c r="S19" s="179"/>
      <c r="T19" s="180"/>
      <c r="U19" s="180"/>
      <c r="V19" s="180"/>
      <c r="W19" s="229"/>
      <c r="X19" s="192"/>
      <c r="Y19" s="193">
        <f>X19*0.18</f>
        <v>0</v>
      </c>
      <c r="Z19" s="181">
        <f t="shared" si="5"/>
        <v>2674.9500000000003</v>
      </c>
      <c r="AA19" s="182"/>
      <c r="AB19" s="232">
        <f t="shared" si="6"/>
        <v>2674.9500000000003</v>
      </c>
      <c r="AC19" s="232">
        <f t="shared" si="7"/>
        <v>1737.35</v>
      </c>
      <c r="AD19" s="232">
        <f t="shared" si="8"/>
        <v>-252.84000000000015</v>
      </c>
      <c r="AE19" s="148"/>
      <c r="AF19" s="148"/>
      <c r="AG19" s="148"/>
      <c r="AH19" s="148"/>
      <c r="AI19" s="148"/>
      <c r="AJ19" s="148"/>
      <c r="AK19" s="148"/>
      <c r="AL19" s="148"/>
    </row>
    <row r="20" spans="1:38" ht="12.75">
      <c r="A20" s="157" t="s">
        <v>35</v>
      </c>
      <c r="B20" s="105">
        <v>524.5</v>
      </c>
      <c r="C20" s="106">
        <f t="shared" si="9"/>
        <v>4484.475</v>
      </c>
      <c r="D20" s="187">
        <v>78.54</v>
      </c>
      <c r="E20" s="158">
        <v>2772.94</v>
      </c>
      <c r="F20" s="158">
        <v>1346.6</v>
      </c>
      <c r="G20" s="158">
        <v>467.06</v>
      </c>
      <c r="H20" s="169"/>
      <c r="I20" s="188">
        <f t="shared" si="10"/>
        <v>4586.6</v>
      </c>
      <c r="J20" s="203">
        <v>1415.67</v>
      </c>
      <c r="K20" s="203">
        <v>710.52</v>
      </c>
      <c r="L20" s="203">
        <v>244.04</v>
      </c>
      <c r="M20" s="201">
        <f t="shared" si="11"/>
        <v>2370.23</v>
      </c>
      <c r="N20" s="199">
        <f t="shared" si="0"/>
        <v>2448.77</v>
      </c>
      <c r="O20" s="178"/>
      <c r="P20" s="179">
        <f t="shared" si="1"/>
        <v>351.415</v>
      </c>
      <c r="Q20" s="179">
        <f t="shared" si="2"/>
        <v>104.9</v>
      </c>
      <c r="R20" s="179">
        <f t="shared" si="3"/>
        <v>2218.635</v>
      </c>
      <c r="S20" s="179"/>
      <c r="T20" s="180"/>
      <c r="U20" s="180"/>
      <c r="V20" s="180"/>
      <c r="W20" s="229"/>
      <c r="X20" s="192"/>
      <c r="Y20" s="193">
        <f>X20*0.18</f>
        <v>0</v>
      </c>
      <c r="Z20" s="181">
        <f t="shared" si="5"/>
        <v>2674.9500000000003</v>
      </c>
      <c r="AA20" s="182"/>
      <c r="AB20" s="232">
        <f t="shared" si="6"/>
        <v>2674.9500000000003</v>
      </c>
      <c r="AC20" s="232">
        <f t="shared" si="7"/>
        <v>-226.1800000000003</v>
      </c>
      <c r="AD20" s="232">
        <f t="shared" si="8"/>
        <v>-2216.3700000000003</v>
      </c>
      <c r="AE20" s="148"/>
      <c r="AF20" s="148"/>
      <c r="AG20" s="148"/>
      <c r="AH20" s="148"/>
      <c r="AI20" s="148"/>
      <c r="AJ20" s="148"/>
      <c r="AK20" s="148"/>
      <c r="AL20" s="148"/>
    </row>
    <row r="21" spans="1:38" ht="13.5" thickBot="1">
      <c r="A21" s="205" t="s">
        <v>36</v>
      </c>
      <c r="B21" s="105">
        <v>524.5</v>
      </c>
      <c r="C21" s="106">
        <f t="shared" si="9"/>
        <v>4484.475</v>
      </c>
      <c r="D21" s="187">
        <v>78.54</v>
      </c>
      <c r="E21" s="195">
        <v>2779.23</v>
      </c>
      <c r="F21" s="195">
        <v>1349.68</v>
      </c>
      <c r="G21" s="195">
        <v>468.16</v>
      </c>
      <c r="H21" s="197"/>
      <c r="I21" s="188">
        <f t="shared" si="10"/>
        <v>4597.07</v>
      </c>
      <c r="J21" s="189">
        <v>2799.98</v>
      </c>
      <c r="K21" s="189">
        <v>1367.58</v>
      </c>
      <c r="L21" s="186">
        <v>482.92</v>
      </c>
      <c r="M21" s="201">
        <f t="shared" si="11"/>
        <v>4650.48</v>
      </c>
      <c r="N21" s="199">
        <f t="shared" si="0"/>
        <v>4729.0199999999995</v>
      </c>
      <c r="O21" s="178"/>
      <c r="P21" s="179">
        <f t="shared" si="1"/>
        <v>351.415</v>
      </c>
      <c r="Q21" s="179">
        <f t="shared" si="2"/>
        <v>104.9</v>
      </c>
      <c r="R21" s="179">
        <f t="shared" si="3"/>
        <v>2218.635</v>
      </c>
      <c r="S21" s="179"/>
      <c r="T21" s="180">
        <f>1494</f>
        <v>1494</v>
      </c>
      <c r="U21" s="180"/>
      <c r="V21" s="206"/>
      <c r="W21" s="230"/>
      <c r="X21" s="192"/>
      <c r="Y21" s="193">
        <f>X21*0.18</f>
        <v>0</v>
      </c>
      <c r="Z21" s="181">
        <f t="shared" si="5"/>
        <v>4168.950000000001</v>
      </c>
      <c r="AA21" s="182"/>
      <c r="AB21" s="232">
        <f t="shared" si="6"/>
        <v>4168.950000000001</v>
      </c>
      <c r="AC21" s="232">
        <f t="shared" si="7"/>
        <v>560.0699999999988</v>
      </c>
      <c r="AD21" s="232">
        <f t="shared" si="8"/>
        <v>53.409999999999854</v>
      </c>
      <c r="AE21" s="148"/>
      <c r="AF21" s="148"/>
      <c r="AG21" s="148"/>
      <c r="AH21" s="148"/>
      <c r="AI21" s="148"/>
      <c r="AJ21" s="148"/>
      <c r="AK21" s="148"/>
      <c r="AL21" s="148"/>
    </row>
    <row r="22" spans="1:38" s="18" customFormat="1" ht="13.5" thickBot="1">
      <c r="A22" s="207" t="s">
        <v>5</v>
      </c>
      <c r="B22" s="208"/>
      <c r="C22" s="208"/>
      <c r="D22" s="209">
        <v>1734.12</v>
      </c>
      <c r="E22" s="209">
        <v>18214.36</v>
      </c>
      <c r="F22" s="209">
        <v>8844.61</v>
      </c>
      <c r="G22" s="209">
        <v>3067.09</v>
      </c>
      <c r="H22" s="208">
        <v>0</v>
      </c>
      <c r="I22" s="209">
        <v>30126.06</v>
      </c>
      <c r="J22" s="209">
        <v>13442.91</v>
      </c>
      <c r="K22" s="209">
        <v>7960.82</v>
      </c>
      <c r="L22" s="209">
        <v>2594.66</v>
      </c>
      <c r="M22" s="209">
        <v>23998.39</v>
      </c>
      <c r="N22" s="209">
        <v>25732.51</v>
      </c>
      <c r="O22" s="208">
        <v>0</v>
      </c>
      <c r="P22" s="209">
        <v>2197.33</v>
      </c>
      <c r="Q22" s="208">
        <v>655.92</v>
      </c>
      <c r="R22" s="209">
        <v>13872.71</v>
      </c>
      <c r="S22" s="209"/>
      <c r="T22" s="209">
        <v>2986.54</v>
      </c>
      <c r="U22" s="208">
        <v>0</v>
      </c>
      <c r="V22" s="208">
        <v>280</v>
      </c>
      <c r="W22" s="208">
        <v>0</v>
      </c>
      <c r="X22" s="209">
        <f>SUM(V10:V21)</f>
        <v>0</v>
      </c>
      <c r="Y22" s="209">
        <f aca="true" t="shared" si="12" ref="Y22:AD22">SUM(Y10:Y21)</f>
        <v>0</v>
      </c>
      <c r="Z22" s="209">
        <f t="shared" si="12"/>
        <v>35673.880000000005</v>
      </c>
      <c r="AA22" s="209">
        <f t="shared" si="12"/>
        <v>0</v>
      </c>
      <c r="AB22" s="233">
        <f t="shared" si="12"/>
        <v>35673.880000000005</v>
      </c>
      <c r="AC22" s="233">
        <f t="shared" si="12"/>
        <v>4346.139999999994</v>
      </c>
      <c r="AD22" s="233">
        <f t="shared" si="12"/>
        <v>-9802.13</v>
      </c>
      <c r="AE22" s="61"/>
      <c r="AF22" s="61"/>
      <c r="AG22" s="61"/>
      <c r="AH22" s="61"/>
      <c r="AI22" s="61"/>
      <c r="AJ22" s="61"/>
      <c r="AK22" s="61"/>
      <c r="AL22" s="61"/>
    </row>
    <row r="23" spans="1:38" ht="13.5" thickBo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34"/>
      <c r="AC23" s="234"/>
      <c r="AD23" s="234"/>
      <c r="AE23" s="148"/>
      <c r="AF23" s="148"/>
      <c r="AG23" s="148"/>
      <c r="AH23" s="148"/>
      <c r="AI23" s="148"/>
      <c r="AJ23" s="148"/>
      <c r="AK23" s="148"/>
      <c r="AL23" s="148"/>
    </row>
    <row r="24" spans="1:30" s="18" customFormat="1" ht="13.5" thickBot="1">
      <c r="A24" s="207" t="s">
        <v>97</v>
      </c>
      <c r="B24" s="208"/>
      <c r="C24" s="208"/>
      <c r="D24" s="209">
        <v>9330.22</v>
      </c>
      <c r="E24" s="209">
        <v>263129.61</v>
      </c>
      <c r="F24" s="209">
        <v>181875.86</v>
      </c>
      <c r="G24" s="209">
        <v>45624.38</v>
      </c>
      <c r="H24" s="209">
        <v>71944.81</v>
      </c>
      <c r="I24" s="209">
        <v>490629.85</v>
      </c>
      <c r="J24" s="209">
        <v>216840.97</v>
      </c>
      <c r="K24" s="209">
        <v>151570.93</v>
      </c>
      <c r="L24" s="209">
        <v>38052.74</v>
      </c>
      <c r="M24" s="209">
        <v>406464.64</v>
      </c>
      <c r="N24" s="209">
        <v>534624.38</v>
      </c>
      <c r="O24" s="208">
        <v>0</v>
      </c>
      <c r="P24" s="211">
        <f aca="true" t="shared" si="13" ref="P24:AC24">P8+P22</f>
        <v>9055.126</v>
      </c>
      <c r="Q24" s="211">
        <f t="shared" si="13"/>
        <v>2946.6389944000002</v>
      </c>
      <c r="R24" s="211">
        <f t="shared" si="13"/>
        <v>65337.850707682395</v>
      </c>
      <c r="S24" s="211"/>
      <c r="T24" s="211">
        <f t="shared" si="13"/>
        <v>18843.13</v>
      </c>
      <c r="U24" s="211">
        <f t="shared" si="13"/>
        <v>47.8</v>
      </c>
      <c r="V24" s="211">
        <f t="shared" si="13"/>
        <v>280</v>
      </c>
      <c r="W24" s="211">
        <f t="shared" si="13"/>
        <v>0</v>
      </c>
      <c r="X24" s="211">
        <f t="shared" si="13"/>
        <v>0</v>
      </c>
      <c r="Y24" s="211">
        <f t="shared" si="13"/>
        <v>0</v>
      </c>
      <c r="Z24" s="211">
        <f t="shared" si="13"/>
        <v>112191.92570208242</v>
      </c>
      <c r="AA24" s="211">
        <f t="shared" si="13"/>
        <v>0</v>
      </c>
      <c r="AB24" s="235">
        <f t="shared" si="13"/>
        <v>112191.92570208242</v>
      </c>
      <c r="AC24" s="235">
        <f t="shared" si="13"/>
        <v>7993.343623692595</v>
      </c>
      <c r="AD24" s="235">
        <f>AD8+AD22</f>
        <v>-24621.989999999998</v>
      </c>
    </row>
    <row r="25" spans="1:38" ht="12.75">
      <c r="A25" s="156" t="s">
        <v>101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U25" s="157"/>
      <c r="V25" s="157"/>
      <c r="W25" s="157"/>
      <c r="X25" s="157"/>
      <c r="Y25" s="157"/>
      <c r="Z25" s="157"/>
      <c r="AA25" s="157"/>
      <c r="AB25" s="231"/>
      <c r="AC25" s="231"/>
      <c r="AD25" s="231"/>
      <c r="AE25" s="148"/>
      <c r="AF25" s="148"/>
      <c r="AG25" s="148"/>
      <c r="AH25" s="148"/>
      <c r="AI25" s="148"/>
      <c r="AJ25" s="148"/>
      <c r="AK25" s="148"/>
      <c r="AL25" s="148"/>
    </row>
    <row r="26" spans="1:44" ht="14.25">
      <c r="A26" s="157" t="s">
        <v>83</v>
      </c>
      <c r="B26" s="105">
        <v>524.5</v>
      </c>
      <c r="C26" s="106">
        <f aca="true" t="shared" si="14" ref="C26:C31">B26*8.55</f>
        <v>4484.475</v>
      </c>
      <c r="D26" s="187">
        <v>78.54</v>
      </c>
      <c r="E26" s="222">
        <v>2785.52</v>
      </c>
      <c r="F26" s="222">
        <v>1352.78</v>
      </c>
      <c r="G26" s="222">
        <v>469.27</v>
      </c>
      <c r="H26" s="226"/>
      <c r="I26" s="188">
        <f aca="true" t="shared" si="15" ref="I26:I37">SUM(E26:G26)</f>
        <v>4607.57</v>
      </c>
      <c r="J26" s="203">
        <v>1857.65</v>
      </c>
      <c r="K26" s="203">
        <v>935.02</v>
      </c>
      <c r="L26" s="203">
        <v>321.04</v>
      </c>
      <c r="M26" s="201">
        <f aca="true" t="shared" si="16" ref="M26:M37">SUM(J26:L26)</f>
        <v>3113.71</v>
      </c>
      <c r="N26" s="199">
        <f aca="true" t="shared" si="17" ref="N26:N37">M26+D26</f>
        <v>3192.25</v>
      </c>
      <c r="O26" s="223"/>
      <c r="P26" s="179">
        <f aca="true" t="shared" si="18" ref="P26:P37">0.67*B26</f>
        <v>351.415</v>
      </c>
      <c r="Q26" s="179">
        <f aca="true" t="shared" si="19" ref="Q26:Q37">B26*0.2</f>
        <v>104.9</v>
      </c>
      <c r="R26" s="179">
        <f aca="true" t="shared" si="20" ref="R26:R37">B26*0.21</f>
        <v>110.145</v>
      </c>
      <c r="S26" s="179">
        <f aca="true" t="shared" si="21" ref="S26:S37">(4.23*B26)</f>
        <v>2218.635</v>
      </c>
      <c r="T26" s="180"/>
      <c r="U26" s="180"/>
      <c r="V26" s="180"/>
      <c r="W26" s="180"/>
      <c r="X26" s="180"/>
      <c r="Y26" s="192"/>
      <c r="Z26" s="181">
        <f aca="true" t="shared" si="22" ref="Z26:Z37">SUM(P26:Y26)</f>
        <v>2785.0950000000003</v>
      </c>
      <c r="AA26" s="182"/>
      <c r="AB26" s="232">
        <f>Z26+AA26</f>
        <v>2785.0950000000003</v>
      </c>
      <c r="AC26" s="232">
        <f>N26-AB26+O26</f>
        <v>407.15499999999975</v>
      </c>
      <c r="AD26" s="232">
        <f>M26-I26</f>
        <v>-1493.8599999999997</v>
      </c>
      <c r="AE26" s="150"/>
      <c r="AF26" s="150"/>
      <c r="AG26" s="150"/>
      <c r="AH26" s="150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</row>
    <row r="27" spans="1:45" ht="12.75">
      <c r="A27" s="157" t="s">
        <v>84</v>
      </c>
      <c r="B27" s="105">
        <v>524.5</v>
      </c>
      <c r="C27" s="106">
        <f t="shared" si="14"/>
        <v>4484.475</v>
      </c>
      <c r="D27" s="187">
        <v>78.54</v>
      </c>
      <c r="E27" s="158">
        <v>2788.33</v>
      </c>
      <c r="F27" s="158">
        <v>1354.16</v>
      </c>
      <c r="G27" s="168">
        <v>469.76</v>
      </c>
      <c r="H27" s="169"/>
      <c r="I27" s="188">
        <f t="shared" si="15"/>
        <v>4612.25</v>
      </c>
      <c r="J27" s="110">
        <v>3150.27</v>
      </c>
      <c r="K27" s="110">
        <v>1565.59</v>
      </c>
      <c r="L27" s="110">
        <v>539.43</v>
      </c>
      <c r="M27" s="201">
        <f t="shared" si="16"/>
        <v>5255.29</v>
      </c>
      <c r="N27" s="199">
        <f t="shared" si="17"/>
        <v>5333.83</v>
      </c>
      <c r="O27" s="223"/>
      <c r="P27" s="179">
        <f t="shared" si="18"/>
        <v>351.415</v>
      </c>
      <c r="Q27" s="179">
        <f t="shared" si="19"/>
        <v>104.9</v>
      </c>
      <c r="R27" s="179">
        <f t="shared" si="20"/>
        <v>110.145</v>
      </c>
      <c r="S27" s="179">
        <f t="shared" si="21"/>
        <v>2218.635</v>
      </c>
      <c r="T27" s="180">
        <f>1002+200</f>
        <v>1202</v>
      </c>
      <c r="U27" s="180"/>
      <c r="V27" s="180">
        <f>484.2</f>
        <v>484.2</v>
      </c>
      <c r="W27" s="180"/>
      <c r="X27" s="180"/>
      <c r="Y27" s="192"/>
      <c r="Z27" s="181">
        <f t="shared" si="22"/>
        <v>4471.295</v>
      </c>
      <c r="AA27" s="182"/>
      <c r="AB27" s="232">
        <f aca="true" t="shared" si="23" ref="AB27:AB37">Z27+AA27</f>
        <v>4471.295</v>
      </c>
      <c r="AC27" s="232">
        <f aca="true" t="shared" si="24" ref="AC27:AC37">N27-AB27+O27</f>
        <v>862.5349999999999</v>
      </c>
      <c r="AD27" s="232">
        <f aca="true" t="shared" si="25" ref="AD27:AD37">M27-I27</f>
        <v>643.04</v>
      </c>
      <c r="AE27" s="150"/>
      <c r="AF27" s="150"/>
      <c r="AG27" s="150"/>
      <c r="AH27" s="150"/>
      <c r="AI27" s="150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</row>
    <row r="28" spans="1:35" ht="12.75">
      <c r="A28" s="157" t="s">
        <v>38</v>
      </c>
      <c r="B28" s="105">
        <v>524.5</v>
      </c>
      <c r="C28" s="106">
        <f t="shared" si="14"/>
        <v>4484.475</v>
      </c>
      <c r="D28" s="187">
        <v>78.54</v>
      </c>
      <c r="E28" s="158">
        <v>2788.33</v>
      </c>
      <c r="F28" s="158">
        <v>1354.16</v>
      </c>
      <c r="G28" s="158">
        <v>469.76</v>
      </c>
      <c r="H28" s="169"/>
      <c r="I28" s="188">
        <f t="shared" si="15"/>
        <v>4612.25</v>
      </c>
      <c r="J28" s="110">
        <v>2180.61</v>
      </c>
      <c r="K28" s="110">
        <v>1074.95</v>
      </c>
      <c r="L28" s="110">
        <v>371.22</v>
      </c>
      <c r="M28" s="201">
        <f t="shared" si="16"/>
        <v>3626.7800000000007</v>
      </c>
      <c r="N28" s="199">
        <f t="shared" si="17"/>
        <v>3705.3200000000006</v>
      </c>
      <c r="O28" s="223"/>
      <c r="P28" s="179">
        <f t="shared" si="18"/>
        <v>351.415</v>
      </c>
      <c r="Q28" s="179">
        <f t="shared" si="19"/>
        <v>104.9</v>
      </c>
      <c r="R28" s="179">
        <f t="shared" si="20"/>
        <v>110.145</v>
      </c>
      <c r="S28" s="179">
        <f t="shared" si="21"/>
        <v>2218.635</v>
      </c>
      <c r="T28" s="180"/>
      <c r="U28" s="180"/>
      <c r="V28" s="180">
        <f>18</f>
        <v>18</v>
      </c>
      <c r="W28" s="180"/>
      <c r="X28" s="180"/>
      <c r="Y28" s="192"/>
      <c r="Z28" s="181">
        <f t="shared" si="22"/>
        <v>2803.0950000000003</v>
      </c>
      <c r="AA28" s="182"/>
      <c r="AB28" s="232">
        <f t="shared" si="23"/>
        <v>2803.0950000000003</v>
      </c>
      <c r="AC28" s="232">
        <f t="shared" si="24"/>
        <v>902.2250000000004</v>
      </c>
      <c r="AD28" s="232">
        <f t="shared" si="25"/>
        <v>-985.4699999999993</v>
      </c>
      <c r="AE28" s="150"/>
      <c r="AF28" s="148"/>
      <c r="AG28" s="148"/>
      <c r="AH28" s="148"/>
      <c r="AI28" s="148"/>
    </row>
    <row r="29" spans="1:43" ht="12.75">
      <c r="A29" s="174" t="s">
        <v>39</v>
      </c>
      <c r="B29" s="105">
        <v>524.5</v>
      </c>
      <c r="C29" s="106">
        <f t="shared" si="14"/>
        <v>4484.475</v>
      </c>
      <c r="D29" s="187">
        <v>78.54</v>
      </c>
      <c r="E29" s="158">
        <v>2788.33</v>
      </c>
      <c r="F29" s="158">
        <v>1354.16</v>
      </c>
      <c r="G29" s="158">
        <v>469.76</v>
      </c>
      <c r="H29" s="169"/>
      <c r="I29" s="188">
        <f t="shared" si="15"/>
        <v>4612.25</v>
      </c>
      <c r="J29" s="110">
        <v>1505.49</v>
      </c>
      <c r="K29" s="110">
        <v>739.7</v>
      </c>
      <c r="L29" s="110">
        <v>255.77</v>
      </c>
      <c r="M29" s="201">
        <f t="shared" si="16"/>
        <v>2500.96</v>
      </c>
      <c r="N29" s="199">
        <f t="shared" si="17"/>
        <v>2579.5</v>
      </c>
      <c r="O29" s="223"/>
      <c r="P29" s="179">
        <f t="shared" si="18"/>
        <v>351.415</v>
      </c>
      <c r="Q29" s="179">
        <f t="shared" si="19"/>
        <v>104.9</v>
      </c>
      <c r="R29" s="179">
        <f t="shared" si="20"/>
        <v>110.145</v>
      </c>
      <c r="S29" s="179">
        <f t="shared" si="21"/>
        <v>2218.635</v>
      </c>
      <c r="T29" s="180"/>
      <c r="U29" s="180"/>
      <c r="V29" s="180">
        <f>485.38</f>
        <v>485.38</v>
      </c>
      <c r="W29" s="180"/>
      <c r="X29" s="180"/>
      <c r="Y29" s="192"/>
      <c r="Z29" s="181">
        <f t="shared" si="22"/>
        <v>3270.4750000000004</v>
      </c>
      <c r="AA29" s="182"/>
      <c r="AB29" s="232">
        <f t="shared" si="23"/>
        <v>3270.4750000000004</v>
      </c>
      <c r="AC29" s="232">
        <f t="shared" si="24"/>
        <v>-690.9750000000004</v>
      </c>
      <c r="AD29" s="232">
        <f t="shared" si="25"/>
        <v>-2111.29</v>
      </c>
      <c r="AE29" s="150"/>
      <c r="AF29" s="150"/>
      <c r="AG29" s="150"/>
      <c r="AH29" s="150"/>
      <c r="AI29" s="150"/>
      <c r="AJ29" s="148"/>
      <c r="AK29" s="148"/>
      <c r="AL29" s="148"/>
      <c r="AM29" s="148"/>
      <c r="AN29" s="148"/>
      <c r="AO29" s="148"/>
      <c r="AP29" s="148"/>
      <c r="AQ29" s="148"/>
    </row>
    <row r="30" spans="1:43" ht="12.75">
      <c r="A30" s="174" t="s">
        <v>40</v>
      </c>
      <c r="B30" s="224">
        <v>524.5</v>
      </c>
      <c r="C30" s="106">
        <f t="shared" si="14"/>
        <v>4484.475</v>
      </c>
      <c r="D30" s="187">
        <v>78.54</v>
      </c>
      <c r="E30" s="158">
        <v>2788.33</v>
      </c>
      <c r="F30" s="158">
        <v>1354.16</v>
      </c>
      <c r="G30" s="158">
        <v>469.76</v>
      </c>
      <c r="H30" s="169"/>
      <c r="I30" s="188">
        <f t="shared" si="15"/>
        <v>4612.25</v>
      </c>
      <c r="J30" s="110">
        <v>1998.85</v>
      </c>
      <c r="K30" s="110">
        <v>988.42</v>
      </c>
      <c r="L30" s="110">
        <v>341.02</v>
      </c>
      <c r="M30" s="201">
        <f t="shared" si="16"/>
        <v>3328.29</v>
      </c>
      <c r="N30" s="199">
        <f t="shared" si="17"/>
        <v>3406.83</v>
      </c>
      <c r="O30" s="223"/>
      <c r="P30" s="179">
        <f t="shared" si="18"/>
        <v>351.415</v>
      </c>
      <c r="Q30" s="179">
        <f t="shared" si="19"/>
        <v>104.9</v>
      </c>
      <c r="R30" s="179">
        <f t="shared" si="20"/>
        <v>110.145</v>
      </c>
      <c r="S30" s="179">
        <f t="shared" si="21"/>
        <v>2218.635</v>
      </c>
      <c r="T30" s="180"/>
      <c r="U30" s="180"/>
      <c r="V30" s="180"/>
      <c r="W30" s="180"/>
      <c r="X30" s="180"/>
      <c r="Y30" s="192"/>
      <c r="Z30" s="181">
        <f t="shared" si="22"/>
        <v>2785.0950000000003</v>
      </c>
      <c r="AA30" s="182"/>
      <c r="AB30" s="232">
        <f t="shared" si="23"/>
        <v>2785.0950000000003</v>
      </c>
      <c r="AC30" s="232">
        <f t="shared" si="24"/>
        <v>621.7349999999997</v>
      </c>
      <c r="AD30" s="232">
        <f t="shared" si="25"/>
        <v>-1283.96</v>
      </c>
      <c r="AE30" s="150"/>
      <c r="AF30" s="150"/>
      <c r="AG30" s="150"/>
      <c r="AH30" s="150"/>
      <c r="AI30" s="150"/>
      <c r="AJ30" s="148"/>
      <c r="AK30" s="148"/>
      <c r="AL30" s="148"/>
      <c r="AM30" s="148"/>
      <c r="AN30" s="148"/>
      <c r="AO30" s="148"/>
      <c r="AP30" s="148"/>
      <c r="AQ30" s="148"/>
    </row>
    <row r="31" spans="1:43" ht="12.75">
      <c r="A31" s="174" t="s">
        <v>41</v>
      </c>
      <c r="B31" s="224">
        <v>524.5</v>
      </c>
      <c r="C31" s="106">
        <f t="shared" si="14"/>
        <v>4484.475</v>
      </c>
      <c r="D31" s="187">
        <v>78.54</v>
      </c>
      <c r="E31" s="158">
        <v>2788.33</v>
      </c>
      <c r="F31" s="158">
        <v>1354.16</v>
      </c>
      <c r="G31" s="168">
        <v>469.76</v>
      </c>
      <c r="H31" s="169"/>
      <c r="I31" s="188">
        <f t="shared" si="15"/>
        <v>4612.25</v>
      </c>
      <c r="J31" s="110">
        <v>2197.81</v>
      </c>
      <c r="K31" s="110">
        <v>1069.09</v>
      </c>
      <c r="L31" s="105">
        <v>370.7</v>
      </c>
      <c r="M31" s="201">
        <f t="shared" si="16"/>
        <v>3637.5999999999995</v>
      </c>
      <c r="N31" s="199">
        <f t="shared" si="17"/>
        <v>3716.1399999999994</v>
      </c>
      <c r="O31" s="223"/>
      <c r="P31" s="179">
        <f t="shared" si="18"/>
        <v>351.415</v>
      </c>
      <c r="Q31" s="179">
        <f t="shared" si="19"/>
        <v>104.9</v>
      </c>
      <c r="R31" s="179">
        <f t="shared" si="20"/>
        <v>110.145</v>
      </c>
      <c r="S31" s="179">
        <f t="shared" si="21"/>
        <v>2218.635</v>
      </c>
      <c r="T31" s="180"/>
      <c r="U31" s="180"/>
      <c r="V31" s="180"/>
      <c r="W31" s="180"/>
      <c r="X31" s="180"/>
      <c r="Y31" s="192"/>
      <c r="Z31" s="181">
        <f t="shared" si="22"/>
        <v>2785.0950000000003</v>
      </c>
      <c r="AA31" s="182"/>
      <c r="AB31" s="232">
        <f t="shared" si="23"/>
        <v>2785.0950000000003</v>
      </c>
      <c r="AC31" s="232">
        <f t="shared" si="24"/>
        <v>931.0449999999992</v>
      </c>
      <c r="AD31" s="232">
        <f t="shared" si="25"/>
        <v>-974.6500000000005</v>
      </c>
      <c r="AE31" s="150"/>
      <c r="AF31" s="150"/>
      <c r="AG31" s="150"/>
      <c r="AH31" s="150"/>
      <c r="AI31" s="150"/>
      <c r="AJ31" s="148"/>
      <c r="AK31" s="148"/>
      <c r="AL31" s="148"/>
      <c r="AM31" s="148"/>
      <c r="AN31" s="148"/>
      <c r="AO31" s="148"/>
      <c r="AP31" s="148"/>
      <c r="AQ31" s="148"/>
    </row>
    <row r="32" spans="1:39" ht="12.75">
      <c r="A32" s="174" t="s">
        <v>42</v>
      </c>
      <c r="B32" s="105">
        <v>524.5</v>
      </c>
      <c r="C32" s="106">
        <f aca="true" t="shared" si="26" ref="C32:C37">B32*9.51</f>
        <v>4987.995</v>
      </c>
      <c r="D32" s="187">
        <v>105.105</v>
      </c>
      <c r="E32" s="158">
        <v>4987.99</v>
      </c>
      <c r="F32" s="158"/>
      <c r="G32" s="158"/>
      <c r="H32" s="169"/>
      <c r="I32" s="188">
        <f t="shared" si="15"/>
        <v>4987.99</v>
      </c>
      <c r="J32" s="110">
        <v>899.14</v>
      </c>
      <c r="K32" s="110">
        <v>438.79</v>
      </c>
      <c r="L32" s="110">
        <v>151.44</v>
      </c>
      <c r="M32" s="201">
        <f t="shared" si="16"/>
        <v>1489.3700000000001</v>
      </c>
      <c r="N32" s="199">
        <f t="shared" si="17"/>
        <v>1594.4750000000001</v>
      </c>
      <c r="O32" s="223"/>
      <c r="P32" s="179">
        <f t="shared" si="18"/>
        <v>351.415</v>
      </c>
      <c r="Q32" s="179">
        <f t="shared" si="19"/>
        <v>104.9</v>
      </c>
      <c r="R32" s="179">
        <f t="shared" si="20"/>
        <v>110.145</v>
      </c>
      <c r="S32" s="179">
        <f t="shared" si="21"/>
        <v>2218.635</v>
      </c>
      <c r="T32" s="180"/>
      <c r="U32" s="180"/>
      <c r="V32" s="180"/>
      <c r="W32" s="180"/>
      <c r="X32" s="180"/>
      <c r="Y32" s="192"/>
      <c r="Z32" s="181">
        <f t="shared" si="22"/>
        <v>2785.0950000000003</v>
      </c>
      <c r="AA32" s="182"/>
      <c r="AB32" s="232">
        <f t="shared" si="23"/>
        <v>2785.0950000000003</v>
      </c>
      <c r="AC32" s="232">
        <f t="shared" si="24"/>
        <v>-1190.6200000000001</v>
      </c>
      <c r="AD32" s="232">
        <f t="shared" si="25"/>
        <v>-3498.62</v>
      </c>
      <c r="AE32" s="200"/>
      <c r="AF32" s="148"/>
      <c r="AG32" s="148"/>
      <c r="AH32" s="148"/>
      <c r="AI32" s="148"/>
      <c r="AJ32" s="148"/>
      <c r="AK32" s="148"/>
      <c r="AL32" s="148"/>
      <c r="AM32" s="148"/>
    </row>
    <row r="33" spans="1:38" ht="12.75">
      <c r="A33" s="174" t="s">
        <v>43</v>
      </c>
      <c r="B33" s="105">
        <v>524.5</v>
      </c>
      <c r="C33" s="106">
        <f t="shared" si="26"/>
        <v>4987.995</v>
      </c>
      <c r="D33" s="187"/>
      <c r="E33" s="225">
        <v>4987.99</v>
      </c>
      <c r="F33" s="158"/>
      <c r="G33" s="158"/>
      <c r="H33" s="169"/>
      <c r="I33" s="188">
        <f t="shared" si="15"/>
        <v>4987.99</v>
      </c>
      <c r="J33" s="110">
        <v>1850.29</v>
      </c>
      <c r="K33" s="110">
        <v>402.42</v>
      </c>
      <c r="L33" s="110">
        <v>139.35</v>
      </c>
      <c r="M33" s="201">
        <f t="shared" si="16"/>
        <v>2392.06</v>
      </c>
      <c r="N33" s="199">
        <f t="shared" si="17"/>
        <v>2392.06</v>
      </c>
      <c r="O33" s="223"/>
      <c r="P33" s="179">
        <f t="shared" si="18"/>
        <v>351.415</v>
      </c>
      <c r="Q33" s="179">
        <f t="shared" si="19"/>
        <v>104.9</v>
      </c>
      <c r="R33" s="179">
        <f t="shared" si="20"/>
        <v>110.145</v>
      </c>
      <c r="S33" s="179">
        <f t="shared" si="21"/>
        <v>2218.635</v>
      </c>
      <c r="T33" s="180"/>
      <c r="U33" s="180"/>
      <c r="V33" s="180"/>
      <c r="W33" s="180"/>
      <c r="X33" s="180"/>
      <c r="Y33" s="192"/>
      <c r="Z33" s="181">
        <f t="shared" si="22"/>
        <v>2785.0950000000003</v>
      </c>
      <c r="AA33" s="182"/>
      <c r="AB33" s="232">
        <f t="shared" si="23"/>
        <v>2785.0950000000003</v>
      </c>
      <c r="AC33" s="232">
        <f t="shared" si="24"/>
        <v>-393.0350000000003</v>
      </c>
      <c r="AD33" s="232">
        <f t="shared" si="25"/>
        <v>-2595.93</v>
      </c>
      <c r="AE33" s="148"/>
      <c r="AF33" s="148"/>
      <c r="AG33" s="148"/>
      <c r="AH33" s="148"/>
      <c r="AI33" s="148"/>
      <c r="AJ33" s="148"/>
      <c r="AK33" s="148"/>
      <c r="AL33" s="148"/>
    </row>
    <row r="34" spans="1:38" ht="12.75">
      <c r="A34" s="174" t="s">
        <v>44</v>
      </c>
      <c r="B34" s="105">
        <v>524.5</v>
      </c>
      <c r="C34" s="106">
        <f t="shared" si="26"/>
        <v>4987.995</v>
      </c>
      <c r="D34" s="187"/>
      <c r="E34" s="225">
        <v>4987.99</v>
      </c>
      <c r="F34" s="158"/>
      <c r="G34" s="158"/>
      <c r="H34" s="169"/>
      <c r="I34" s="188">
        <f t="shared" si="15"/>
        <v>4987.99</v>
      </c>
      <c r="J34" s="110">
        <v>4071.17</v>
      </c>
      <c r="K34" s="110">
        <v>247.44</v>
      </c>
      <c r="L34" s="110">
        <v>85.84</v>
      </c>
      <c r="M34" s="201">
        <f t="shared" si="16"/>
        <v>4404.45</v>
      </c>
      <c r="N34" s="199">
        <f t="shared" si="17"/>
        <v>4404.45</v>
      </c>
      <c r="O34" s="223"/>
      <c r="P34" s="179">
        <f t="shared" si="18"/>
        <v>351.415</v>
      </c>
      <c r="Q34" s="179">
        <f t="shared" si="19"/>
        <v>104.9</v>
      </c>
      <c r="R34" s="179">
        <f t="shared" si="20"/>
        <v>110.145</v>
      </c>
      <c r="S34" s="179">
        <f t="shared" si="21"/>
        <v>2218.635</v>
      </c>
      <c r="T34" s="180"/>
      <c r="U34" s="180"/>
      <c r="V34" s="180"/>
      <c r="W34" s="180"/>
      <c r="X34" s="180"/>
      <c r="Y34" s="192"/>
      <c r="Z34" s="181">
        <f t="shared" si="22"/>
        <v>2785.0950000000003</v>
      </c>
      <c r="AA34" s="182"/>
      <c r="AB34" s="232">
        <f t="shared" si="23"/>
        <v>2785.0950000000003</v>
      </c>
      <c r="AC34" s="232">
        <f t="shared" si="24"/>
        <v>1619.3549999999996</v>
      </c>
      <c r="AD34" s="232">
        <f t="shared" si="25"/>
        <v>-583.54</v>
      </c>
      <c r="AE34" s="148"/>
      <c r="AF34" s="148"/>
      <c r="AG34" s="148"/>
      <c r="AH34" s="148"/>
      <c r="AI34" s="148"/>
      <c r="AJ34" s="148"/>
      <c r="AK34" s="148"/>
      <c r="AL34" s="148"/>
    </row>
    <row r="35" spans="1:38" ht="12.75">
      <c r="A35" s="174" t="s">
        <v>34</v>
      </c>
      <c r="B35" s="105">
        <v>524.5</v>
      </c>
      <c r="C35" s="106">
        <f t="shared" si="26"/>
        <v>4987.995</v>
      </c>
      <c r="D35" s="187"/>
      <c r="E35" s="168">
        <v>4987.99</v>
      </c>
      <c r="F35" s="158"/>
      <c r="G35" s="158"/>
      <c r="H35" s="169"/>
      <c r="I35" s="188">
        <f t="shared" si="15"/>
        <v>4987.99</v>
      </c>
      <c r="J35" s="110">
        <v>3347.84</v>
      </c>
      <c r="K35" s="110">
        <v>263.64</v>
      </c>
      <c r="L35" s="110">
        <v>86.83</v>
      </c>
      <c r="M35" s="201">
        <f t="shared" si="16"/>
        <v>3698.31</v>
      </c>
      <c r="N35" s="199">
        <f t="shared" si="17"/>
        <v>3698.31</v>
      </c>
      <c r="O35" s="223"/>
      <c r="P35" s="179">
        <f t="shared" si="18"/>
        <v>351.415</v>
      </c>
      <c r="Q35" s="179">
        <f t="shared" si="19"/>
        <v>104.9</v>
      </c>
      <c r="R35" s="179">
        <f t="shared" si="20"/>
        <v>110.145</v>
      </c>
      <c r="S35" s="179">
        <f t="shared" si="21"/>
        <v>2218.635</v>
      </c>
      <c r="T35" s="180">
        <v>2100</v>
      </c>
      <c r="U35" s="180"/>
      <c r="V35" s="180"/>
      <c r="W35" s="180"/>
      <c r="X35" s="180"/>
      <c r="Y35" s="192"/>
      <c r="Z35" s="181">
        <f t="shared" si="22"/>
        <v>4885.095</v>
      </c>
      <c r="AA35" s="182"/>
      <c r="AB35" s="232">
        <f t="shared" si="23"/>
        <v>4885.095</v>
      </c>
      <c r="AC35" s="232">
        <f t="shared" si="24"/>
        <v>-1186.7850000000003</v>
      </c>
      <c r="AD35" s="232">
        <f t="shared" si="25"/>
        <v>-1289.6799999999998</v>
      </c>
      <c r="AE35" s="148"/>
      <c r="AF35" s="148"/>
      <c r="AG35" s="148"/>
      <c r="AH35" s="148"/>
      <c r="AI35" s="148"/>
      <c r="AJ35" s="148"/>
      <c r="AK35" s="148"/>
      <c r="AL35" s="148"/>
    </row>
    <row r="36" spans="1:38" ht="12.75">
      <c r="A36" s="157" t="s">
        <v>35</v>
      </c>
      <c r="B36" s="105">
        <v>524.5</v>
      </c>
      <c r="C36" s="106">
        <f t="shared" si="26"/>
        <v>4987.995</v>
      </c>
      <c r="D36" s="187"/>
      <c r="E36" s="158">
        <v>4987.99</v>
      </c>
      <c r="F36" s="158"/>
      <c r="G36" s="158"/>
      <c r="H36" s="169"/>
      <c r="I36" s="188">
        <f t="shared" si="15"/>
        <v>4987.99</v>
      </c>
      <c r="J36" s="110">
        <v>3837.18</v>
      </c>
      <c r="K36" s="110">
        <v>310.76</v>
      </c>
      <c r="L36" s="110">
        <v>32.43</v>
      </c>
      <c r="M36" s="201">
        <f t="shared" si="16"/>
        <v>4180.37</v>
      </c>
      <c r="N36" s="199">
        <f t="shared" si="17"/>
        <v>4180.37</v>
      </c>
      <c r="O36" s="223">
        <f>'[3]Т11'!$J$377</f>
        <v>114</v>
      </c>
      <c r="P36" s="179">
        <f t="shared" si="18"/>
        <v>351.415</v>
      </c>
      <c r="Q36" s="179">
        <f t="shared" si="19"/>
        <v>104.9</v>
      </c>
      <c r="R36" s="179">
        <f t="shared" si="20"/>
        <v>110.145</v>
      </c>
      <c r="S36" s="179">
        <f t="shared" si="21"/>
        <v>2218.635</v>
      </c>
      <c r="T36" s="180"/>
      <c r="U36" s="180"/>
      <c r="V36" s="180">
        <v>418</v>
      </c>
      <c r="W36" s="180"/>
      <c r="X36" s="180"/>
      <c r="Y36" s="192"/>
      <c r="Z36" s="181">
        <f t="shared" si="22"/>
        <v>3203.0950000000003</v>
      </c>
      <c r="AA36" s="182">
        <f>'[3]Т11'!$S$377</f>
        <v>28.5</v>
      </c>
      <c r="AB36" s="232">
        <f t="shared" si="23"/>
        <v>3231.5950000000003</v>
      </c>
      <c r="AC36" s="232">
        <f t="shared" si="24"/>
        <v>1062.7749999999996</v>
      </c>
      <c r="AD36" s="232">
        <f t="shared" si="25"/>
        <v>-807.6199999999999</v>
      </c>
      <c r="AE36" s="148"/>
      <c r="AF36" s="148"/>
      <c r="AG36" s="148"/>
      <c r="AH36" s="148"/>
      <c r="AI36" s="148"/>
      <c r="AJ36" s="148"/>
      <c r="AK36" s="148"/>
      <c r="AL36" s="148"/>
    </row>
    <row r="37" spans="1:38" ht="13.5" thickBot="1">
      <c r="A37" s="205" t="s">
        <v>36</v>
      </c>
      <c r="B37" s="236">
        <v>524.5</v>
      </c>
      <c r="C37" s="237">
        <f t="shared" si="26"/>
        <v>4987.995</v>
      </c>
      <c r="D37" s="238"/>
      <c r="E37" s="239">
        <v>4987.99</v>
      </c>
      <c r="F37" s="239"/>
      <c r="G37" s="239"/>
      <c r="H37" s="240"/>
      <c r="I37" s="241">
        <f t="shared" si="15"/>
        <v>4987.99</v>
      </c>
      <c r="J37" s="242">
        <v>4418.54</v>
      </c>
      <c r="K37" s="242">
        <v>414.65</v>
      </c>
      <c r="L37" s="242">
        <v>142.16</v>
      </c>
      <c r="M37" s="243">
        <f t="shared" si="16"/>
        <v>4975.349999999999</v>
      </c>
      <c r="N37" s="244">
        <f t="shared" si="17"/>
        <v>4975.349999999999</v>
      </c>
      <c r="O37" s="245">
        <f>'[3]Т11'!$J$377</f>
        <v>114</v>
      </c>
      <c r="P37" s="246">
        <f t="shared" si="18"/>
        <v>351.415</v>
      </c>
      <c r="Q37" s="246">
        <f t="shared" si="19"/>
        <v>104.9</v>
      </c>
      <c r="R37" s="246">
        <f t="shared" si="20"/>
        <v>110.145</v>
      </c>
      <c r="S37" s="246">
        <f t="shared" si="21"/>
        <v>2218.635</v>
      </c>
      <c r="T37" s="247"/>
      <c r="U37" s="247"/>
      <c r="V37" s="247"/>
      <c r="W37" s="247"/>
      <c r="X37" s="247"/>
      <c r="Y37" s="248"/>
      <c r="Z37" s="193">
        <f t="shared" si="22"/>
        <v>2785.0950000000003</v>
      </c>
      <c r="AA37" s="249">
        <f>'[3]Т11'!$S$377</f>
        <v>28.5</v>
      </c>
      <c r="AB37" s="250">
        <f t="shared" si="23"/>
        <v>2813.5950000000003</v>
      </c>
      <c r="AC37" s="232">
        <f t="shared" si="24"/>
        <v>2275.754999999999</v>
      </c>
      <c r="AD37" s="250">
        <f t="shared" si="25"/>
        <v>-12.640000000000327</v>
      </c>
      <c r="AE37" s="148"/>
      <c r="AF37" s="148"/>
      <c r="AG37" s="148"/>
      <c r="AH37" s="148"/>
      <c r="AI37" s="148"/>
      <c r="AJ37" s="148"/>
      <c r="AK37" s="148"/>
      <c r="AL37" s="148"/>
    </row>
    <row r="38" spans="1:37" s="18" customFormat="1" ht="13.5" thickBot="1">
      <c r="A38" s="207" t="s">
        <v>5</v>
      </c>
      <c r="B38" s="208"/>
      <c r="C38" s="208"/>
      <c r="D38" s="251">
        <f aca="true" t="shared" si="27" ref="D38:AC38">SUM(D26:D37)</f>
        <v>576.345</v>
      </c>
      <c r="E38" s="251">
        <f t="shared" si="27"/>
        <v>46655.109999999986</v>
      </c>
      <c r="F38" s="251">
        <f t="shared" si="27"/>
        <v>8123.58</v>
      </c>
      <c r="G38" s="251">
        <f t="shared" si="27"/>
        <v>2818.0699999999997</v>
      </c>
      <c r="H38" s="251">
        <f t="shared" si="27"/>
        <v>0</v>
      </c>
      <c r="I38" s="251">
        <f t="shared" si="27"/>
        <v>57596.75999999999</v>
      </c>
      <c r="J38" s="251">
        <f t="shared" si="27"/>
        <v>31314.84</v>
      </c>
      <c r="K38" s="251">
        <f t="shared" si="27"/>
        <v>8450.47</v>
      </c>
      <c r="L38" s="251">
        <f t="shared" si="27"/>
        <v>2837.2299999999996</v>
      </c>
      <c r="M38" s="251">
        <f t="shared" si="27"/>
        <v>42602.54</v>
      </c>
      <c r="N38" s="251">
        <f t="shared" si="27"/>
        <v>43178.885</v>
      </c>
      <c r="O38" s="251">
        <f t="shared" si="27"/>
        <v>228</v>
      </c>
      <c r="P38" s="251">
        <f t="shared" si="27"/>
        <v>4216.9800000000005</v>
      </c>
      <c r="Q38" s="251">
        <f t="shared" si="27"/>
        <v>1258.8000000000002</v>
      </c>
      <c r="R38" s="251">
        <f t="shared" si="27"/>
        <v>1321.74</v>
      </c>
      <c r="S38" s="251">
        <f t="shared" si="27"/>
        <v>26623.62000000001</v>
      </c>
      <c r="T38" s="251">
        <f t="shared" si="27"/>
        <v>3302</v>
      </c>
      <c r="U38" s="251">
        <f t="shared" si="27"/>
        <v>0</v>
      </c>
      <c r="V38" s="251">
        <f t="shared" si="27"/>
        <v>1405.58</v>
      </c>
      <c r="W38" s="251">
        <f t="shared" si="27"/>
        <v>0</v>
      </c>
      <c r="X38" s="251">
        <f t="shared" si="27"/>
        <v>0</v>
      </c>
      <c r="Y38" s="251">
        <f t="shared" si="27"/>
        <v>0</v>
      </c>
      <c r="Z38" s="251">
        <f t="shared" si="27"/>
        <v>38128.72000000001</v>
      </c>
      <c r="AA38" s="251">
        <f t="shared" si="27"/>
        <v>57</v>
      </c>
      <c r="AB38" s="251">
        <f t="shared" si="27"/>
        <v>38185.72000000001</v>
      </c>
      <c r="AC38" s="251">
        <f t="shared" si="27"/>
        <v>5221.164999999995</v>
      </c>
      <c r="AD38" s="252">
        <f>SUM(AD26:AD37)</f>
        <v>-14994.219999999998</v>
      </c>
      <c r="AE38" s="61"/>
      <c r="AF38" s="61"/>
      <c r="AG38" s="61"/>
      <c r="AH38" s="61"/>
      <c r="AI38" s="61"/>
      <c r="AJ38" s="61"/>
      <c r="AK38" s="61"/>
    </row>
    <row r="39" spans="1:37" ht="13.5" thickBo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148"/>
      <c r="AE39" s="148"/>
      <c r="AF39" s="148"/>
      <c r="AG39" s="148"/>
      <c r="AH39" s="148"/>
      <c r="AI39" s="148"/>
      <c r="AJ39" s="148"/>
      <c r="AK39" s="148"/>
    </row>
    <row r="40" spans="1:30" s="18" customFormat="1" ht="13.5" thickBot="1">
      <c r="A40" s="207" t="s">
        <v>97</v>
      </c>
      <c r="B40" s="208"/>
      <c r="C40" s="208"/>
      <c r="D40" s="251">
        <f aca="true" t="shared" si="28" ref="D40:AC40">D38+D24</f>
        <v>9906.564999999999</v>
      </c>
      <c r="E40" s="251">
        <f t="shared" si="28"/>
        <v>309784.72</v>
      </c>
      <c r="F40" s="251">
        <f t="shared" si="28"/>
        <v>189999.43999999997</v>
      </c>
      <c r="G40" s="251">
        <f t="shared" si="28"/>
        <v>48442.45</v>
      </c>
      <c r="H40" s="251">
        <f t="shared" si="28"/>
        <v>71944.81</v>
      </c>
      <c r="I40" s="251">
        <f t="shared" si="28"/>
        <v>548226.61</v>
      </c>
      <c r="J40" s="251">
        <f t="shared" si="28"/>
        <v>248155.81</v>
      </c>
      <c r="K40" s="251">
        <f t="shared" si="28"/>
        <v>160021.4</v>
      </c>
      <c r="L40" s="251">
        <f t="shared" si="28"/>
        <v>40889.97</v>
      </c>
      <c r="M40" s="251">
        <f t="shared" si="28"/>
        <v>449067.18</v>
      </c>
      <c r="N40" s="251">
        <f t="shared" si="28"/>
        <v>577803.265</v>
      </c>
      <c r="O40" s="251">
        <f t="shared" si="28"/>
        <v>228</v>
      </c>
      <c r="P40" s="251">
        <f t="shared" si="28"/>
        <v>13272.106</v>
      </c>
      <c r="Q40" s="251">
        <f t="shared" si="28"/>
        <v>4205.4389944</v>
      </c>
      <c r="R40" s="251">
        <f t="shared" si="28"/>
        <v>66659.5907076824</v>
      </c>
      <c r="S40" s="251">
        <f t="shared" si="28"/>
        <v>26623.62000000001</v>
      </c>
      <c r="T40" s="251">
        <f t="shared" si="28"/>
        <v>22145.13</v>
      </c>
      <c r="U40" s="251">
        <f t="shared" si="28"/>
        <v>47.8</v>
      </c>
      <c r="V40" s="251">
        <f t="shared" si="28"/>
        <v>1685.58</v>
      </c>
      <c r="W40" s="251">
        <f t="shared" si="28"/>
        <v>0</v>
      </c>
      <c r="X40" s="251">
        <f t="shared" si="28"/>
        <v>0</v>
      </c>
      <c r="Y40" s="251">
        <f t="shared" si="28"/>
        <v>0</v>
      </c>
      <c r="Z40" s="251">
        <f t="shared" si="28"/>
        <v>150320.64570208243</v>
      </c>
      <c r="AA40" s="251">
        <f t="shared" si="28"/>
        <v>57</v>
      </c>
      <c r="AB40" s="251">
        <f t="shared" si="28"/>
        <v>150377.64570208243</v>
      </c>
      <c r="AC40" s="251">
        <f t="shared" si="28"/>
        <v>13214.50862369259</v>
      </c>
      <c r="AD40" s="252">
        <f>AD38+AD24</f>
        <v>-39616.20999999999</v>
      </c>
    </row>
    <row r="41" spans="1:30" ht="12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</row>
  </sheetData>
  <sheetProtection/>
  <mergeCells count="35"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  <mergeCell ref="N4:N7"/>
    <mergeCell ref="O4:O7"/>
    <mergeCell ref="P4:Z5"/>
    <mergeCell ref="AA4:AB4"/>
    <mergeCell ref="AC4:AC7"/>
    <mergeCell ref="AD4:AD7"/>
    <mergeCell ref="AA5:AA7"/>
    <mergeCell ref="AB5:AB7"/>
    <mergeCell ref="P6:P7"/>
    <mergeCell ref="Q6:Q7"/>
    <mergeCell ref="E6:E7"/>
    <mergeCell ref="F6:F7"/>
    <mergeCell ref="G6:G7"/>
    <mergeCell ref="J6:J7"/>
    <mergeCell ref="K6:K7"/>
    <mergeCell ref="L6:L7"/>
    <mergeCell ref="Y6:Y7"/>
    <mergeCell ref="Z6:Z7"/>
    <mergeCell ref="R6:R7"/>
    <mergeCell ref="T6:T7"/>
    <mergeCell ref="U6:U7"/>
    <mergeCell ref="V6:V7"/>
    <mergeCell ref="W6:W7"/>
    <mergeCell ref="X6:X7"/>
    <mergeCell ref="S6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7">
      <selection activeCell="G30" sqref="G30"/>
    </sheetView>
  </sheetViews>
  <sheetFormatPr defaultColWidth="9.00390625" defaultRowHeight="12.75"/>
  <cols>
    <col min="1" max="1" width="10.00390625" style="149" customWidth="1"/>
    <col min="2" max="2" width="9.125" style="149" customWidth="1"/>
    <col min="3" max="3" width="9.875" style="149" customWidth="1"/>
    <col min="4" max="4" width="9.625" style="149" customWidth="1"/>
    <col min="5" max="5" width="10.125" style="149" bestFit="1" customWidth="1"/>
    <col min="6" max="6" width="9.875" style="149" customWidth="1"/>
    <col min="7" max="7" width="11.00390625" style="149" customWidth="1"/>
    <col min="8" max="8" width="10.125" style="149" customWidth="1"/>
    <col min="9" max="9" width="8.125" style="149" customWidth="1"/>
    <col min="10" max="10" width="9.25390625" style="149" customWidth="1"/>
    <col min="11" max="11" width="9.875" style="149" customWidth="1"/>
    <col min="12" max="12" width="10.875" style="149" customWidth="1"/>
    <col min="13" max="13" width="10.125" style="149" customWidth="1"/>
    <col min="14" max="14" width="10.375" style="149" customWidth="1"/>
    <col min="15" max="15" width="8.75390625" style="149" customWidth="1"/>
    <col min="16" max="16" width="10.75390625" style="149" customWidth="1"/>
    <col min="17" max="17" width="13.00390625" style="149" customWidth="1"/>
    <col min="18" max="16384" width="9.125" style="149" customWidth="1"/>
  </cols>
  <sheetData>
    <row r="1" spans="2:9" ht="20.25" customHeight="1">
      <c r="B1" s="367" t="s">
        <v>46</v>
      </c>
      <c r="C1" s="367"/>
      <c r="D1" s="367"/>
      <c r="E1" s="367"/>
      <c r="F1" s="367"/>
      <c r="G1" s="367"/>
      <c r="H1" s="367"/>
      <c r="I1" s="221"/>
    </row>
    <row r="2" spans="2:9" ht="21" customHeight="1">
      <c r="B2" s="367" t="s">
        <v>47</v>
      </c>
      <c r="C2" s="367"/>
      <c r="D2" s="367"/>
      <c r="E2" s="367"/>
      <c r="F2" s="367"/>
      <c r="G2" s="367"/>
      <c r="H2" s="367"/>
      <c r="I2" s="221"/>
    </row>
    <row r="5" spans="1:16" ht="12.75">
      <c r="A5" s="369" t="s">
        <v>81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</row>
    <row r="6" spans="1:16" ht="12.75">
      <c r="A6" s="370" t="s">
        <v>107</v>
      </c>
      <c r="B6" s="370"/>
      <c r="C6" s="370"/>
      <c r="D6" s="370"/>
      <c r="E6" s="370"/>
      <c r="F6" s="370"/>
      <c r="G6" s="370"/>
      <c r="H6" s="80"/>
      <c r="I6" s="80"/>
      <c r="J6" s="80"/>
      <c r="K6" s="80"/>
      <c r="L6" s="80"/>
      <c r="M6" s="80"/>
      <c r="N6" s="80"/>
      <c r="O6" s="80"/>
      <c r="P6" s="80"/>
    </row>
    <row r="7" spans="1:16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6" ht="13.5" thickBot="1">
      <c r="A8" s="427" t="s">
        <v>48</v>
      </c>
      <c r="B8" s="427"/>
      <c r="C8" s="427"/>
      <c r="D8" s="427"/>
      <c r="E8" s="427">
        <v>9.51</v>
      </c>
      <c r="F8" s="427"/>
    </row>
    <row r="9" spans="1:17" ht="12.75" customHeight="1">
      <c r="A9" s="322" t="s">
        <v>49</v>
      </c>
      <c r="B9" s="340" t="s">
        <v>1</v>
      </c>
      <c r="C9" s="343" t="s">
        <v>108</v>
      </c>
      <c r="D9" s="346" t="s">
        <v>3</v>
      </c>
      <c r="E9" s="359" t="s">
        <v>51</v>
      </c>
      <c r="F9" s="360"/>
      <c r="G9" s="363" t="s">
        <v>52</v>
      </c>
      <c r="H9" s="364"/>
      <c r="I9" s="417" t="s">
        <v>104</v>
      </c>
      <c r="J9" s="423" t="s">
        <v>8</v>
      </c>
      <c r="K9" s="299"/>
      <c r="L9" s="299"/>
      <c r="M9" s="299"/>
      <c r="N9" s="350"/>
      <c r="O9" s="346" t="s">
        <v>105</v>
      </c>
      <c r="P9" s="336" t="s">
        <v>53</v>
      </c>
      <c r="Q9" s="336" t="s">
        <v>10</v>
      </c>
    </row>
    <row r="10" spans="1:17" ht="12.75">
      <c r="A10" s="323"/>
      <c r="B10" s="341"/>
      <c r="C10" s="344"/>
      <c r="D10" s="347"/>
      <c r="E10" s="361"/>
      <c r="F10" s="362"/>
      <c r="G10" s="365"/>
      <c r="H10" s="366"/>
      <c r="I10" s="418"/>
      <c r="J10" s="424"/>
      <c r="K10" s="290"/>
      <c r="L10" s="290"/>
      <c r="M10" s="290"/>
      <c r="N10" s="352"/>
      <c r="O10" s="347"/>
      <c r="P10" s="337"/>
      <c r="Q10" s="337"/>
    </row>
    <row r="11" spans="1:17" ht="26.25" customHeight="1">
      <c r="A11" s="323"/>
      <c r="B11" s="341"/>
      <c r="C11" s="344"/>
      <c r="D11" s="347"/>
      <c r="E11" s="353" t="s">
        <v>54</v>
      </c>
      <c r="F11" s="354"/>
      <c r="G11" s="70" t="s">
        <v>55</v>
      </c>
      <c r="H11" s="331" t="s">
        <v>7</v>
      </c>
      <c r="I11" s="418"/>
      <c r="J11" s="425" t="s">
        <v>56</v>
      </c>
      <c r="K11" s="357" t="s">
        <v>98</v>
      </c>
      <c r="L11" s="357" t="s">
        <v>57</v>
      </c>
      <c r="M11" s="357" t="s">
        <v>31</v>
      </c>
      <c r="N11" s="331" t="s">
        <v>33</v>
      </c>
      <c r="O11" s="347"/>
      <c r="P11" s="337"/>
      <c r="Q11" s="337"/>
    </row>
    <row r="12" spans="1:17" ht="66.75" customHeight="1" thickBot="1">
      <c r="A12" s="339"/>
      <c r="B12" s="342"/>
      <c r="C12" s="345"/>
      <c r="D12" s="348"/>
      <c r="E12" s="54" t="s">
        <v>59</v>
      </c>
      <c r="F12" s="57" t="s">
        <v>17</v>
      </c>
      <c r="G12" s="67" t="s">
        <v>78</v>
      </c>
      <c r="H12" s="332"/>
      <c r="I12" s="419"/>
      <c r="J12" s="426"/>
      <c r="K12" s="358"/>
      <c r="L12" s="358"/>
      <c r="M12" s="358"/>
      <c r="N12" s="332"/>
      <c r="O12" s="348"/>
      <c r="P12" s="338"/>
      <c r="Q12" s="338"/>
    </row>
    <row r="13" spans="1:17" ht="13.5" thickBot="1">
      <c r="A13" s="55">
        <v>1</v>
      </c>
      <c r="B13" s="56">
        <v>2</v>
      </c>
      <c r="C13" s="55">
        <v>3</v>
      </c>
      <c r="D13" s="55">
        <v>4</v>
      </c>
      <c r="E13" s="56">
        <v>5</v>
      </c>
      <c r="F13" s="55">
        <v>6</v>
      </c>
      <c r="G13" s="55">
        <v>7</v>
      </c>
      <c r="H13" s="56">
        <v>8</v>
      </c>
      <c r="I13" s="280">
        <v>9</v>
      </c>
      <c r="J13" s="277">
        <v>10</v>
      </c>
      <c r="K13" s="56">
        <v>11</v>
      </c>
      <c r="L13" s="55">
        <v>12</v>
      </c>
      <c r="M13" s="55">
        <v>13</v>
      </c>
      <c r="N13" s="56">
        <v>14</v>
      </c>
      <c r="O13" s="55">
        <v>15</v>
      </c>
      <c r="P13" s="55">
        <v>16</v>
      </c>
      <c r="Q13" s="56">
        <v>17</v>
      </c>
    </row>
    <row r="14" spans="1:19" s="18" customFormat="1" ht="13.5" hidden="1" thickBot="1">
      <c r="A14" s="66" t="s">
        <v>45</v>
      </c>
      <c r="B14" s="33"/>
      <c r="C14" s="34">
        <f>'2012'!C8</f>
        <v>99773.42500000002</v>
      </c>
      <c r="D14" s="34">
        <f>'2012'!D8</f>
        <v>35448.43932577501</v>
      </c>
      <c r="E14" s="33">
        <f>'2012'!I8</f>
        <v>51502.55</v>
      </c>
      <c r="F14" s="33">
        <f>'2012'!H8</f>
        <v>8034.119999999999</v>
      </c>
      <c r="G14" s="212">
        <f>'2012'!M8</f>
        <v>36682.69</v>
      </c>
      <c r="H14" s="212">
        <f>'2012'!N8</f>
        <v>80165.24932577502</v>
      </c>
      <c r="I14" s="142">
        <v>0</v>
      </c>
      <c r="J14" s="279">
        <f>'2012'!P8</f>
        <v>6857.795999999999</v>
      </c>
      <c r="K14" s="212">
        <f>'2012'!Q8</f>
        <v>2290.7189944</v>
      </c>
      <c r="L14" s="33">
        <f>'2012'!R8+'2012'!X16</f>
        <v>48449.2607076824</v>
      </c>
      <c r="M14" s="33">
        <f>'2012'!T8+'2012'!U8</f>
        <v>15904.39</v>
      </c>
      <c r="N14" s="213">
        <f>SUM(J14:M14)</f>
        <v>73502.16570208239</v>
      </c>
      <c r="O14" s="213"/>
      <c r="P14" s="213">
        <f>H14-N14</f>
        <v>6663.083623692626</v>
      </c>
      <c r="Q14" s="213">
        <f>'2012'!AD8</f>
        <v>-14819.86</v>
      </c>
      <c r="R14" s="62"/>
      <c r="S14" s="61"/>
    </row>
    <row r="15" spans="1:19" ht="13.5" hidden="1" thickBot="1">
      <c r="A15" s="253" t="s">
        <v>96</v>
      </c>
      <c r="B15" s="254"/>
      <c r="C15" s="255"/>
      <c r="D15" s="256"/>
      <c r="E15" s="257"/>
      <c r="F15" s="258"/>
      <c r="G15" s="259"/>
      <c r="H15" s="258"/>
      <c r="I15" s="281"/>
      <c r="J15" s="260"/>
      <c r="K15" s="260"/>
      <c r="L15" s="261"/>
      <c r="M15" s="262"/>
      <c r="N15" s="263"/>
      <c r="O15" s="278"/>
      <c r="P15" s="264"/>
      <c r="Q15" s="264"/>
      <c r="R15" s="148"/>
      <c r="S15" s="148"/>
    </row>
    <row r="16" spans="1:19" ht="12.75" hidden="1">
      <c r="A16" s="265" t="s">
        <v>83</v>
      </c>
      <c r="B16" s="266">
        <f>'2012'!B10</f>
        <v>524.5</v>
      </c>
      <c r="C16" s="266">
        <f>'2012'!C10</f>
        <v>3363.3562500000003</v>
      </c>
      <c r="D16" s="266">
        <f>'2012'!D10</f>
        <v>96.39</v>
      </c>
      <c r="E16" s="267">
        <f>'2012'!I10</f>
        <v>3966.52</v>
      </c>
      <c r="F16" s="268">
        <v>0</v>
      </c>
      <c r="G16" s="268">
        <f>'2012'!M10</f>
        <v>881.49</v>
      </c>
      <c r="H16" s="268">
        <f>'2012'!N10</f>
        <v>977.88</v>
      </c>
      <c r="I16" s="282">
        <v>0</v>
      </c>
      <c r="J16" s="269">
        <f>'2012'!P10</f>
        <v>351.415</v>
      </c>
      <c r="K16" s="269">
        <f>'2012'!Q10</f>
        <v>104.9</v>
      </c>
      <c r="L16" s="269">
        <f>'2012'!R10</f>
        <v>2218.635</v>
      </c>
      <c r="M16" s="270">
        <f>'2012'!T10+'2012'!U10+'2012'!V10</f>
        <v>1039.36</v>
      </c>
      <c r="N16" s="268">
        <f>SUM(J16:M16)</f>
        <v>3714.3100000000004</v>
      </c>
      <c r="O16" s="268"/>
      <c r="P16" s="268">
        <f>H16-N16</f>
        <v>-2736.4300000000003</v>
      </c>
      <c r="Q16" s="268">
        <f>'2012'!AD10</f>
        <v>-3085.0299999999997</v>
      </c>
      <c r="R16" s="148"/>
      <c r="S16" s="148"/>
    </row>
    <row r="17" spans="1:19" ht="12.75" hidden="1">
      <c r="A17" s="218" t="s">
        <v>84</v>
      </c>
      <c r="B17" s="68">
        <f>'2012'!B11</f>
        <v>524.5</v>
      </c>
      <c r="C17" s="68">
        <f>'2012'!C11</f>
        <v>4036.0275000000006</v>
      </c>
      <c r="D17" s="68">
        <f>'2012'!D11</f>
        <v>96.39</v>
      </c>
      <c r="E17" s="214">
        <f>'2012'!I11</f>
        <v>2018.2800000000002</v>
      </c>
      <c r="F17" s="216">
        <v>1</v>
      </c>
      <c r="G17" s="216">
        <f>'2012'!M11</f>
        <v>2958.66</v>
      </c>
      <c r="H17" s="216">
        <f>'2012'!N11</f>
        <v>3055.0499999999997</v>
      </c>
      <c r="I17" s="217">
        <v>0</v>
      </c>
      <c r="J17" s="219">
        <f>'2012'!P11</f>
        <v>351.415</v>
      </c>
      <c r="K17" s="219">
        <f>'2012'!Q11</f>
        <v>104.9</v>
      </c>
      <c r="L17" s="219">
        <f>'2012'!R11</f>
        <v>2218.635</v>
      </c>
      <c r="M17" s="215">
        <f>'2012'!T11+'2012'!U11+'2012'!V11</f>
        <v>4057</v>
      </c>
      <c r="N17" s="216">
        <f aca="true" t="shared" si="0" ref="N17:N27">SUM(J17:M17)</f>
        <v>6731.950000000001</v>
      </c>
      <c r="O17" s="216"/>
      <c r="P17" s="216">
        <f aca="true" t="shared" si="1" ref="P17:P27">H17-N17</f>
        <v>-3676.900000000001</v>
      </c>
      <c r="Q17" s="216">
        <f>'2012'!AD11</f>
        <v>940.3799999999997</v>
      </c>
      <c r="R17" s="148"/>
      <c r="S17" s="148"/>
    </row>
    <row r="18" spans="1:19" ht="12.75" hidden="1">
      <c r="A18" s="218" t="s">
        <v>38</v>
      </c>
      <c r="B18" s="68">
        <f>'2012'!B12</f>
        <v>524.5</v>
      </c>
      <c r="C18" s="68">
        <f>'2012'!C12</f>
        <v>2242.2375</v>
      </c>
      <c r="D18" s="68">
        <f>'2012'!D12</f>
        <v>96.39</v>
      </c>
      <c r="E18" s="214">
        <f>'2012'!I12</f>
        <v>2992.4</v>
      </c>
      <c r="F18" s="216">
        <v>2</v>
      </c>
      <c r="G18" s="216">
        <f>'2012'!M12</f>
        <v>1395.83</v>
      </c>
      <c r="H18" s="216">
        <f>'2012'!N12</f>
        <v>1492.22</v>
      </c>
      <c r="I18" s="217">
        <v>0</v>
      </c>
      <c r="J18" s="219">
        <f>'2012'!P12</f>
        <v>351.415</v>
      </c>
      <c r="K18" s="219">
        <f>'2012'!Q12</f>
        <v>104.9</v>
      </c>
      <c r="L18" s="219">
        <f>'2012'!R12</f>
        <v>2218.635</v>
      </c>
      <c r="M18" s="215">
        <f>'2012'!T12+'2012'!U12+'2012'!V12</f>
        <v>0</v>
      </c>
      <c r="N18" s="216">
        <f t="shared" si="0"/>
        <v>2674.9500000000003</v>
      </c>
      <c r="O18" s="216"/>
      <c r="P18" s="216">
        <f t="shared" si="1"/>
        <v>-1182.7300000000002</v>
      </c>
      <c r="Q18" s="216">
        <f>'2012'!AD12</f>
        <v>-1596.5700000000002</v>
      </c>
      <c r="R18" s="148"/>
      <c r="S18" s="148"/>
    </row>
    <row r="19" spans="1:19" ht="12.75" hidden="1">
      <c r="A19" s="218" t="s">
        <v>39</v>
      </c>
      <c r="B19" s="68">
        <f>'2012'!B13</f>
        <v>524.5</v>
      </c>
      <c r="C19" s="68">
        <f>'2012'!C13</f>
        <v>3363.3562500000003</v>
      </c>
      <c r="D19" s="68">
        <f>'2012'!D13</f>
        <v>96.39</v>
      </c>
      <c r="E19" s="214">
        <f>'2012'!I13</f>
        <v>2992.4</v>
      </c>
      <c r="F19" s="216">
        <v>3</v>
      </c>
      <c r="G19" s="216">
        <f>'2012'!M13</f>
        <v>3761.1800000000003</v>
      </c>
      <c r="H19" s="216">
        <f>'2012'!N13</f>
        <v>3857.57</v>
      </c>
      <c r="I19" s="217">
        <v>0</v>
      </c>
      <c r="J19" s="219">
        <f>'2012'!P13</f>
        <v>351.415</v>
      </c>
      <c r="K19" s="219">
        <f>'2012'!Q13</f>
        <v>104.9</v>
      </c>
      <c r="L19" s="219">
        <f>'2012'!R13</f>
        <v>2218.635</v>
      </c>
      <c r="M19" s="215">
        <f>'2012'!T13+'2012'!U13+'2012'!V13</f>
        <v>0</v>
      </c>
      <c r="N19" s="216">
        <f t="shared" si="0"/>
        <v>2674.9500000000003</v>
      </c>
      <c r="O19" s="216"/>
      <c r="P19" s="216">
        <f t="shared" si="1"/>
        <v>1182.62</v>
      </c>
      <c r="Q19" s="216">
        <f>'2012'!AD13</f>
        <v>768.7800000000002</v>
      </c>
      <c r="R19" s="148"/>
      <c r="S19" s="148"/>
    </row>
    <row r="20" spans="1:19" ht="12.75" hidden="1">
      <c r="A20" s="218" t="s">
        <v>40</v>
      </c>
      <c r="B20" s="68">
        <f>'2012'!B14</f>
        <v>524.5</v>
      </c>
      <c r="C20" s="68">
        <f>'2012'!C14</f>
        <v>3363.3562500000003</v>
      </c>
      <c r="D20" s="68">
        <f>'2012'!D14</f>
        <v>96.39</v>
      </c>
      <c r="E20" s="214">
        <f>'2012'!I14</f>
        <v>4603.7</v>
      </c>
      <c r="F20" s="216">
        <v>4</v>
      </c>
      <c r="G20" s="216">
        <f>'2012'!M14</f>
        <v>1937.08</v>
      </c>
      <c r="H20" s="216">
        <f>'2012'!N14</f>
        <v>2033.47</v>
      </c>
      <c r="I20" s="217">
        <v>0</v>
      </c>
      <c r="J20" s="219">
        <f>'2012'!P14</f>
        <v>351.415</v>
      </c>
      <c r="K20" s="219">
        <f>'2012'!Q14</f>
        <v>104.9</v>
      </c>
      <c r="L20" s="219">
        <f>'2012'!R14</f>
        <v>2218.635</v>
      </c>
      <c r="M20" s="215">
        <f>'2012'!T14+'2012'!U14+'2012'!V14</f>
        <v>0</v>
      </c>
      <c r="N20" s="216">
        <f t="shared" si="0"/>
        <v>2674.9500000000003</v>
      </c>
      <c r="O20" s="216"/>
      <c r="P20" s="216">
        <f t="shared" si="1"/>
        <v>-641.4800000000002</v>
      </c>
      <c r="Q20" s="216">
        <f>'2012'!AD14</f>
        <v>-2666.62</v>
      </c>
      <c r="R20" s="148"/>
      <c r="S20" s="148"/>
    </row>
    <row r="21" spans="1:19" ht="12.75" hidden="1">
      <c r="A21" s="218" t="s">
        <v>41</v>
      </c>
      <c r="B21" s="68">
        <f>'2012'!B15</f>
        <v>524.5</v>
      </c>
      <c r="C21" s="68">
        <f>'2012'!C15</f>
        <v>4484.475</v>
      </c>
      <c r="D21" s="68">
        <f>'2012'!D15</f>
        <v>96.39</v>
      </c>
      <c r="E21" s="214">
        <f>'2012'!I15</f>
        <v>4603.7</v>
      </c>
      <c r="F21" s="216">
        <v>5</v>
      </c>
      <c r="G21" s="216">
        <f>'2012'!M15</f>
        <v>2219.97</v>
      </c>
      <c r="H21" s="216">
        <f>'2012'!N15</f>
        <v>2316.3599999999997</v>
      </c>
      <c r="I21" s="217">
        <v>0</v>
      </c>
      <c r="J21" s="219">
        <f>'2012'!P15</f>
        <v>351.415</v>
      </c>
      <c r="K21" s="219">
        <f>'2012'!Q15</f>
        <v>104.9</v>
      </c>
      <c r="L21" s="219">
        <f>'2012'!R15</f>
        <v>2218.635</v>
      </c>
      <c r="M21" s="215">
        <f>'2012'!T15+'2012'!U15+'2012'!V15</f>
        <v>0</v>
      </c>
      <c r="N21" s="216">
        <f t="shared" si="0"/>
        <v>2674.9500000000003</v>
      </c>
      <c r="O21" s="216"/>
      <c r="P21" s="216">
        <f t="shared" si="1"/>
        <v>-358.5900000000006</v>
      </c>
      <c r="Q21" s="216">
        <f>'2012'!AD15</f>
        <v>-2383.73</v>
      </c>
      <c r="R21" s="148"/>
      <c r="S21" s="148"/>
    </row>
    <row r="22" spans="1:19" ht="12.75" hidden="1">
      <c r="A22" s="218" t="s">
        <v>42</v>
      </c>
      <c r="B22" s="68">
        <f>'2012'!B16</f>
        <v>524.5</v>
      </c>
      <c r="C22" s="68">
        <f>'2012'!C16</f>
        <v>4484.475</v>
      </c>
      <c r="D22" s="68">
        <f>'2012'!D16</f>
        <v>96.39</v>
      </c>
      <c r="E22" s="214">
        <f>'2012'!I16</f>
        <v>4603.7</v>
      </c>
      <c r="F22" s="216">
        <v>6</v>
      </c>
      <c r="G22" s="216">
        <f>'2012'!M16</f>
        <v>6045.409999999999</v>
      </c>
      <c r="H22" s="216">
        <f>'2012'!N16</f>
        <v>6141.799999999999</v>
      </c>
      <c r="I22" s="217">
        <v>0</v>
      </c>
      <c r="J22" s="219">
        <f>'2012'!P16</f>
        <v>351.415</v>
      </c>
      <c r="K22" s="219">
        <f>'2012'!Q16</f>
        <v>104.9</v>
      </c>
      <c r="L22" s="219">
        <f>'2012'!R16</f>
        <v>2218.635</v>
      </c>
      <c r="M22" s="215">
        <f>'2012'!T16+'2012'!U16+'2012'!V16</f>
        <v>0</v>
      </c>
      <c r="N22" s="216">
        <f t="shared" si="0"/>
        <v>2674.9500000000003</v>
      </c>
      <c r="O22" s="216"/>
      <c r="P22" s="216">
        <f t="shared" si="1"/>
        <v>3466.849999999999</v>
      </c>
      <c r="Q22" s="216">
        <f>'2012'!AD16</f>
        <v>1441.7099999999991</v>
      </c>
      <c r="R22" s="148"/>
      <c r="S22" s="148"/>
    </row>
    <row r="23" spans="1:19" ht="12.75" hidden="1">
      <c r="A23" s="218" t="s">
        <v>43</v>
      </c>
      <c r="B23" s="68">
        <f>'2012'!B17</f>
        <v>524.5</v>
      </c>
      <c r="C23" s="68">
        <f>'2012'!C17</f>
        <v>4484.475</v>
      </c>
      <c r="D23" s="68">
        <f>'2012'!D17</f>
        <v>96.39</v>
      </c>
      <c r="E23" s="214">
        <f>'2012'!I17</f>
        <v>4599.299999999999</v>
      </c>
      <c r="F23" s="216">
        <v>7</v>
      </c>
      <c r="G23" s="216">
        <f>'2012'!M17</f>
        <v>3685.5299999999997</v>
      </c>
      <c r="H23" s="216">
        <f>'2012'!N17</f>
        <v>3781.9199999999996</v>
      </c>
      <c r="I23" s="217">
        <v>0</v>
      </c>
      <c r="J23" s="219">
        <f>'2012'!P17</f>
        <v>351.415</v>
      </c>
      <c r="K23" s="219">
        <f>'2012'!Q17</f>
        <v>104.9</v>
      </c>
      <c r="L23" s="219">
        <f>'2012'!R17</f>
        <v>2218.635</v>
      </c>
      <c r="M23" s="215">
        <f>'2012'!T17+'2012'!U17+'2012'!V17</f>
        <v>0</v>
      </c>
      <c r="N23" s="216">
        <f t="shared" si="0"/>
        <v>2674.9500000000003</v>
      </c>
      <c r="O23" s="216"/>
      <c r="P23" s="216">
        <f t="shared" si="1"/>
        <v>1106.9699999999993</v>
      </c>
      <c r="Q23" s="216">
        <f>'2012'!AD17</f>
        <v>-913.7699999999995</v>
      </c>
      <c r="R23" s="148"/>
      <c r="S23" s="148"/>
    </row>
    <row r="24" spans="1:19" ht="12.75" hidden="1">
      <c r="A24" s="218" t="s">
        <v>44</v>
      </c>
      <c r="B24" s="68">
        <f>'2012'!B18</f>
        <v>524.5</v>
      </c>
      <c r="C24" s="68">
        <f>'2012'!C18</f>
        <v>4484.475</v>
      </c>
      <c r="D24" s="68">
        <f>'2012'!D18</f>
        <v>78.54</v>
      </c>
      <c r="E24" s="214">
        <f>'2012'!I18</f>
        <v>4586.6</v>
      </c>
      <c r="F24" s="216">
        <v>8</v>
      </c>
      <c r="G24" s="216">
        <f>'2012'!M18</f>
        <v>4695.120000000001</v>
      </c>
      <c r="H24" s="216">
        <f>'2012'!N18</f>
        <v>4773.660000000001</v>
      </c>
      <c r="I24" s="217">
        <v>0</v>
      </c>
      <c r="J24" s="219">
        <f>'2012'!P18</f>
        <v>351.415</v>
      </c>
      <c r="K24" s="219">
        <f>'2012'!Q18</f>
        <v>104.9</v>
      </c>
      <c r="L24" s="219">
        <f>'2012'!R18</f>
        <v>2218.635</v>
      </c>
      <c r="M24" s="215">
        <f>'2012'!T18+'2012'!U18+'2012'!V18</f>
        <v>0</v>
      </c>
      <c r="N24" s="216">
        <f t="shared" si="0"/>
        <v>2674.9500000000003</v>
      </c>
      <c r="O24" s="216"/>
      <c r="P24" s="216">
        <f t="shared" si="1"/>
        <v>2098.7100000000005</v>
      </c>
      <c r="Q24" s="216">
        <f>'2012'!AD18</f>
        <v>108.52000000000044</v>
      </c>
      <c r="R24" s="148"/>
      <c r="S24" s="148"/>
    </row>
    <row r="25" spans="1:19" ht="12.75" hidden="1">
      <c r="A25" s="218" t="s">
        <v>34</v>
      </c>
      <c r="B25" s="68">
        <f>'2012'!B19</f>
        <v>524.5</v>
      </c>
      <c r="C25" s="68">
        <f>'2012'!C19</f>
        <v>4484.475</v>
      </c>
      <c r="D25" s="68">
        <f>'2012'!D19</f>
        <v>78.54</v>
      </c>
      <c r="E25" s="214">
        <f>'2012'!I19</f>
        <v>4586.6</v>
      </c>
      <c r="F25" s="216">
        <v>9</v>
      </c>
      <c r="G25" s="216">
        <f>'2012'!M19</f>
        <v>4333.76</v>
      </c>
      <c r="H25" s="216">
        <f>'2012'!N19</f>
        <v>4412.3</v>
      </c>
      <c r="I25" s="217">
        <v>0</v>
      </c>
      <c r="J25" s="219">
        <f>'2012'!P19</f>
        <v>351.415</v>
      </c>
      <c r="K25" s="219">
        <f>'2012'!Q19</f>
        <v>104.9</v>
      </c>
      <c r="L25" s="219">
        <f>'2012'!R19</f>
        <v>2218.635</v>
      </c>
      <c r="M25" s="215">
        <f>'2012'!T19+'2012'!U19+'2012'!V19</f>
        <v>0</v>
      </c>
      <c r="N25" s="216">
        <f t="shared" si="0"/>
        <v>2674.9500000000003</v>
      </c>
      <c r="O25" s="216"/>
      <c r="P25" s="216">
        <f t="shared" si="1"/>
        <v>1737.35</v>
      </c>
      <c r="Q25" s="216">
        <f>'2012'!AD19</f>
        <v>-252.84000000000015</v>
      </c>
      <c r="R25" s="148"/>
      <c r="S25" s="148"/>
    </row>
    <row r="26" spans="1:19" ht="12.75" hidden="1">
      <c r="A26" s="218" t="s">
        <v>35</v>
      </c>
      <c r="B26" s="68">
        <f>'2012'!B20</f>
        <v>524.5</v>
      </c>
      <c r="C26" s="68">
        <f>'2012'!C20</f>
        <v>4484.475</v>
      </c>
      <c r="D26" s="68">
        <f>'2012'!D20</f>
        <v>78.54</v>
      </c>
      <c r="E26" s="214">
        <f>'2012'!I20</f>
        <v>4586.6</v>
      </c>
      <c r="F26" s="216">
        <v>10</v>
      </c>
      <c r="G26" s="216">
        <f>'2012'!M20</f>
        <v>2370.23</v>
      </c>
      <c r="H26" s="216">
        <f>'2012'!N20</f>
        <v>2448.77</v>
      </c>
      <c r="I26" s="217">
        <v>0</v>
      </c>
      <c r="J26" s="219">
        <f>'2012'!P20</f>
        <v>351.415</v>
      </c>
      <c r="K26" s="219">
        <f>'2012'!Q20</f>
        <v>104.9</v>
      </c>
      <c r="L26" s="219">
        <f>'2012'!R20</f>
        <v>2218.635</v>
      </c>
      <c r="M26" s="215">
        <f>'2012'!T20+'2012'!U20+'2012'!V20</f>
        <v>0</v>
      </c>
      <c r="N26" s="216">
        <f t="shared" si="0"/>
        <v>2674.9500000000003</v>
      </c>
      <c r="O26" s="216"/>
      <c r="P26" s="216">
        <f t="shared" si="1"/>
        <v>-226.1800000000003</v>
      </c>
      <c r="Q26" s="216">
        <f>'2012'!AD20</f>
        <v>-2216.3700000000003</v>
      </c>
      <c r="R26" s="148"/>
      <c r="S26" s="148"/>
    </row>
    <row r="27" spans="1:19" ht="13.5" hidden="1" thickBot="1">
      <c r="A27" s="271" t="s">
        <v>36</v>
      </c>
      <c r="B27" s="272">
        <f>'2012'!B21</f>
        <v>524.5</v>
      </c>
      <c r="C27" s="272">
        <f>'2012'!C21</f>
        <v>4484.475</v>
      </c>
      <c r="D27" s="272">
        <f>'2012'!D21</f>
        <v>78.54</v>
      </c>
      <c r="E27" s="273">
        <f>'2012'!I21</f>
        <v>4597.07</v>
      </c>
      <c r="F27" s="274">
        <v>11</v>
      </c>
      <c r="G27" s="274">
        <f>'2012'!M21</f>
        <v>4650.48</v>
      </c>
      <c r="H27" s="274">
        <f>'2012'!N21</f>
        <v>4729.0199999999995</v>
      </c>
      <c r="I27" s="283">
        <v>0</v>
      </c>
      <c r="J27" s="275">
        <f>'2012'!P21</f>
        <v>351.415</v>
      </c>
      <c r="K27" s="275">
        <f>'2012'!Q21</f>
        <v>104.9</v>
      </c>
      <c r="L27" s="275">
        <f>'2012'!R21</f>
        <v>2218.635</v>
      </c>
      <c r="M27" s="276">
        <f>'2012'!T21+'2012'!U21+'2012'!V21</f>
        <v>1494</v>
      </c>
      <c r="N27" s="274">
        <f t="shared" si="0"/>
        <v>4168.950000000001</v>
      </c>
      <c r="O27" s="274"/>
      <c r="P27" s="274">
        <f t="shared" si="1"/>
        <v>560.0699999999988</v>
      </c>
      <c r="Q27" s="274">
        <f>'2012'!AD21</f>
        <v>53.409999999999854</v>
      </c>
      <c r="R27" s="148"/>
      <c r="S27" s="148"/>
    </row>
    <row r="28" spans="1:19" s="18" customFormat="1" ht="13.5" hidden="1" thickBot="1">
      <c r="A28" s="30" t="s">
        <v>5</v>
      </c>
      <c r="B28" s="31"/>
      <c r="C28" s="64">
        <f aca="true" t="shared" si="2" ref="C28:P28">SUM(C16:C27)</f>
        <v>47759.658749999995</v>
      </c>
      <c r="D28" s="64">
        <f t="shared" si="2"/>
        <v>1085.28</v>
      </c>
      <c r="E28" s="64">
        <f t="shared" si="2"/>
        <v>48736.869999999995</v>
      </c>
      <c r="F28" s="64">
        <f t="shared" si="2"/>
        <v>66</v>
      </c>
      <c r="G28" s="64">
        <f t="shared" si="2"/>
        <v>38934.740000000005</v>
      </c>
      <c r="H28" s="64">
        <f t="shared" si="2"/>
        <v>40020.01999999999</v>
      </c>
      <c r="I28" s="64">
        <v>0</v>
      </c>
      <c r="J28" s="64">
        <f>SUM(J16:J27)</f>
        <v>4216.9800000000005</v>
      </c>
      <c r="K28" s="64">
        <f t="shared" si="2"/>
        <v>1258.8000000000002</v>
      </c>
      <c r="L28" s="64">
        <f t="shared" si="2"/>
        <v>26623.62000000001</v>
      </c>
      <c r="M28" s="64">
        <f t="shared" si="2"/>
        <v>6590.36</v>
      </c>
      <c r="N28" s="64">
        <f t="shared" si="2"/>
        <v>38689.76000000001</v>
      </c>
      <c r="O28" s="64"/>
      <c r="P28" s="64">
        <f t="shared" si="2"/>
        <v>1330.2599999999934</v>
      </c>
      <c r="Q28" s="64">
        <f>SUM(Q16:Q27)</f>
        <v>-9802.13</v>
      </c>
      <c r="R28" s="61"/>
      <c r="S28" s="61"/>
    </row>
    <row r="29" spans="1:19" ht="13.5" hidden="1" thickBot="1">
      <c r="A29" s="333" t="s">
        <v>60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220"/>
      <c r="R29" s="148"/>
      <c r="S29" s="148"/>
    </row>
    <row r="30" spans="1:19" s="18" customFormat="1" ht="13.5" thickBot="1">
      <c r="A30" s="66" t="s">
        <v>45</v>
      </c>
      <c r="B30" s="33"/>
      <c r="C30" s="34">
        <f aca="true" t="shared" si="3" ref="C30:L30">C14+C28</f>
        <v>147533.08375000002</v>
      </c>
      <c r="D30" s="212">
        <f t="shared" si="3"/>
        <v>36533.71932577501</v>
      </c>
      <c r="E30" s="33">
        <f t="shared" si="3"/>
        <v>100239.42</v>
      </c>
      <c r="F30" s="34">
        <f t="shared" si="3"/>
        <v>8100.119999999999</v>
      </c>
      <c r="G30" s="212">
        <f t="shared" si="3"/>
        <v>75617.43000000001</v>
      </c>
      <c r="H30" s="34">
        <f t="shared" si="3"/>
        <v>120185.269325775</v>
      </c>
      <c r="I30" s="142">
        <v>0</v>
      </c>
      <c r="J30" s="279">
        <f t="shared" si="3"/>
        <v>11074.776</v>
      </c>
      <c r="K30" s="212">
        <f t="shared" si="3"/>
        <v>3549.5189944000003</v>
      </c>
      <c r="L30" s="212">
        <f t="shared" si="3"/>
        <v>75072.8807076824</v>
      </c>
      <c r="M30" s="33">
        <f>M14+M28</f>
        <v>22494.75</v>
      </c>
      <c r="N30" s="213">
        <f>N14+N28</f>
        <v>112191.9257020824</v>
      </c>
      <c r="O30" s="142"/>
      <c r="P30" s="142">
        <f>P14+P28</f>
        <v>7993.343623692619</v>
      </c>
      <c r="Q30" s="142">
        <f>Q14+Q28</f>
        <v>-24621.989999999998</v>
      </c>
      <c r="R30" s="62"/>
      <c r="S30" s="61"/>
    </row>
    <row r="31" spans="1:19" ht="13.5" thickBot="1">
      <c r="A31" s="253" t="s">
        <v>101</v>
      </c>
      <c r="B31" s="254"/>
      <c r="C31" s="255"/>
      <c r="D31" s="256"/>
      <c r="E31" s="257"/>
      <c r="F31" s="258"/>
      <c r="G31" s="259"/>
      <c r="H31" s="258"/>
      <c r="I31" s="281"/>
      <c r="J31" s="260"/>
      <c r="K31" s="260"/>
      <c r="L31" s="261"/>
      <c r="M31" s="262"/>
      <c r="N31" s="263"/>
      <c r="O31" s="278"/>
      <c r="P31" s="264"/>
      <c r="Q31" s="264"/>
      <c r="R31" s="148"/>
      <c r="S31" s="148"/>
    </row>
    <row r="32" spans="1:19" ht="13.5" thickBot="1">
      <c r="A32" s="265" t="s">
        <v>83</v>
      </c>
      <c r="B32" s="266">
        <f>'2012'!B26</f>
        <v>524.5</v>
      </c>
      <c r="C32" s="266">
        <f>'2012'!C26</f>
        <v>4484.475</v>
      </c>
      <c r="D32" s="266">
        <f>'2012'!D26</f>
        <v>78.54</v>
      </c>
      <c r="E32" s="267">
        <f>'2012'!I26</f>
        <v>4607.57</v>
      </c>
      <c r="F32" s="268">
        <v>0</v>
      </c>
      <c r="G32" s="268">
        <f>'2012'!M26</f>
        <v>3113.71</v>
      </c>
      <c r="H32" s="268">
        <f>'2012'!N26</f>
        <v>3192.25</v>
      </c>
      <c r="I32" s="282">
        <f>'2012'!O26</f>
        <v>0</v>
      </c>
      <c r="J32" s="269">
        <f>'2012'!P26</f>
        <v>351.415</v>
      </c>
      <c r="K32" s="269">
        <f>'2012'!Q26</f>
        <v>104.9</v>
      </c>
      <c r="L32" s="269">
        <f>'2012'!R26+'2012'!S26</f>
        <v>2328.78</v>
      </c>
      <c r="M32" s="270">
        <f>'2012'!T26+'2012'!U26+'2012'!V26</f>
        <v>0</v>
      </c>
      <c r="N32" s="268">
        <f>SUM(J32:M32)</f>
        <v>2785.0950000000003</v>
      </c>
      <c r="O32" s="268">
        <f>'2012'!AA26</f>
        <v>0</v>
      </c>
      <c r="P32" s="268">
        <f>H32-N32</f>
        <v>407.15499999999975</v>
      </c>
      <c r="Q32" s="268">
        <f>'2012'!AD26</f>
        <v>-1493.8599999999997</v>
      </c>
      <c r="R32" s="148"/>
      <c r="S32" s="148"/>
    </row>
    <row r="33" spans="1:19" ht="13.5" thickBot="1">
      <c r="A33" s="218" t="s">
        <v>84</v>
      </c>
      <c r="B33" s="266">
        <f>'2012'!B27</f>
        <v>524.5</v>
      </c>
      <c r="C33" s="266">
        <f>'2012'!C27</f>
        <v>4484.475</v>
      </c>
      <c r="D33" s="266">
        <f>'2012'!D27</f>
        <v>78.54</v>
      </c>
      <c r="E33" s="267">
        <f>'2012'!I27</f>
        <v>4612.25</v>
      </c>
      <c r="F33" s="268">
        <v>1</v>
      </c>
      <c r="G33" s="268">
        <f>'2012'!M27</f>
        <v>5255.29</v>
      </c>
      <c r="H33" s="268">
        <f>'2012'!N27</f>
        <v>5333.83</v>
      </c>
      <c r="I33" s="282">
        <f>'2012'!O27</f>
        <v>0</v>
      </c>
      <c r="J33" s="269">
        <f>'2012'!P27</f>
        <v>351.415</v>
      </c>
      <c r="K33" s="269">
        <f>'2012'!Q27</f>
        <v>104.9</v>
      </c>
      <c r="L33" s="269">
        <f>'2012'!R27+'2012'!S27</f>
        <v>2328.78</v>
      </c>
      <c r="M33" s="270">
        <f>'2012'!T27+'2012'!U27+'2012'!V27</f>
        <v>1686.2</v>
      </c>
      <c r="N33" s="268">
        <f aca="true" t="shared" si="4" ref="N33:N43">SUM(J33:M33)</f>
        <v>4471.295</v>
      </c>
      <c r="O33" s="268">
        <f>'2012'!AA27</f>
        <v>0</v>
      </c>
      <c r="P33" s="268">
        <f aca="true" t="shared" si="5" ref="P33:P43">H33-N33</f>
        <v>862.5349999999999</v>
      </c>
      <c r="Q33" s="268">
        <f>'2012'!AD27</f>
        <v>643.04</v>
      </c>
      <c r="R33" s="148"/>
      <c r="S33" s="148"/>
    </row>
    <row r="34" spans="1:19" ht="13.5" thickBot="1">
      <c r="A34" s="218" t="s">
        <v>38</v>
      </c>
      <c r="B34" s="266">
        <f>'2012'!B28</f>
        <v>524.5</v>
      </c>
      <c r="C34" s="266">
        <f>'2012'!C28</f>
        <v>4484.475</v>
      </c>
      <c r="D34" s="266">
        <f>'2012'!D28</f>
        <v>78.54</v>
      </c>
      <c r="E34" s="267">
        <f>'2012'!I28</f>
        <v>4612.25</v>
      </c>
      <c r="F34" s="268">
        <v>2</v>
      </c>
      <c r="G34" s="268">
        <f>'2012'!M28</f>
        <v>3626.7800000000007</v>
      </c>
      <c r="H34" s="268">
        <f>'2012'!N28</f>
        <v>3705.3200000000006</v>
      </c>
      <c r="I34" s="282">
        <f>'2012'!O28</f>
        <v>0</v>
      </c>
      <c r="J34" s="269">
        <f>'2012'!P28</f>
        <v>351.415</v>
      </c>
      <c r="K34" s="269">
        <f>'2012'!Q28</f>
        <v>104.9</v>
      </c>
      <c r="L34" s="269">
        <f>'2012'!R28+'2012'!S28</f>
        <v>2328.78</v>
      </c>
      <c r="M34" s="270">
        <f>'2012'!T28+'2012'!U28+'2012'!V28</f>
        <v>18</v>
      </c>
      <c r="N34" s="268">
        <f t="shared" si="4"/>
        <v>2803.0950000000003</v>
      </c>
      <c r="O34" s="268">
        <f>'2012'!AA28</f>
        <v>0</v>
      </c>
      <c r="P34" s="268">
        <f t="shared" si="5"/>
        <v>902.2250000000004</v>
      </c>
      <c r="Q34" s="268">
        <f>'2012'!AD28</f>
        <v>-985.4699999999993</v>
      </c>
      <c r="R34" s="148"/>
      <c r="S34" s="148"/>
    </row>
    <row r="35" spans="1:19" ht="13.5" thickBot="1">
      <c r="A35" s="218" t="s">
        <v>39</v>
      </c>
      <c r="B35" s="266">
        <f>'2012'!B29</f>
        <v>524.5</v>
      </c>
      <c r="C35" s="266">
        <f>'2012'!C29</f>
        <v>4484.475</v>
      </c>
      <c r="D35" s="266">
        <f>'2012'!D29</f>
        <v>78.54</v>
      </c>
      <c r="E35" s="267">
        <f>'2012'!I29</f>
        <v>4612.25</v>
      </c>
      <c r="F35" s="268">
        <v>3</v>
      </c>
      <c r="G35" s="268">
        <f>'2012'!M29</f>
        <v>2500.96</v>
      </c>
      <c r="H35" s="268">
        <f>'2012'!N29</f>
        <v>2579.5</v>
      </c>
      <c r="I35" s="282">
        <f>'2012'!O29</f>
        <v>0</v>
      </c>
      <c r="J35" s="269">
        <f>'2012'!P29</f>
        <v>351.415</v>
      </c>
      <c r="K35" s="269">
        <f>'2012'!Q29</f>
        <v>104.9</v>
      </c>
      <c r="L35" s="269">
        <f>'2012'!R29+'2012'!S29</f>
        <v>2328.78</v>
      </c>
      <c r="M35" s="270">
        <f>'2012'!T29+'2012'!U29+'2012'!V29</f>
        <v>485.38</v>
      </c>
      <c r="N35" s="268">
        <f t="shared" si="4"/>
        <v>3270.4750000000004</v>
      </c>
      <c r="O35" s="268">
        <f>'2012'!AA29</f>
        <v>0</v>
      </c>
      <c r="P35" s="268">
        <f t="shared" si="5"/>
        <v>-690.9750000000004</v>
      </c>
      <c r="Q35" s="268">
        <f>'2012'!AD29</f>
        <v>-2111.29</v>
      </c>
      <c r="R35" s="148"/>
      <c r="S35" s="148"/>
    </row>
    <row r="36" spans="1:19" ht="13.5" thickBot="1">
      <c r="A36" s="218" t="s">
        <v>40</v>
      </c>
      <c r="B36" s="266">
        <f>'2012'!B30</f>
        <v>524.5</v>
      </c>
      <c r="C36" s="266">
        <f>'2012'!C30</f>
        <v>4484.475</v>
      </c>
      <c r="D36" s="266">
        <f>'2012'!D30</f>
        <v>78.54</v>
      </c>
      <c r="E36" s="267">
        <f>'2012'!I30</f>
        <v>4612.25</v>
      </c>
      <c r="F36" s="268">
        <v>4</v>
      </c>
      <c r="G36" s="268">
        <f>'2012'!M30</f>
        <v>3328.29</v>
      </c>
      <c r="H36" s="268">
        <f>'2012'!N30</f>
        <v>3406.83</v>
      </c>
      <c r="I36" s="282">
        <f>'2012'!O30</f>
        <v>0</v>
      </c>
      <c r="J36" s="269">
        <f>'2012'!P30</f>
        <v>351.415</v>
      </c>
      <c r="K36" s="269">
        <f>'2012'!Q30</f>
        <v>104.9</v>
      </c>
      <c r="L36" s="269">
        <f>'2012'!R30+'2012'!S30</f>
        <v>2328.78</v>
      </c>
      <c r="M36" s="270">
        <f>'2012'!T30+'2012'!U30+'2012'!V30</f>
        <v>0</v>
      </c>
      <c r="N36" s="268">
        <f t="shared" si="4"/>
        <v>2785.0950000000003</v>
      </c>
      <c r="O36" s="268">
        <f>'2012'!AA30</f>
        <v>0</v>
      </c>
      <c r="P36" s="268">
        <f t="shared" si="5"/>
        <v>621.7349999999997</v>
      </c>
      <c r="Q36" s="268">
        <f>'2012'!AD30</f>
        <v>-1283.96</v>
      </c>
      <c r="R36" s="148"/>
      <c r="S36" s="148"/>
    </row>
    <row r="37" spans="1:19" ht="13.5" thickBot="1">
      <c r="A37" s="218" t="s">
        <v>41</v>
      </c>
      <c r="B37" s="266">
        <f>'2012'!B31</f>
        <v>524.5</v>
      </c>
      <c r="C37" s="266">
        <f>'2012'!C31</f>
        <v>4484.475</v>
      </c>
      <c r="D37" s="266">
        <f>'2012'!D31</f>
        <v>78.54</v>
      </c>
      <c r="E37" s="267">
        <f>'2012'!I31</f>
        <v>4612.25</v>
      </c>
      <c r="F37" s="268">
        <v>5</v>
      </c>
      <c r="G37" s="268">
        <f>'2012'!M31</f>
        <v>3637.5999999999995</v>
      </c>
      <c r="H37" s="268">
        <f>'2012'!N31</f>
        <v>3716.1399999999994</v>
      </c>
      <c r="I37" s="282">
        <f>'2012'!O31</f>
        <v>0</v>
      </c>
      <c r="J37" s="269">
        <f>'2012'!P31</f>
        <v>351.415</v>
      </c>
      <c r="K37" s="269">
        <f>'2012'!Q31</f>
        <v>104.9</v>
      </c>
      <c r="L37" s="269">
        <f>'2012'!R31+'2012'!S31</f>
        <v>2328.78</v>
      </c>
      <c r="M37" s="270">
        <f>'2012'!T31+'2012'!U31+'2012'!V31</f>
        <v>0</v>
      </c>
      <c r="N37" s="268">
        <f t="shared" si="4"/>
        <v>2785.0950000000003</v>
      </c>
      <c r="O37" s="268">
        <f>'2012'!AA31</f>
        <v>0</v>
      </c>
      <c r="P37" s="268">
        <f t="shared" si="5"/>
        <v>931.0449999999992</v>
      </c>
      <c r="Q37" s="268">
        <f>'2012'!AD31</f>
        <v>-974.6500000000005</v>
      </c>
      <c r="R37" s="148"/>
      <c r="S37" s="148"/>
    </row>
    <row r="38" spans="1:19" ht="13.5" thickBot="1">
      <c r="A38" s="218" t="s">
        <v>42</v>
      </c>
      <c r="B38" s="266">
        <f>'2012'!B32</f>
        <v>524.5</v>
      </c>
      <c r="C38" s="266">
        <f>'2012'!C32</f>
        <v>4987.995</v>
      </c>
      <c r="D38" s="266">
        <f>'2012'!D32</f>
        <v>105.105</v>
      </c>
      <c r="E38" s="267">
        <f>'2012'!I32</f>
        <v>4987.99</v>
      </c>
      <c r="F38" s="268">
        <v>6</v>
      </c>
      <c r="G38" s="268">
        <f>'2012'!M32</f>
        <v>1489.3700000000001</v>
      </c>
      <c r="H38" s="268">
        <f>'2012'!N32</f>
        <v>1594.4750000000001</v>
      </c>
      <c r="I38" s="282">
        <f>'2012'!O32</f>
        <v>0</v>
      </c>
      <c r="J38" s="269">
        <f>'2012'!P32</f>
        <v>351.415</v>
      </c>
      <c r="K38" s="269">
        <f>'2012'!Q32</f>
        <v>104.9</v>
      </c>
      <c r="L38" s="269">
        <f>'2012'!R32+'2012'!S32</f>
        <v>2328.78</v>
      </c>
      <c r="M38" s="270">
        <f>'2012'!T32+'2012'!U32+'2012'!V32</f>
        <v>0</v>
      </c>
      <c r="N38" s="268">
        <f t="shared" si="4"/>
        <v>2785.0950000000003</v>
      </c>
      <c r="O38" s="268">
        <f>'2012'!AA32</f>
        <v>0</v>
      </c>
      <c r="P38" s="268">
        <f t="shared" si="5"/>
        <v>-1190.6200000000001</v>
      </c>
      <c r="Q38" s="268">
        <f>'2012'!AD32</f>
        <v>-3498.62</v>
      </c>
      <c r="R38" s="148"/>
      <c r="S38" s="148"/>
    </row>
    <row r="39" spans="1:19" ht="13.5" thickBot="1">
      <c r="A39" s="218" t="s">
        <v>43</v>
      </c>
      <c r="B39" s="266">
        <f>'2012'!B33</f>
        <v>524.5</v>
      </c>
      <c r="C39" s="266">
        <f>'2012'!C33</f>
        <v>4987.995</v>
      </c>
      <c r="D39" s="266">
        <f>'2012'!D33</f>
        <v>0</v>
      </c>
      <c r="E39" s="267">
        <f>'2012'!I33</f>
        <v>4987.99</v>
      </c>
      <c r="F39" s="268">
        <v>7</v>
      </c>
      <c r="G39" s="268">
        <f>'2012'!M33</f>
        <v>2392.06</v>
      </c>
      <c r="H39" s="268">
        <f>'2012'!N33</f>
        <v>2392.06</v>
      </c>
      <c r="I39" s="282">
        <f>'2012'!O33</f>
        <v>0</v>
      </c>
      <c r="J39" s="269">
        <f>'2012'!P33</f>
        <v>351.415</v>
      </c>
      <c r="K39" s="269">
        <f>'2012'!Q33</f>
        <v>104.9</v>
      </c>
      <c r="L39" s="269">
        <f>'2012'!R33+'2012'!S33</f>
        <v>2328.78</v>
      </c>
      <c r="M39" s="270">
        <f>'2012'!T33+'2012'!U33+'2012'!V33</f>
        <v>0</v>
      </c>
      <c r="N39" s="268">
        <f t="shared" si="4"/>
        <v>2785.0950000000003</v>
      </c>
      <c r="O39" s="268">
        <f>'2012'!AA33</f>
        <v>0</v>
      </c>
      <c r="P39" s="268">
        <f t="shared" si="5"/>
        <v>-393.0350000000003</v>
      </c>
      <c r="Q39" s="268">
        <f>'2012'!AD33</f>
        <v>-2595.93</v>
      </c>
      <c r="R39" s="148"/>
      <c r="S39" s="148"/>
    </row>
    <row r="40" spans="1:19" ht="13.5" thickBot="1">
      <c r="A40" s="218" t="s">
        <v>44</v>
      </c>
      <c r="B40" s="266">
        <f>'2012'!B34</f>
        <v>524.5</v>
      </c>
      <c r="C40" s="266">
        <f>'2012'!C34</f>
        <v>4987.995</v>
      </c>
      <c r="D40" s="266">
        <f>'2012'!D34</f>
        <v>0</v>
      </c>
      <c r="E40" s="267">
        <f>'2012'!I34</f>
        <v>4987.99</v>
      </c>
      <c r="F40" s="268">
        <v>8</v>
      </c>
      <c r="G40" s="268">
        <f>'2012'!M34</f>
        <v>4404.45</v>
      </c>
      <c r="H40" s="268">
        <f>'2012'!N34</f>
        <v>4404.45</v>
      </c>
      <c r="I40" s="282">
        <f>'2012'!O34</f>
        <v>0</v>
      </c>
      <c r="J40" s="269">
        <f>'2012'!P34</f>
        <v>351.415</v>
      </c>
      <c r="K40" s="269">
        <f>'2012'!Q34</f>
        <v>104.9</v>
      </c>
      <c r="L40" s="269">
        <f>'2012'!R34+'2012'!S34</f>
        <v>2328.78</v>
      </c>
      <c r="M40" s="270">
        <f>'2012'!T34+'2012'!U34+'2012'!V34</f>
        <v>0</v>
      </c>
      <c r="N40" s="268">
        <f t="shared" si="4"/>
        <v>2785.0950000000003</v>
      </c>
      <c r="O40" s="268">
        <f>'2012'!AA34</f>
        <v>0</v>
      </c>
      <c r="P40" s="268">
        <f t="shared" si="5"/>
        <v>1619.3549999999996</v>
      </c>
      <c r="Q40" s="268">
        <f>'2012'!AD34</f>
        <v>-583.54</v>
      </c>
      <c r="R40" s="148"/>
      <c r="S40" s="148"/>
    </row>
    <row r="41" spans="1:19" ht="13.5" thickBot="1">
      <c r="A41" s="218" t="s">
        <v>34</v>
      </c>
      <c r="B41" s="266">
        <f>'2012'!B35</f>
        <v>524.5</v>
      </c>
      <c r="C41" s="266">
        <f>'2012'!C35</f>
        <v>4987.995</v>
      </c>
      <c r="D41" s="266">
        <f>'2012'!D35</f>
        <v>0</v>
      </c>
      <c r="E41" s="267">
        <f>'2012'!I35</f>
        <v>4987.99</v>
      </c>
      <c r="F41" s="268">
        <v>9</v>
      </c>
      <c r="G41" s="268">
        <f>'2012'!M35</f>
        <v>3698.31</v>
      </c>
      <c r="H41" s="268">
        <f>'2012'!N35</f>
        <v>3698.31</v>
      </c>
      <c r="I41" s="282">
        <f>'2012'!O35</f>
        <v>0</v>
      </c>
      <c r="J41" s="269">
        <f>'2012'!P35</f>
        <v>351.415</v>
      </c>
      <c r="K41" s="269">
        <f>'2012'!Q35</f>
        <v>104.9</v>
      </c>
      <c r="L41" s="269">
        <f>'2012'!R35+'2012'!S35</f>
        <v>2328.78</v>
      </c>
      <c r="M41" s="270">
        <f>'2012'!T35+'2012'!U35+'2012'!V35</f>
        <v>2100</v>
      </c>
      <c r="N41" s="268">
        <f t="shared" si="4"/>
        <v>4885.095</v>
      </c>
      <c r="O41" s="268">
        <f>'2012'!AA35</f>
        <v>0</v>
      </c>
      <c r="P41" s="268">
        <f t="shared" si="5"/>
        <v>-1186.7850000000003</v>
      </c>
      <c r="Q41" s="268">
        <f>'2012'!AD35</f>
        <v>-1289.6799999999998</v>
      </c>
      <c r="R41" s="148"/>
      <c r="S41" s="148"/>
    </row>
    <row r="42" spans="1:19" ht="13.5" thickBot="1">
      <c r="A42" s="218" t="s">
        <v>35</v>
      </c>
      <c r="B42" s="266">
        <f>'2012'!B36</f>
        <v>524.5</v>
      </c>
      <c r="C42" s="266">
        <f>'2012'!C36</f>
        <v>4987.995</v>
      </c>
      <c r="D42" s="266">
        <f>'2012'!D36</f>
        <v>0</v>
      </c>
      <c r="E42" s="267">
        <f>'2012'!I36</f>
        <v>4987.99</v>
      </c>
      <c r="F42" s="268">
        <v>10</v>
      </c>
      <c r="G42" s="268">
        <f>'2012'!M36</f>
        <v>4180.37</v>
      </c>
      <c r="H42" s="268">
        <f>'2012'!N36</f>
        <v>4180.37</v>
      </c>
      <c r="I42" s="282">
        <f>'2012'!O36</f>
        <v>114</v>
      </c>
      <c r="J42" s="269">
        <f>'2012'!P36</f>
        <v>351.415</v>
      </c>
      <c r="K42" s="269">
        <f>'2012'!Q36</f>
        <v>104.9</v>
      </c>
      <c r="L42" s="269">
        <f>'2012'!R36+'2012'!S36</f>
        <v>2328.78</v>
      </c>
      <c r="M42" s="270">
        <f>'2012'!T36+'2012'!U36+'2012'!V36</f>
        <v>418</v>
      </c>
      <c r="N42" s="268">
        <f t="shared" si="4"/>
        <v>3203.0950000000003</v>
      </c>
      <c r="O42" s="268">
        <f>'2012'!AA36</f>
        <v>28.5</v>
      </c>
      <c r="P42" s="268">
        <f t="shared" si="5"/>
        <v>977.2749999999996</v>
      </c>
      <c r="Q42" s="268">
        <f>'2012'!AD36</f>
        <v>-807.6199999999999</v>
      </c>
      <c r="R42" s="148"/>
      <c r="S42" s="148"/>
    </row>
    <row r="43" spans="1:19" ht="13.5" thickBot="1">
      <c r="A43" s="271" t="s">
        <v>36</v>
      </c>
      <c r="B43" s="266">
        <f>'2012'!B37</f>
        <v>524.5</v>
      </c>
      <c r="C43" s="266">
        <f>'2012'!C37</f>
        <v>4987.995</v>
      </c>
      <c r="D43" s="266">
        <f>'2012'!D37</f>
        <v>0</v>
      </c>
      <c r="E43" s="267">
        <f>'2012'!I37</f>
        <v>4987.99</v>
      </c>
      <c r="F43" s="268">
        <v>11</v>
      </c>
      <c r="G43" s="268">
        <f>'2012'!M37</f>
        <v>4975.349999999999</v>
      </c>
      <c r="H43" s="268">
        <f>'2012'!N37</f>
        <v>4975.349999999999</v>
      </c>
      <c r="I43" s="282">
        <f>'2012'!O37</f>
        <v>114</v>
      </c>
      <c r="J43" s="269">
        <f>'2012'!P37</f>
        <v>351.415</v>
      </c>
      <c r="K43" s="269">
        <f>'2012'!Q37</f>
        <v>104.9</v>
      </c>
      <c r="L43" s="269">
        <f>'2012'!R37+'2012'!S37</f>
        <v>2328.78</v>
      </c>
      <c r="M43" s="270">
        <f>'2012'!T37+'2012'!U37+'2012'!V37</f>
        <v>0</v>
      </c>
      <c r="N43" s="268">
        <f t="shared" si="4"/>
        <v>2785.0950000000003</v>
      </c>
      <c r="O43" s="268">
        <f>'2012'!AA37</f>
        <v>28.5</v>
      </c>
      <c r="P43" s="268">
        <f t="shared" si="5"/>
        <v>2190.254999999999</v>
      </c>
      <c r="Q43" s="268">
        <f>'2012'!AD37</f>
        <v>-12.640000000000327</v>
      </c>
      <c r="R43" s="148"/>
      <c r="S43" s="148"/>
    </row>
    <row r="44" spans="1:19" s="18" customFormat="1" ht="13.5" thickBot="1">
      <c r="A44" s="30" t="s">
        <v>5</v>
      </c>
      <c r="B44" s="31"/>
      <c r="C44" s="64">
        <f aca="true" t="shared" si="6" ref="C44:P44">SUM(C32:C43)</f>
        <v>56834.82000000001</v>
      </c>
      <c r="D44" s="64">
        <f t="shared" si="6"/>
        <v>576.345</v>
      </c>
      <c r="E44" s="64">
        <f t="shared" si="6"/>
        <v>57596.75999999999</v>
      </c>
      <c r="F44" s="64">
        <f t="shared" si="6"/>
        <v>66</v>
      </c>
      <c r="G44" s="64">
        <f t="shared" si="6"/>
        <v>42602.54</v>
      </c>
      <c r="H44" s="64">
        <f t="shared" si="6"/>
        <v>43178.885</v>
      </c>
      <c r="I44" s="64">
        <f t="shared" si="6"/>
        <v>228</v>
      </c>
      <c r="J44" s="64">
        <f t="shared" si="6"/>
        <v>4216.9800000000005</v>
      </c>
      <c r="K44" s="64">
        <f t="shared" si="6"/>
        <v>1258.8000000000002</v>
      </c>
      <c r="L44" s="64">
        <f t="shared" si="6"/>
        <v>27945.359999999997</v>
      </c>
      <c r="M44" s="64">
        <f t="shared" si="6"/>
        <v>4707.58</v>
      </c>
      <c r="N44" s="64">
        <f t="shared" si="6"/>
        <v>38128.72000000001</v>
      </c>
      <c r="O44" s="64">
        <f t="shared" si="6"/>
        <v>57</v>
      </c>
      <c r="P44" s="64">
        <f t="shared" si="6"/>
        <v>5050.164999999995</v>
      </c>
      <c r="Q44" s="64">
        <f>SUM(Q32:Q43)</f>
        <v>-14994.219999999998</v>
      </c>
      <c r="R44" s="61"/>
      <c r="S44" s="61"/>
    </row>
    <row r="45" spans="1:19" ht="13.5" thickBot="1">
      <c r="A45" s="333" t="s">
        <v>60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220"/>
      <c r="R45" s="148"/>
      <c r="S45" s="148"/>
    </row>
    <row r="46" spans="1:19" s="18" customFormat="1" ht="13.5" thickBot="1">
      <c r="A46" s="66" t="s">
        <v>45</v>
      </c>
      <c r="B46" s="33"/>
      <c r="C46" s="142">
        <f aca="true" t="shared" si="7" ref="C46:P46">C30+C44</f>
        <v>204367.90375000003</v>
      </c>
      <c r="D46" s="142">
        <f t="shared" si="7"/>
        <v>37110.06432577501</v>
      </c>
      <c r="E46" s="142">
        <f t="shared" si="7"/>
        <v>157836.18</v>
      </c>
      <c r="F46" s="142">
        <f t="shared" si="7"/>
        <v>8166.119999999999</v>
      </c>
      <c r="G46" s="142">
        <f t="shared" si="7"/>
        <v>118219.97</v>
      </c>
      <c r="H46" s="142">
        <f t="shared" si="7"/>
        <v>163364.15432577502</v>
      </c>
      <c r="I46" s="142">
        <f t="shared" si="7"/>
        <v>228</v>
      </c>
      <c r="J46" s="142">
        <f t="shared" si="7"/>
        <v>15291.756000000001</v>
      </c>
      <c r="K46" s="142">
        <f t="shared" si="7"/>
        <v>4808.3189944000005</v>
      </c>
      <c r="L46" s="142">
        <f t="shared" si="7"/>
        <v>103018.2407076824</v>
      </c>
      <c r="M46" s="142">
        <f t="shared" si="7"/>
        <v>27202.33</v>
      </c>
      <c r="N46" s="142">
        <f t="shared" si="7"/>
        <v>150320.6457020824</v>
      </c>
      <c r="O46" s="142">
        <f t="shared" si="7"/>
        <v>57</v>
      </c>
      <c r="P46" s="142">
        <f t="shared" si="7"/>
        <v>13043.508623692614</v>
      </c>
      <c r="Q46" s="142">
        <f>Q30+Q44</f>
        <v>-39616.20999999999</v>
      </c>
      <c r="R46" s="62"/>
      <c r="S46" s="61"/>
    </row>
    <row r="47" ht="10.5" customHeight="1"/>
    <row r="48" spans="1:19" ht="12.75">
      <c r="A48" s="18" t="s">
        <v>79</v>
      </c>
      <c r="D48" s="69" t="s">
        <v>106</v>
      </c>
      <c r="R48" s="148"/>
      <c r="S48" s="148"/>
    </row>
    <row r="49" spans="1:19" ht="12.75">
      <c r="A49" s="157" t="s">
        <v>61</v>
      </c>
      <c r="B49" s="157" t="s">
        <v>62</v>
      </c>
      <c r="C49" s="420" t="s">
        <v>63</v>
      </c>
      <c r="D49" s="420"/>
      <c r="R49" s="148"/>
      <c r="S49" s="148"/>
    </row>
    <row r="50" spans="1:19" ht="12.75">
      <c r="A50" s="95">
        <v>49401.7</v>
      </c>
      <c r="B50" s="95">
        <v>0</v>
      </c>
      <c r="C50" s="421">
        <f>A50-B50</f>
        <v>49401.7</v>
      </c>
      <c r="D50" s="422"/>
      <c r="R50" s="148"/>
      <c r="S50" s="148"/>
    </row>
    <row r="51" spans="1:19" ht="9.75" customHeight="1">
      <c r="A51" s="41"/>
      <c r="R51" s="148"/>
      <c r="S51" s="148"/>
    </row>
    <row r="52" spans="1:19" ht="12.75">
      <c r="A52" s="149" t="s">
        <v>66</v>
      </c>
      <c r="G52" s="149" t="s">
        <v>67</v>
      </c>
      <c r="R52" s="148"/>
      <c r="S52" s="148"/>
    </row>
    <row r="53" ht="5.25" customHeight="1">
      <c r="A53" s="148"/>
    </row>
    <row r="54" ht="12.75">
      <c r="A54" s="69" t="s">
        <v>99</v>
      </c>
    </row>
    <row r="55" ht="12.75">
      <c r="A55" s="149" t="s">
        <v>68</v>
      </c>
    </row>
  </sheetData>
  <sheetProtection/>
  <mergeCells count="28">
    <mergeCell ref="C9:C12"/>
    <mergeCell ref="D9:D12"/>
    <mergeCell ref="E9:F10"/>
    <mergeCell ref="G9:H10"/>
    <mergeCell ref="B1:H1"/>
    <mergeCell ref="B2:H2"/>
    <mergeCell ref="A5:P5"/>
    <mergeCell ref="A6:G6"/>
    <mergeCell ref="A8:D8"/>
    <mergeCell ref="E8:F8"/>
    <mergeCell ref="Q9:Q12"/>
    <mergeCell ref="E11:F11"/>
    <mergeCell ref="H11:H12"/>
    <mergeCell ref="J11:J12"/>
    <mergeCell ref="K11:K12"/>
    <mergeCell ref="L11:L12"/>
    <mergeCell ref="M11:M12"/>
    <mergeCell ref="N11:N12"/>
    <mergeCell ref="A45:P45"/>
    <mergeCell ref="I9:I12"/>
    <mergeCell ref="O9:O12"/>
    <mergeCell ref="A29:P29"/>
    <mergeCell ref="C49:D49"/>
    <mergeCell ref="C50:D50"/>
    <mergeCell ref="J9:N10"/>
    <mergeCell ref="P9:P12"/>
    <mergeCell ref="A9:A12"/>
    <mergeCell ref="B9:B12"/>
  </mergeCells>
  <printOptions/>
  <pageMargins left="0.2362204724409449" right="0.15748031496062992" top="0.4330708661417323" bottom="0.2755905511811024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2012-06-18T04:35:40Z</cp:lastPrinted>
  <dcterms:created xsi:type="dcterms:W3CDTF">2010-04-02T05:03:24Z</dcterms:created>
  <dcterms:modified xsi:type="dcterms:W3CDTF">2013-07-17T15:56:41Z</dcterms:modified>
  <cp:category/>
  <cp:version/>
  <cp:contentType/>
  <cp:contentStatus/>
</cp:coreProperties>
</file>