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firstSheet="1" activeTab="1"/>
  </bookViews>
  <sheets>
    <sheet name="2012" sheetId="1" state="hidden" r:id="rId1"/>
    <sheet name="2012 печать" sheetId="2" r:id="rId2"/>
  </sheets>
  <definedNames/>
  <calcPr fullCalcOnLoad="1"/>
</workbook>
</file>

<file path=xl/sharedStrings.xml><?xml version="1.0" encoding="utf-8"?>
<sst xmlns="http://schemas.openxmlformats.org/spreadsheetml/2006/main" count="119" uniqueCount="75">
  <si>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</si>
  <si>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</si>
  <si>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</si>
  <si>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</si>
  <si>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</si>
  <si>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</si>
  <si>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</si>
  <si>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</si>
  <si>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</si>
  <si>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</si>
  <si>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</si>
  <si>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льгота</t>
  </si>
  <si>
    <t>По всем услугам</t>
  </si>
  <si>
    <t>Услуга по управлению</t>
  </si>
  <si>
    <t>Услуги начисления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</si>
  <si>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</si>
  <si>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</si>
  <si>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</si>
  <si>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</si>
  <si>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</si>
  <si>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</si>
  <si>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</si>
  <si>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</si>
  <si>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</si>
  <si>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</si>
  <si>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</si>
  <si>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</si>
  <si>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</si>
  <si>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</si>
  <si>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</si>
  <si>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</si>
  <si>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</si>
  <si>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</si>
  <si>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</si>
  <si>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</si>
  <si>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</si>
  <si>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населению</t>
  </si>
  <si>
    <t>на конец отчетного периода</t>
  </si>
  <si>
    <t>Доходы по нежил.помещениям</t>
  </si>
  <si>
    <t>для счетов-фактур</t>
  </si>
  <si>
    <t>Расходы по нежил. помещениям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</si>
  <si>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</si>
  <si>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</si>
  <si>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</si>
  <si>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</si>
  <si>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</si>
  <si>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</si>
  <si>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</si>
  <si>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</si>
  <si>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</si>
  <si>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</si>
  <si>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</si>
  <si>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</si>
  <si>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</si>
  <si>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Собрано квартплаты от населения</t>
  </si>
  <si>
    <t>Услуга начисления</t>
  </si>
  <si>
    <t>Собрано за содержание и тек.рем.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</si>
  <si>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</si>
  <si>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</si>
  <si>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</si>
  <si>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</si>
  <si>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</si>
  <si>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</si>
  <si>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</si>
  <si>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Лицевой счет по адресу г. Таштагол, ул. Коммунистическая, д.1</t>
  </si>
  <si>
    <t>Выписка по лицевому счету по адресу г. Таштагол ул. Коммунистическая, д. 1</t>
  </si>
  <si>
    <t>2012 год</t>
  </si>
  <si>
    <t>январь</t>
  </si>
  <si>
    <t>февраль</t>
  </si>
  <si>
    <t>март</t>
  </si>
  <si>
    <t>апрель</t>
  </si>
  <si>
    <t>май</t>
  </si>
  <si>
    <t>на 01.01.2013 г.</t>
  </si>
  <si>
    <t>*по состоянию на 01.05.2013 г.</t>
  </si>
  <si>
    <t>Тариф по содержанию и тек.ремонту 100 % (13,65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</si>
</sst>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4" borderId="21" xfId="66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" fillId="34" borderId="21" xfId="55" applyNumberFormat="1" applyFont="1" applyFill="1" applyBorder="1">
      <alignment/>
      <protection/>
    </xf>
    <xf numFmtId="0" fontId="0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/>
    </xf>
    <xf numFmtId="4" fontId="0" fillId="0" borderId="27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11" fillId="0" borderId="18" xfId="34" applyNumberFormat="1" applyFont="1" applyFill="1" applyBorder="1" applyAlignment="1">
      <alignment horizontal="center" vertical="center" wrapText="1"/>
      <protection/>
    </xf>
    <xf numFmtId="43" fontId="11" fillId="34" borderId="21" xfId="66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4" fontId="7" fillId="34" borderId="21" xfId="55" applyNumberFormat="1" applyFont="1" applyFill="1" applyBorder="1">
      <alignment/>
      <protection/>
    </xf>
    <xf numFmtId="4" fontId="7" fillId="0" borderId="17" xfId="55" applyNumberFormat="1" applyFont="1" applyFill="1" applyBorder="1">
      <alignment/>
      <protection/>
    </xf>
    <xf numFmtId="4" fontId="7" fillId="33" borderId="17" xfId="55" applyNumberFormat="1" applyFont="1" applyFill="1" applyBorder="1">
      <alignment/>
      <protection/>
    </xf>
    <xf numFmtId="4" fontId="6" fillId="0" borderId="21" xfId="55" applyNumberFormat="1" applyFont="1" applyFill="1" applyBorder="1">
      <alignment/>
      <protection/>
    </xf>
    <xf numFmtId="4" fontId="7" fillId="35" borderId="17" xfId="55" applyNumberFormat="1" applyFont="1" applyFill="1" applyBorder="1">
      <alignment/>
      <protection/>
    </xf>
    <xf numFmtId="4" fontId="2" fillId="0" borderId="18" xfId="34" applyNumberFormat="1" applyFont="1" applyFill="1" applyBorder="1" applyAlignment="1">
      <alignment horizontal="center" vertical="center" wrapText="1"/>
      <protection/>
    </xf>
    <xf numFmtId="4" fontId="0" fillId="34" borderId="21" xfId="55" applyNumberFormat="1" applyFont="1" applyFill="1" applyBorder="1">
      <alignment/>
      <protection/>
    </xf>
    <xf numFmtId="4" fontId="0" fillId="0" borderId="17" xfId="55" applyNumberFormat="1" applyFont="1" applyFill="1" applyBorder="1">
      <alignment/>
      <protection/>
    </xf>
    <xf numFmtId="4" fontId="0" fillId="33" borderId="17" xfId="55" applyNumberFormat="1" applyFont="1" applyFill="1" applyBorder="1">
      <alignment/>
      <protection/>
    </xf>
    <xf numFmtId="4" fontId="0" fillId="0" borderId="21" xfId="55" applyNumberFormat="1" applyFont="1" applyFill="1" applyBorder="1">
      <alignment/>
      <protection/>
    </xf>
    <xf numFmtId="4" fontId="0" fillId="35" borderId="17" xfId="55" applyNumberFormat="1" applyFont="1" applyFill="1" applyBorder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33" borderId="17" xfId="55" applyNumberFormat="1" applyFont="1" applyFill="1" applyBorder="1" applyAlignment="1">
      <alignment horizontal="center"/>
      <protection/>
    </xf>
    <xf numFmtId="4" fontId="7" fillId="0" borderId="33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0" fillId="35" borderId="21" xfId="55" applyNumberFormat="1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15" fillId="0" borderId="33" xfId="0" applyNumberFormat="1" applyFont="1" applyBorder="1" applyAlignment="1">
      <alignment horizontal="center"/>
    </xf>
    <xf numFmtId="0" fontId="0" fillId="36" borderId="17" xfId="0" applyFont="1" applyFill="1" applyBorder="1" applyAlignment="1">
      <alignment/>
    </xf>
    <xf numFmtId="4" fontId="0" fillId="36" borderId="17" xfId="0" applyNumberFormat="1" applyFont="1" applyFill="1" applyBorder="1" applyAlignment="1">
      <alignment/>
    </xf>
    <xf numFmtId="4" fontId="0" fillId="36" borderId="17" xfId="55" applyNumberFormat="1" applyFont="1" applyFill="1" applyBorder="1">
      <alignment/>
      <protection/>
    </xf>
    <xf numFmtId="4" fontId="0" fillId="0" borderId="28" xfId="0" applyNumberFormat="1" applyFont="1" applyFill="1" applyBorder="1" applyAlignment="1">
      <alignment horizontal="right" wrapText="1"/>
    </xf>
    <xf numFmtId="4" fontId="2" fillId="0" borderId="35" xfId="34" applyNumberFormat="1" applyFont="1" applyFill="1" applyBorder="1" applyAlignment="1">
      <alignment horizontal="right" vertical="center" wrapText="1"/>
      <protection/>
    </xf>
    <xf numFmtId="4" fontId="0" fillId="0" borderId="28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2" fontId="1" fillId="35" borderId="38" xfId="0" applyNumberFormat="1" applyFont="1" applyFill="1" applyBorder="1" applyAlignment="1">
      <alignment horizontal="center" vertical="center" wrapText="1"/>
    </xf>
    <xf numFmtId="2" fontId="1" fillId="35" borderId="3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3" borderId="38" xfId="55" applyNumberFormat="1" applyFont="1" applyFill="1" applyBorder="1" applyAlignment="1">
      <alignment horizontal="center" vertical="center" wrapText="1"/>
      <protection/>
    </xf>
    <xf numFmtId="2" fontId="1" fillId="33" borderId="40" xfId="55" applyNumberFormat="1" applyFont="1" applyFill="1" applyBorder="1" applyAlignment="1">
      <alignment horizontal="center" vertical="center" wrapText="1"/>
      <protection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6" borderId="38" xfId="55" applyNumberFormat="1" applyFont="1" applyFill="1" applyBorder="1" applyAlignment="1">
      <alignment horizontal="center" vertical="center" wrapText="1"/>
      <protection/>
    </xf>
    <xf numFmtId="2" fontId="1" fillId="36" borderId="40" xfId="55" applyNumberFormat="1" applyFont="1" applyFill="1" applyBorder="1" applyAlignment="1">
      <alignment horizontal="center" vertical="center" wrapText="1"/>
      <protection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33" borderId="42" xfId="55" applyNumberFormat="1" applyFont="1" applyFill="1" applyBorder="1" applyAlignment="1">
      <alignment horizontal="center" vertical="center" wrapText="1"/>
      <protection/>
    </xf>
    <xf numFmtId="2" fontId="1" fillId="33" borderId="53" xfId="55" applyNumberFormat="1" applyFont="1" applyFill="1" applyBorder="1" applyAlignment="1">
      <alignment horizontal="center" vertical="center" wrapText="1"/>
      <protection/>
    </xf>
    <xf numFmtId="0" fontId="1" fillId="0" borderId="3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38" xfId="55" applyNumberFormat="1" applyFont="1" applyFill="1" applyBorder="1" applyAlignment="1">
      <alignment horizontal="center" vertical="center" wrapText="1"/>
      <protection/>
    </xf>
    <xf numFmtId="2" fontId="1" fillId="0" borderId="40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3" fontId="6" fillId="34" borderId="38" xfId="65" applyFont="1" applyFill="1" applyBorder="1" applyAlignment="1">
      <alignment horizontal="center" vertical="center" wrapText="1"/>
    </xf>
    <xf numFmtId="43" fontId="6" fillId="34" borderId="39" xfId="65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Ц СЧЕТА 1 кв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_ЛИЦ СЧЕТА 1 кв 201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2" sqref="C32"/>
    </sheetView>
  </sheetViews>
  <sheetFormatPr defaultColWidth="9.00390625" defaultRowHeight="12.75"/>
  <cols>
    <col min="1" max="1" width="8.75390625" style="21" bestFit="1" customWidth="1"/>
    <col min="2" max="2" width="9.125" style="21" customWidth="1"/>
    <col min="3" max="3" width="10.125" style="21" customWidth="1"/>
    <col min="4" max="4" width="10.375" style="21" customWidth="1"/>
    <col min="5" max="5" width="11.125" style="21" customWidth="1"/>
    <col min="6" max="6" width="10.875" style="21" customWidth="1"/>
    <col min="7" max="8" width="12.125" style="21" customWidth="1"/>
    <col min="9" max="9" width="12.00390625" style="21" customWidth="1"/>
    <col min="10" max="10" width="11.125" style="21" customWidth="1"/>
    <col min="11" max="11" width="11.00390625" style="21" customWidth="1"/>
    <col min="12" max="12" width="12.375" style="21" customWidth="1"/>
    <col min="13" max="13" width="10.125" style="21" bestFit="1" customWidth="1"/>
    <col min="14" max="14" width="15.625" style="21" customWidth="1"/>
    <col min="15" max="15" width="16.375" style="21" customWidth="1"/>
    <col min="16" max="16" width="14.625" style="21" customWidth="1"/>
    <col min="17" max="17" width="11.625" style="21" customWidth="1"/>
    <col min="18" max="18" width="11.25390625" style="21" customWidth="1"/>
    <col min="19" max="19" width="10.625" style="21" customWidth="1"/>
    <col min="20" max="20" width="9.25390625" style="21" customWidth="1"/>
    <col min="21" max="21" width="10.125" style="21" bestFit="1" customWidth="1"/>
    <col min="22" max="22" width="10.125" style="21" customWidth="1"/>
    <col min="23" max="23" width="12.625" style="21" customWidth="1"/>
    <col min="24" max="24" width="12.125" style="21" customWidth="1"/>
    <col min="25" max="25" width="11.625" style="21" customWidth="1"/>
    <col min="26" max="26" width="9.25390625" style="21" customWidth="1"/>
    <col min="27" max="27" width="10.625" style="21" customWidth="1"/>
    <col min="28" max="28" width="10.75390625" style="21" customWidth="1"/>
    <col min="29" max="29" width="12.125" style="21" customWidth="1"/>
    <col min="30" max="30" width="9.125" style="21" customWidth="1"/>
    <col min="31" max="31" width="9.75390625" style="21" bestFit="1" customWidth="1"/>
    <col min="32" max="16384" width="9.125" style="21" customWidth="1"/>
  </cols>
  <sheetData>
    <row r="1" spans="1:16" ht="21" customHeight="1">
      <c r="A1" s="158" t="s">
        <v>64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24"/>
    </row>
    <row r="2" spans="1:16" ht="15" customHeight="1">
      <c r="A2" s="24"/>
      <c r="B2" s="25"/>
      <c r="C2" s="26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3.5" thickBot="1"/>
    <row r="4" spans="1:29" ht="31.5" customHeight="1" thickBot="1">
      <c r="A4" s="159" t="s">
        <v>46</v>
      </c>
      <c r="B4" s="162" t="s">
        <v>0</v>
      </c>
      <c r="C4" s="164" t="s">
        <v>1</v>
      </c>
      <c r="D4" s="166" t="s">
        <v>2</v>
      </c>
      <c r="E4" s="110" t="s">
        <v>47</v>
      </c>
      <c r="F4" s="168"/>
      <c r="G4" s="133"/>
      <c r="H4" s="133" t="s">
        <v>48</v>
      </c>
      <c r="I4" s="112" t="s">
        <v>3</v>
      </c>
      <c r="J4" s="148" t="s">
        <v>4</v>
      </c>
      <c r="K4" s="149"/>
      <c r="L4" s="150"/>
      <c r="M4" s="154" t="s">
        <v>12</v>
      </c>
      <c r="N4" s="136" t="s">
        <v>49</v>
      </c>
      <c r="O4" s="121" t="s">
        <v>38</v>
      </c>
      <c r="P4" s="138" t="s">
        <v>6</v>
      </c>
      <c r="Q4" s="139"/>
      <c r="R4" s="139"/>
      <c r="S4" s="139"/>
      <c r="T4" s="139"/>
      <c r="U4" s="139"/>
      <c r="V4" s="139"/>
      <c r="W4" s="139"/>
      <c r="X4" s="139"/>
      <c r="Y4" s="140"/>
      <c r="Z4" s="144" t="s">
        <v>39</v>
      </c>
      <c r="AA4" s="145"/>
      <c r="AB4" s="117" t="s">
        <v>7</v>
      </c>
      <c r="AC4" s="117" t="s">
        <v>8</v>
      </c>
    </row>
    <row r="5" spans="1:29" ht="20.25" customHeight="1" thickBot="1">
      <c r="A5" s="160"/>
      <c r="B5" s="163"/>
      <c r="C5" s="165"/>
      <c r="D5" s="167"/>
      <c r="E5" s="169"/>
      <c r="F5" s="170"/>
      <c r="G5" s="171"/>
      <c r="H5" s="134"/>
      <c r="I5" s="113"/>
      <c r="J5" s="151"/>
      <c r="K5" s="152"/>
      <c r="L5" s="153"/>
      <c r="M5" s="155"/>
      <c r="N5" s="137"/>
      <c r="O5" s="122"/>
      <c r="P5" s="141"/>
      <c r="Q5" s="142"/>
      <c r="R5" s="142"/>
      <c r="S5" s="142"/>
      <c r="T5" s="142"/>
      <c r="U5" s="142"/>
      <c r="V5" s="142"/>
      <c r="W5" s="142"/>
      <c r="X5" s="142"/>
      <c r="Y5" s="143"/>
      <c r="Z5" s="119" t="s">
        <v>40</v>
      </c>
      <c r="AA5" s="121" t="s">
        <v>62</v>
      </c>
      <c r="AB5" s="118"/>
      <c r="AC5" s="118"/>
    </row>
    <row r="6" spans="1:29" ht="27" customHeight="1">
      <c r="A6" s="160"/>
      <c r="B6" s="163"/>
      <c r="C6" s="165"/>
      <c r="D6" s="167"/>
      <c r="E6" s="110" t="s">
        <v>50</v>
      </c>
      <c r="F6" s="112" t="s">
        <v>9</v>
      </c>
      <c r="G6" s="112" t="s">
        <v>10</v>
      </c>
      <c r="H6" s="134"/>
      <c r="I6" s="113"/>
      <c r="J6" s="115" t="s">
        <v>50</v>
      </c>
      <c r="K6" s="113" t="s">
        <v>9</v>
      </c>
      <c r="L6" s="116" t="s">
        <v>10</v>
      </c>
      <c r="M6" s="155"/>
      <c r="N6" s="137"/>
      <c r="O6" s="122"/>
      <c r="P6" s="123" t="s">
        <v>13</v>
      </c>
      <c r="Q6" s="125" t="s">
        <v>14</v>
      </c>
      <c r="R6" s="125" t="s">
        <v>50</v>
      </c>
      <c r="S6" s="131"/>
      <c r="T6" s="131"/>
      <c r="U6" s="146" t="s">
        <v>59</v>
      </c>
      <c r="V6" s="127" t="s">
        <v>51</v>
      </c>
      <c r="W6" s="129" t="s">
        <v>60</v>
      </c>
      <c r="X6" s="156" t="s">
        <v>16</v>
      </c>
      <c r="Y6" s="156" t="s">
        <v>61</v>
      </c>
      <c r="Z6" s="120"/>
      <c r="AA6" s="122"/>
      <c r="AB6" s="118"/>
      <c r="AC6" s="118"/>
    </row>
    <row r="7" spans="1:29" ht="26.25" customHeight="1" thickBot="1">
      <c r="A7" s="161"/>
      <c r="B7" s="163"/>
      <c r="C7" s="165"/>
      <c r="D7" s="167"/>
      <c r="E7" s="111"/>
      <c r="F7" s="113"/>
      <c r="G7" s="114"/>
      <c r="H7" s="135"/>
      <c r="I7" s="113"/>
      <c r="J7" s="111"/>
      <c r="K7" s="113"/>
      <c r="L7" s="116"/>
      <c r="M7" s="155"/>
      <c r="N7" s="137"/>
      <c r="O7" s="122"/>
      <c r="P7" s="124"/>
      <c r="Q7" s="126"/>
      <c r="R7" s="126"/>
      <c r="S7" s="132"/>
      <c r="T7" s="132"/>
      <c r="U7" s="147"/>
      <c r="V7" s="128"/>
      <c r="W7" s="130"/>
      <c r="X7" s="157"/>
      <c r="Y7" s="157"/>
      <c r="Z7" s="120"/>
      <c r="AA7" s="122"/>
      <c r="AB7" s="118"/>
      <c r="AC7" s="118"/>
    </row>
    <row r="8" spans="1:45" s="2" customFormat="1" ht="13.5" thickBot="1">
      <c r="A8" s="27" t="s">
        <v>25</v>
      </c>
      <c r="B8" s="3"/>
      <c r="C8" s="3">
        <v>0</v>
      </c>
      <c r="D8" s="3"/>
      <c r="E8" s="19"/>
      <c r="F8" s="19"/>
      <c r="G8" s="28"/>
      <c r="H8" s="19"/>
      <c r="I8" s="19"/>
      <c r="J8" s="19"/>
      <c r="K8" s="19"/>
      <c r="L8" s="19"/>
      <c r="M8" s="19"/>
      <c r="N8" s="19"/>
      <c r="O8" s="19"/>
      <c r="P8" s="19"/>
      <c r="Q8" s="19"/>
      <c r="R8" s="29"/>
      <c r="U8" s="29"/>
      <c r="V8" s="29"/>
      <c r="W8" s="29"/>
      <c r="X8" s="29"/>
      <c r="Y8" s="29"/>
      <c r="Z8" s="29"/>
      <c r="AA8" s="3"/>
      <c r="AB8" s="3"/>
      <c r="AC8" s="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0"/>
    </row>
    <row r="9" spans="1:31" ht="12.75">
      <c r="A9" s="30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102"/>
      <c r="AB9" s="102"/>
      <c r="AC9" s="102"/>
      <c r="AD9" s="24"/>
      <c r="AE9" s="24"/>
    </row>
    <row r="10" spans="1:36" ht="12.75">
      <c r="A10" s="32" t="s">
        <v>21</v>
      </c>
      <c r="B10" s="66">
        <v>383.6</v>
      </c>
      <c r="C10" s="68">
        <f aca="true" t="shared" si="0" ref="C10:C16">B10*8.55</f>
        <v>3279.7800000000007</v>
      </c>
      <c r="D10" s="69">
        <v>48.654</v>
      </c>
      <c r="E10" s="70">
        <v>5527.41</v>
      </c>
      <c r="F10" s="70">
        <v>1073.92</v>
      </c>
      <c r="G10" s="71">
        <v>372.44</v>
      </c>
      <c r="H10" s="92"/>
      <c r="I10" s="72">
        <f>SUM(E10:G10)</f>
        <v>6973.7699999999995</v>
      </c>
      <c r="J10" s="73">
        <v>2488.5</v>
      </c>
      <c r="K10" s="73">
        <v>1274.33</v>
      </c>
      <c r="L10" s="74">
        <v>435.17</v>
      </c>
      <c r="M10" s="75">
        <v>4198</v>
      </c>
      <c r="N10" s="82">
        <f aca="true" t="shared" si="1" ref="N10:N16">M10+D10</f>
        <v>4246.654</v>
      </c>
      <c r="O10" s="76"/>
      <c r="P10" s="77">
        <f aca="true" t="shared" si="2" ref="P10:P16">0.67*B10</f>
        <v>257.01200000000006</v>
      </c>
      <c r="Q10" s="77">
        <f aca="true" t="shared" si="3" ref="Q10:Q16">B10*0.2</f>
        <v>76.72000000000001</v>
      </c>
      <c r="R10" s="83">
        <f aca="true" t="shared" si="4" ref="R10:R16">(4.23*B10)</f>
        <v>1622.6280000000002</v>
      </c>
      <c r="S10" s="104"/>
      <c r="T10" s="104"/>
      <c r="U10" s="78"/>
      <c r="V10" s="78"/>
      <c r="W10" s="78"/>
      <c r="X10" s="77"/>
      <c r="Y10" s="79">
        <f aca="true" t="shared" si="5" ref="Y10:Y16">SUM(P10:X10)</f>
        <v>1956.3600000000001</v>
      </c>
      <c r="Z10" s="80"/>
      <c r="AA10" s="103">
        <f>Y10</f>
        <v>1956.3600000000001</v>
      </c>
      <c r="AB10" s="103">
        <f aca="true" t="shared" si="6" ref="AB10:AB16">N10-AA10</f>
        <v>2290.2940000000003</v>
      </c>
      <c r="AC10" s="103">
        <f>N10-I10</f>
        <v>-2727.115999999999</v>
      </c>
      <c r="AD10" s="24"/>
      <c r="AE10" s="24"/>
      <c r="AF10" s="24"/>
      <c r="AG10" s="24"/>
      <c r="AH10" s="24"/>
      <c r="AI10" s="24"/>
      <c r="AJ10" s="24"/>
    </row>
    <row r="11" spans="1:32" ht="12.75">
      <c r="A11" s="32" t="s">
        <v>22</v>
      </c>
      <c r="B11" s="17">
        <v>383.6</v>
      </c>
      <c r="C11" s="81">
        <f t="shared" si="0"/>
        <v>3279.7800000000007</v>
      </c>
      <c r="D11" s="69">
        <v>48.654</v>
      </c>
      <c r="E11" s="37">
        <v>4021.14</v>
      </c>
      <c r="F11" s="37">
        <v>1952.56</v>
      </c>
      <c r="G11" s="38">
        <v>677.1</v>
      </c>
      <c r="H11" s="93"/>
      <c r="I11" s="35">
        <f aca="true" t="shared" si="7" ref="I11:I16">SUM(E11:G11)</f>
        <v>6650.8</v>
      </c>
      <c r="J11" s="18">
        <v>1638.37</v>
      </c>
      <c r="K11" s="18">
        <v>488.12</v>
      </c>
      <c r="L11" s="18">
        <v>170.5</v>
      </c>
      <c r="M11" s="67">
        <f aca="true" t="shared" si="8" ref="M11:M16">SUM(J11:L11)</f>
        <v>2296.99</v>
      </c>
      <c r="N11" s="40">
        <f t="shared" si="1"/>
        <v>2345.644</v>
      </c>
      <c r="O11" s="82"/>
      <c r="P11" s="77">
        <f t="shared" si="2"/>
        <v>257.01200000000006</v>
      </c>
      <c r="Q11" s="77">
        <f t="shared" si="3"/>
        <v>76.72000000000001</v>
      </c>
      <c r="R11" s="83">
        <f t="shared" si="4"/>
        <v>1622.6280000000002</v>
      </c>
      <c r="S11" s="104"/>
      <c r="T11" s="104"/>
      <c r="U11" s="84"/>
      <c r="V11" s="84"/>
      <c r="W11" s="84"/>
      <c r="X11" s="83"/>
      <c r="Y11" s="85">
        <f t="shared" si="5"/>
        <v>1956.3600000000001</v>
      </c>
      <c r="Z11" s="86"/>
      <c r="AA11" s="103">
        <f aca="true" t="shared" si="9" ref="AA11:AA16">Y11</f>
        <v>1956.3600000000001</v>
      </c>
      <c r="AB11" s="103">
        <f t="shared" si="6"/>
        <v>389.28399999999965</v>
      </c>
      <c r="AC11" s="103">
        <f aca="true" t="shared" si="10" ref="AC11:AC16">N11-I11</f>
        <v>-4305.156000000001</v>
      </c>
      <c r="AD11" s="24"/>
      <c r="AE11" s="24"/>
      <c r="AF11" s="24"/>
    </row>
    <row r="12" spans="1:31" ht="12.75">
      <c r="A12" s="32" t="s">
        <v>23</v>
      </c>
      <c r="B12" s="17">
        <v>383.6</v>
      </c>
      <c r="C12" s="81">
        <f t="shared" si="0"/>
        <v>3279.7800000000007</v>
      </c>
      <c r="D12" s="69">
        <v>48.654</v>
      </c>
      <c r="E12" s="87">
        <v>2010.57</v>
      </c>
      <c r="F12" s="87">
        <v>976.28</v>
      </c>
      <c r="G12" s="87">
        <v>338.55</v>
      </c>
      <c r="H12" s="94"/>
      <c r="I12" s="35">
        <f t="shared" si="7"/>
        <v>3325.4</v>
      </c>
      <c r="J12" s="18">
        <v>1609.61</v>
      </c>
      <c r="K12" s="18">
        <v>966.62</v>
      </c>
      <c r="L12" s="18">
        <v>334.42</v>
      </c>
      <c r="M12" s="67">
        <f t="shared" si="8"/>
        <v>2910.65</v>
      </c>
      <c r="N12" s="40">
        <f t="shared" si="1"/>
        <v>2959.304</v>
      </c>
      <c r="O12" s="82"/>
      <c r="P12" s="77">
        <f t="shared" si="2"/>
        <v>257.01200000000006</v>
      </c>
      <c r="Q12" s="77">
        <f t="shared" si="3"/>
        <v>76.72000000000001</v>
      </c>
      <c r="R12" s="83">
        <f t="shared" si="4"/>
        <v>1622.6280000000002</v>
      </c>
      <c r="S12" s="104"/>
      <c r="T12" s="104"/>
      <c r="U12" s="84"/>
      <c r="V12" s="84"/>
      <c r="W12" s="84"/>
      <c r="X12" s="83"/>
      <c r="Y12" s="85">
        <f t="shared" si="5"/>
        <v>1956.3600000000001</v>
      </c>
      <c r="Z12" s="86"/>
      <c r="AA12" s="103">
        <f t="shared" si="9"/>
        <v>1956.3600000000001</v>
      </c>
      <c r="AB12" s="103">
        <f t="shared" si="6"/>
        <v>1002.944</v>
      </c>
      <c r="AC12" s="103">
        <f t="shared" si="10"/>
        <v>-366.096</v>
      </c>
      <c r="AD12" s="24"/>
      <c r="AE12" s="24"/>
    </row>
    <row r="13" spans="1:33" ht="12.75">
      <c r="A13" s="32" t="s">
        <v>24</v>
      </c>
      <c r="B13" s="17">
        <v>383.6</v>
      </c>
      <c r="C13" s="81">
        <f t="shared" si="0"/>
        <v>3279.7800000000007</v>
      </c>
      <c r="D13" s="69">
        <v>48.654</v>
      </c>
      <c r="E13" s="87">
        <v>2010.57</v>
      </c>
      <c r="F13" s="87">
        <v>976.28</v>
      </c>
      <c r="G13" s="87">
        <v>338.55</v>
      </c>
      <c r="H13" s="94"/>
      <c r="I13" s="35">
        <f t="shared" si="7"/>
        <v>3325.4</v>
      </c>
      <c r="J13" s="18">
        <v>1006.43</v>
      </c>
      <c r="K13" s="18">
        <v>489.2</v>
      </c>
      <c r="L13" s="18">
        <v>169.65</v>
      </c>
      <c r="M13" s="39">
        <f t="shared" si="8"/>
        <v>1665.28</v>
      </c>
      <c r="N13" s="40">
        <f t="shared" si="1"/>
        <v>1713.934</v>
      </c>
      <c r="O13" s="82"/>
      <c r="P13" s="77">
        <f t="shared" si="2"/>
        <v>257.01200000000006</v>
      </c>
      <c r="Q13" s="77">
        <f t="shared" si="3"/>
        <v>76.72000000000001</v>
      </c>
      <c r="R13" s="83">
        <f t="shared" si="4"/>
        <v>1622.6280000000002</v>
      </c>
      <c r="S13" s="104"/>
      <c r="T13" s="104"/>
      <c r="U13" s="84">
        <v>7769</v>
      </c>
      <c r="V13" s="84"/>
      <c r="W13" s="84">
        <f>780+320+440+770+50</f>
        <v>2360</v>
      </c>
      <c r="X13" s="83"/>
      <c r="Y13" s="85">
        <f t="shared" si="5"/>
        <v>12085.36</v>
      </c>
      <c r="Z13" s="86"/>
      <c r="AA13" s="103">
        <f t="shared" si="9"/>
        <v>12085.36</v>
      </c>
      <c r="AB13" s="103">
        <f t="shared" si="6"/>
        <v>-10371.426000000001</v>
      </c>
      <c r="AC13" s="103">
        <f t="shared" si="10"/>
        <v>-1611.4660000000001</v>
      </c>
      <c r="AD13" s="24"/>
      <c r="AE13" s="24"/>
      <c r="AF13" s="24"/>
      <c r="AG13" s="24"/>
    </row>
    <row r="14" spans="1:31" ht="12.75">
      <c r="A14" s="32" t="s">
        <v>18</v>
      </c>
      <c r="B14" s="17">
        <v>383.6</v>
      </c>
      <c r="C14" s="81">
        <f t="shared" si="0"/>
        <v>3279.7800000000007</v>
      </c>
      <c r="D14" s="69">
        <v>48.654</v>
      </c>
      <c r="E14" s="87">
        <v>2010.57</v>
      </c>
      <c r="F14" s="87">
        <v>976.28</v>
      </c>
      <c r="G14" s="88">
        <v>338.55</v>
      </c>
      <c r="H14" s="95"/>
      <c r="I14" s="35">
        <f t="shared" si="7"/>
        <v>3325.4</v>
      </c>
      <c r="J14" s="89">
        <v>2045.72</v>
      </c>
      <c r="K14" s="89">
        <v>999.85</v>
      </c>
      <c r="L14" s="90">
        <v>346.18</v>
      </c>
      <c r="M14" s="39">
        <f t="shared" si="8"/>
        <v>3391.75</v>
      </c>
      <c r="N14" s="40">
        <f t="shared" si="1"/>
        <v>3440.404</v>
      </c>
      <c r="O14" s="82"/>
      <c r="P14" s="77">
        <f t="shared" si="2"/>
        <v>257.01200000000006</v>
      </c>
      <c r="Q14" s="77">
        <f t="shared" si="3"/>
        <v>76.72000000000001</v>
      </c>
      <c r="R14" s="83">
        <f t="shared" si="4"/>
        <v>1622.6280000000002</v>
      </c>
      <c r="S14" s="104"/>
      <c r="T14" s="104"/>
      <c r="U14" s="84"/>
      <c r="V14" s="84"/>
      <c r="W14" s="84"/>
      <c r="X14" s="83"/>
      <c r="Y14" s="85">
        <f t="shared" si="5"/>
        <v>1956.3600000000001</v>
      </c>
      <c r="Z14" s="86"/>
      <c r="AA14" s="103">
        <f t="shared" si="9"/>
        <v>1956.3600000000001</v>
      </c>
      <c r="AB14" s="103">
        <f t="shared" si="6"/>
        <v>1484.0439999999999</v>
      </c>
      <c r="AC14" s="103">
        <f t="shared" si="10"/>
        <v>115.0039999999999</v>
      </c>
      <c r="AD14" s="24"/>
      <c r="AE14" s="24"/>
    </row>
    <row r="15" spans="1:31" ht="12.75">
      <c r="A15" s="22" t="s">
        <v>19</v>
      </c>
      <c r="B15" s="17">
        <v>383.6</v>
      </c>
      <c r="C15" s="81">
        <f t="shared" si="0"/>
        <v>3279.7800000000007</v>
      </c>
      <c r="D15" s="69">
        <v>48.654</v>
      </c>
      <c r="E15" s="87">
        <v>2010.57</v>
      </c>
      <c r="F15" s="87">
        <v>976.28</v>
      </c>
      <c r="G15" s="87">
        <v>338.54</v>
      </c>
      <c r="H15" s="94"/>
      <c r="I15" s="35">
        <f t="shared" si="7"/>
        <v>3325.39</v>
      </c>
      <c r="J15" s="89">
        <v>1479.87</v>
      </c>
      <c r="K15" s="89">
        <v>718.61</v>
      </c>
      <c r="L15" s="89">
        <v>249.19</v>
      </c>
      <c r="M15" s="39">
        <f t="shared" si="8"/>
        <v>2447.67</v>
      </c>
      <c r="N15" s="40">
        <f t="shared" si="1"/>
        <v>2496.324</v>
      </c>
      <c r="O15" s="82"/>
      <c r="P15" s="77">
        <f t="shared" si="2"/>
        <v>257.01200000000006</v>
      </c>
      <c r="Q15" s="77">
        <f t="shared" si="3"/>
        <v>76.72000000000001</v>
      </c>
      <c r="R15" s="83">
        <f t="shared" si="4"/>
        <v>1622.6280000000002</v>
      </c>
      <c r="S15" s="104"/>
      <c r="T15" s="104"/>
      <c r="U15" s="84"/>
      <c r="V15" s="84"/>
      <c r="W15" s="84"/>
      <c r="X15" s="83"/>
      <c r="Y15" s="85">
        <f t="shared" si="5"/>
        <v>1956.3600000000001</v>
      </c>
      <c r="Z15" s="86"/>
      <c r="AA15" s="103">
        <f t="shared" si="9"/>
        <v>1956.3600000000001</v>
      </c>
      <c r="AB15" s="103">
        <f t="shared" si="6"/>
        <v>539.9639999999999</v>
      </c>
      <c r="AC15" s="103">
        <f t="shared" si="10"/>
        <v>-829.0659999999998</v>
      </c>
      <c r="AD15" s="24"/>
      <c r="AE15" s="24"/>
    </row>
    <row r="16" spans="1:31" ht="13.5" thickBot="1">
      <c r="A16" s="41" t="s">
        <v>20</v>
      </c>
      <c r="B16" s="17">
        <v>383.6</v>
      </c>
      <c r="C16" s="81">
        <f t="shared" si="0"/>
        <v>3279.7800000000007</v>
      </c>
      <c r="D16" s="69">
        <v>48.654</v>
      </c>
      <c r="E16" s="37">
        <v>2010.57</v>
      </c>
      <c r="F16" s="37">
        <v>976.28</v>
      </c>
      <c r="G16" s="37">
        <v>338.55</v>
      </c>
      <c r="H16" s="93"/>
      <c r="I16" s="35">
        <f t="shared" si="7"/>
        <v>3325.4</v>
      </c>
      <c r="J16" s="36">
        <v>1840.76</v>
      </c>
      <c r="K16" s="36">
        <v>894.82</v>
      </c>
      <c r="L16" s="33">
        <v>310.91</v>
      </c>
      <c r="M16" s="39">
        <f t="shared" si="8"/>
        <v>3046.49</v>
      </c>
      <c r="N16" s="40">
        <f t="shared" si="1"/>
        <v>3095.144</v>
      </c>
      <c r="O16" s="82"/>
      <c r="P16" s="77">
        <f t="shared" si="2"/>
        <v>257.01200000000006</v>
      </c>
      <c r="Q16" s="77">
        <f t="shared" si="3"/>
        <v>76.72000000000001</v>
      </c>
      <c r="R16" s="83">
        <f t="shared" si="4"/>
        <v>1622.6280000000002</v>
      </c>
      <c r="S16" s="104"/>
      <c r="T16" s="104"/>
      <c r="U16" s="84"/>
      <c r="V16" s="84"/>
      <c r="W16" s="91"/>
      <c r="X16" s="83"/>
      <c r="Y16" s="85">
        <f t="shared" si="5"/>
        <v>1956.3600000000001</v>
      </c>
      <c r="Z16" s="86"/>
      <c r="AA16" s="103">
        <f t="shared" si="9"/>
        <v>1956.3600000000001</v>
      </c>
      <c r="AB16" s="103">
        <f t="shared" si="6"/>
        <v>1138.7839999999997</v>
      </c>
      <c r="AC16" s="103">
        <f t="shared" si="10"/>
        <v>-230.2560000000003</v>
      </c>
      <c r="AD16" s="24"/>
      <c r="AE16" s="24"/>
    </row>
    <row r="17" spans="1:31" s="2" customFormat="1" ht="13.5" thickBot="1">
      <c r="A17" s="42" t="s">
        <v>3</v>
      </c>
      <c r="B17" s="43"/>
      <c r="C17" s="43"/>
      <c r="D17" s="44">
        <f>SUM(D10:D16)</f>
        <v>340.57800000000003</v>
      </c>
      <c r="E17" s="44">
        <f>SUM(E10:E16)</f>
        <v>19601.399999999998</v>
      </c>
      <c r="F17" s="44">
        <f>SUM(F10:F16)</f>
        <v>7907.879999999999</v>
      </c>
      <c r="G17" s="44">
        <f>SUM(G10:G16)</f>
        <v>2742.28</v>
      </c>
      <c r="H17" s="44">
        <f aca="true" t="shared" si="11" ref="H17:P17">SUM(H10:H16)</f>
        <v>0</v>
      </c>
      <c r="I17" s="44">
        <f t="shared" si="11"/>
        <v>30251.560000000005</v>
      </c>
      <c r="J17" s="44">
        <f t="shared" si="11"/>
        <v>12109.26</v>
      </c>
      <c r="K17" s="44">
        <f t="shared" si="11"/>
        <v>5831.549999999999</v>
      </c>
      <c r="L17" s="44">
        <f t="shared" si="11"/>
        <v>2016.0200000000004</v>
      </c>
      <c r="M17" s="44">
        <f t="shared" si="11"/>
        <v>19956.83</v>
      </c>
      <c r="N17" s="44">
        <f t="shared" si="11"/>
        <v>20297.408</v>
      </c>
      <c r="O17" s="44">
        <f t="shared" si="11"/>
        <v>0</v>
      </c>
      <c r="P17" s="44">
        <f t="shared" si="11"/>
        <v>1799.0840000000007</v>
      </c>
      <c r="Q17" s="44">
        <f>SUM(R10:R16)</f>
        <v>11358.396000000002</v>
      </c>
      <c r="R17" s="44">
        <f>SUM(S10:S16)</f>
        <v>0</v>
      </c>
      <c r="S17" s="44">
        <f aca="true" t="shared" si="12" ref="S17:AB17">SUM(S10:S16)</f>
        <v>0</v>
      </c>
      <c r="T17" s="44">
        <f t="shared" si="12"/>
        <v>0</v>
      </c>
      <c r="U17" s="44">
        <f t="shared" si="12"/>
        <v>7769</v>
      </c>
      <c r="V17" s="44">
        <f t="shared" si="12"/>
        <v>0</v>
      </c>
      <c r="W17" s="44">
        <f t="shared" si="12"/>
        <v>2360</v>
      </c>
      <c r="X17" s="44">
        <f t="shared" si="12"/>
        <v>0</v>
      </c>
      <c r="Y17" s="44">
        <f t="shared" si="12"/>
        <v>23823.520000000004</v>
      </c>
      <c r="Z17" s="44">
        <f t="shared" si="12"/>
        <v>0</v>
      </c>
      <c r="AA17" s="44">
        <f t="shared" si="12"/>
        <v>23823.520000000004</v>
      </c>
      <c r="AB17" s="44">
        <f t="shared" si="12"/>
        <v>-3526.112000000002</v>
      </c>
      <c r="AC17" s="44">
        <f>SUM(AC10:AC16)</f>
        <v>-9954.152000000002</v>
      </c>
      <c r="AD17" s="10"/>
      <c r="AE17" s="10"/>
    </row>
    <row r="18" spans="1:31" ht="13.5" thickBo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24"/>
      <c r="AE18" s="24"/>
    </row>
    <row r="19" spans="1:29" s="2" customFormat="1" ht="13.5" thickBot="1">
      <c r="A19" s="42" t="s">
        <v>53</v>
      </c>
      <c r="B19" s="43"/>
      <c r="C19" s="43"/>
      <c r="D19" s="44">
        <v>9330.22</v>
      </c>
      <c r="E19" s="44">
        <v>263129.61</v>
      </c>
      <c r="F19" s="44">
        <v>181875.86</v>
      </c>
      <c r="G19" s="44">
        <v>45624.38</v>
      </c>
      <c r="H19" s="44">
        <v>71944.81</v>
      </c>
      <c r="I19" s="44">
        <v>490629.85</v>
      </c>
      <c r="J19" s="44">
        <v>216840.97</v>
      </c>
      <c r="K19" s="44">
        <v>151570.93</v>
      </c>
      <c r="L19" s="44">
        <v>38052.74</v>
      </c>
      <c r="M19" s="44">
        <v>406464.64</v>
      </c>
      <c r="N19" s="44">
        <v>534624.38</v>
      </c>
      <c r="O19" s="43">
        <v>0</v>
      </c>
      <c r="P19" s="46">
        <f>P8+P17</f>
        <v>1799.0840000000007</v>
      </c>
      <c r="Q19" s="46">
        <f>Q8+Q17</f>
        <v>11358.396000000002</v>
      </c>
      <c r="R19" s="46">
        <f aca="true" t="shared" si="13" ref="R19:AA19">R8+R17</f>
        <v>0</v>
      </c>
      <c r="S19" s="46">
        <f t="shared" si="13"/>
        <v>0</v>
      </c>
      <c r="T19" s="46">
        <f t="shared" si="13"/>
        <v>0</v>
      </c>
      <c r="U19" s="46">
        <f t="shared" si="13"/>
        <v>7769</v>
      </c>
      <c r="V19" s="46">
        <f t="shared" si="13"/>
        <v>0</v>
      </c>
      <c r="W19" s="46">
        <f t="shared" si="13"/>
        <v>2360</v>
      </c>
      <c r="X19" s="46">
        <f t="shared" si="13"/>
        <v>0</v>
      </c>
      <c r="Y19" s="46">
        <f t="shared" si="13"/>
        <v>23823.520000000004</v>
      </c>
      <c r="Z19" s="46">
        <f t="shared" si="13"/>
        <v>0</v>
      </c>
      <c r="AA19" s="46">
        <f t="shared" si="13"/>
        <v>23823.520000000004</v>
      </c>
      <c r="AB19" s="46">
        <f>AB8+AB17</f>
        <v>-3526.112000000002</v>
      </c>
      <c r="AC19" s="46">
        <f>AC8+AC17</f>
        <v>-9954.152000000002</v>
      </c>
    </row>
    <row r="20" spans="1:31" ht="12.75">
      <c r="A20" s="30" t="s">
        <v>66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4"/>
      <c r="AE20" s="24"/>
    </row>
    <row r="21" spans="1:31" ht="14.25">
      <c r="A21" s="32" t="s">
        <v>67</v>
      </c>
      <c r="B21" s="17">
        <v>383.6</v>
      </c>
      <c r="C21" s="81">
        <f aca="true" t="shared" si="14" ref="C21:C26">B21*8.55</f>
        <v>3279.7800000000007</v>
      </c>
      <c r="D21" s="34">
        <v>48.654</v>
      </c>
      <c r="E21" s="96">
        <v>2010.57</v>
      </c>
      <c r="F21" s="96">
        <v>976.28</v>
      </c>
      <c r="G21" s="96">
        <v>338.55</v>
      </c>
      <c r="H21" s="101"/>
      <c r="I21" s="35">
        <f aca="true" t="shared" si="15" ref="I21:I30">SUM(E21:G21)</f>
        <v>3325.4</v>
      </c>
      <c r="J21" s="89">
        <v>1314.84</v>
      </c>
      <c r="K21" s="89">
        <v>639.28</v>
      </c>
      <c r="L21" s="89">
        <v>221.54</v>
      </c>
      <c r="M21" s="39">
        <f aca="true" t="shared" si="16" ref="M21:M30">SUM(J21:L21)</f>
        <v>2175.66</v>
      </c>
      <c r="N21" s="40">
        <f aca="true" t="shared" si="17" ref="N21:N32">M21+D21</f>
        <v>2224.314</v>
      </c>
      <c r="O21" s="97"/>
      <c r="P21" s="77">
        <f aca="true" t="shared" si="18" ref="P21:P30">0.67*B21</f>
        <v>257.01200000000006</v>
      </c>
      <c r="Q21" s="77">
        <f aca="true" t="shared" si="19" ref="Q21:Q30">B21*0.2</f>
        <v>76.72000000000001</v>
      </c>
      <c r="R21" s="83">
        <f aca="true" t="shared" si="20" ref="R21:R30">B21*0.21</f>
        <v>80.556</v>
      </c>
      <c r="S21" s="83">
        <f>(3.25*B21)</f>
        <v>1246.7</v>
      </c>
      <c r="T21" s="83"/>
      <c r="U21" s="84"/>
      <c r="V21" s="84"/>
      <c r="W21" s="84"/>
      <c r="X21" s="83"/>
      <c r="Y21" s="85">
        <f aca="true" t="shared" si="21" ref="Y21:Y32">SUM(P21:X21)</f>
        <v>1660.988</v>
      </c>
      <c r="Z21" s="86"/>
      <c r="AA21" s="31">
        <f>Y21</f>
        <v>1660.988</v>
      </c>
      <c r="AB21" s="31">
        <f>N21-AA21</f>
        <v>563.3259999999998</v>
      </c>
      <c r="AC21" s="31">
        <f>M21-I21</f>
        <v>-1149.7400000000002</v>
      </c>
      <c r="AD21" s="24"/>
      <c r="AE21" s="24"/>
    </row>
    <row r="22" spans="1:31" ht="12.75">
      <c r="A22" s="32" t="s">
        <v>68</v>
      </c>
      <c r="B22" s="17">
        <v>383.6</v>
      </c>
      <c r="C22" s="81">
        <f t="shared" si="14"/>
        <v>3279.7800000000007</v>
      </c>
      <c r="D22" s="34">
        <v>48.654</v>
      </c>
      <c r="E22" s="87">
        <v>2010.57</v>
      </c>
      <c r="F22" s="87">
        <v>976.28</v>
      </c>
      <c r="G22" s="98">
        <v>338.55</v>
      </c>
      <c r="H22" s="94"/>
      <c r="I22" s="35">
        <f t="shared" si="15"/>
        <v>3325.4</v>
      </c>
      <c r="J22" s="18">
        <v>1777.23</v>
      </c>
      <c r="K22" s="18">
        <v>863.29</v>
      </c>
      <c r="L22" s="18">
        <v>299.35</v>
      </c>
      <c r="M22" s="39">
        <f t="shared" si="16"/>
        <v>2939.87</v>
      </c>
      <c r="N22" s="40">
        <f t="shared" si="17"/>
        <v>2988.524</v>
      </c>
      <c r="O22" s="97"/>
      <c r="P22" s="77">
        <f t="shared" si="18"/>
        <v>257.01200000000006</v>
      </c>
      <c r="Q22" s="77">
        <f t="shared" si="19"/>
        <v>76.72000000000001</v>
      </c>
      <c r="R22" s="83">
        <f t="shared" si="20"/>
        <v>80.556</v>
      </c>
      <c r="S22" s="83">
        <f>(3.25*B22)</f>
        <v>1246.7</v>
      </c>
      <c r="T22" s="83"/>
      <c r="U22" s="84"/>
      <c r="V22" s="84"/>
      <c r="W22" s="84">
        <v>262.5</v>
      </c>
      <c r="X22" s="83"/>
      <c r="Y22" s="85">
        <f t="shared" si="21"/>
        <v>1923.488</v>
      </c>
      <c r="Z22" s="86"/>
      <c r="AA22" s="31">
        <f>Y22</f>
        <v>1923.488</v>
      </c>
      <c r="AB22" s="31">
        <f>N22-AA22</f>
        <v>1065.0359999999998</v>
      </c>
      <c r="AC22" s="31">
        <f>M22-I22</f>
        <v>-385.5300000000002</v>
      </c>
      <c r="AD22" s="24"/>
      <c r="AE22" s="24"/>
    </row>
    <row r="23" spans="1:31" ht="12.75">
      <c r="A23" s="32" t="s">
        <v>69</v>
      </c>
      <c r="B23" s="17">
        <v>383.6</v>
      </c>
      <c r="C23" s="81">
        <f t="shared" si="14"/>
        <v>3279.7800000000007</v>
      </c>
      <c r="D23" s="34">
        <v>48.654</v>
      </c>
      <c r="E23" s="87">
        <v>2010.57</v>
      </c>
      <c r="F23" s="87">
        <v>976.28</v>
      </c>
      <c r="G23" s="87">
        <v>338.55</v>
      </c>
      <c r="H23" s="94"/>
      <c r="I23" s="35">
        <f t="shared" si="15"/>
        <v>3325.4</v>
      </c>
      <c r="J23" s="18">
        <v>1504.71</v>
      </c>
      <c r="K23" s="18">
        <v>730.76</v>
      </c>
      <c r="L23" s="18">
        <v>253.38</v>
      </c>
      <c r="M23" s="39">
        <f t="shared" si="16"/>
        <v>2488.8500000000004</v>
      </c>
      <c r="N23" s="40">
        <f t="shared" si="17"/>
        <v>2537.5040000000004</v>
      </c>
      <c r="O23" s="97"/>
      <c r="P23" s="77">
        <f t="shared" si="18"/>
        <v>257.01200000000006</v>
      </c>
      <c r="Q23" s="77">
        <f t="shared" si="19"/>
        <v>76.72000000000001</v>
      </c>
      <c r="R23" s="83">
        <f t="shared" si="20"/>
        <v>80.556</v>
      </c>
      <c r="S23" s="83">
        <f aca="true" t="shared" si="22" ref="S23:S30">(4.23*B23)</f>
        <v>1622.6280000000002</v>
      </c>
      <c r="T23" s="83"/>
      <c r="U23" s="84"/>
      <c r="V23" s="84"/>
      <c r="W23" s="84">
        <f>9</f>
        <v>9</v>
      </c>
      <c r="X23" s="83"/>
      <c r="Y23" s="85">
        <f t="shared" si="21"/>
        <v>2045.9160000000002</v>
      </c>
      <c r="Z23" s="86"/>
      <c r="AA23" s="31">
        <f>Y23</f>
        <v>2045.9160000000002</v>
      </c>
      <c r="AB23" s="31">
        <f>N23-AA23</f>
        <v>491.5880000000002</v>
      </c>
      <c r="AC23" s="31">
        <f>M23-I23</f>
        <v>-836.5499999999997</v>
      </c>
      <c r="AD23" s="24"/>
      <c r="AE23" s="24"/>
    </row>
    <row r="24" spans="1:31" ht="12.75">
      <c r="A24" s="32" t="s">
        <v>70</v>
      </c>
      <c r="B24" s="17">
        <v>383.6</v>
      </c>
      <c r="C24" s="81">
        <f t="shared" si="14"/>
        <v>3279.7800000000007</v>
      </c>
      <c r="D24" s="34">
        <v>48.654</v>
      </c>
      <c r="E24" s="87">
        <v>2010.57</v>
      </c>
      <c r="F24" s="87">
        <v>976.28</v>
      </c>
      <c r="G24" s="87">
        <v>338.55</v>
      </c>
      <c r="H24" s="94"/>
      <c r="I24" s="35">
        <f t="shared" si="15"/>
        <v>3325.4</v>
      </c>
      <c r="J24" s="18">
        <v>1845.5</v>
      </c>
      <c r="K24" s="18">
        <v>896.18</v>
      </c>
      <c r="L24" s="18">
        <v>310.8</v>
      </c>
      <c r="M24" s="39">
        <f t="shared" si="16"/>
        <v>3052.48</v>
      </c>
      <c r="N24" s="40">
        <f t="shared" si="17"/>
        <v>3101.134</v>
      </c>
      <c r="O24" s="97"/>
      <c r="P24" s="77">
        <f t="shared" si="18"/>
        <v>257.01200000000006</v>
      </c>
      <c r="Q24" s="77">
        <f t="shared" si="19"/>
        <v>76.72000000000001</v>
      </c>
      <c r="R24" s="83">
        <f t="shared" si="20"/>
        <v>80.556</v>
      </c>
      <c r="S24" s="83">
        <f t="shared" si="22"/>
        <v>1622.6280000000002</v>
      </c>
      <c r="T24" s="83"/>
      <c r="U24" s="84"/>
      <c r="V24" s="84"/>
      <c r="W24" s="84">
        <f>536.27</f>
        <v>536.27</v>
      </c>
      <c r="X24" s="83"/>
      <c r="Y24" s="85">
        <f t="shared" si="21"/>
        <v>2573.186</v>
      </c>
      <c r="Z24" s="86"/>
      <c r="AA24" s="31">
        <f>Y24</f>
        <v>2573.186</v>
      </c>
      <c r="AB24" s="31">
        <f>N24-AA24</f>
        <v>527.9479999999999</v>
      </c>
      <c r="AC24" s="31">
        <f>M24-I24</f>
        <v>-272.9200000000001</v>
      </c>
      <c r="AD24" s="24"/>
      <c r="AE24" s="24"/>
    </row>
    <row r="25" spans="1:31" ht="12.75">
      <c r="A25" s="32" t="s">
        <v>71</v>
      </c>
      <c r="B25" s="99">
        <v>383.6</v>
      </c>
      <c r="C25" s="81">
        <f t="shared" si="14"/>
        <v>3279.7800000000007</v>
      </c>
      <c r="D25" s="34">
        <v>48.654</v>
      </c>
      <c r="E25" s="87">
        <v>2015.7</v>
      </c>
      <c r="F25" s="87">
        <v>978.8</v>
      </c>
      <c r="G25" s="87">
        <v>339.45</v>
      </c>
      <c r="H25" s="94"/>
      <c r="I25" s="35">
        <f t="shared" si="15"/>
        <v>3333.95</v>
      </c>
      <c r="J25" s="18">
        <v>1502.9</v>
      </c>
      <c r="K25" s="18">
        <v>729.76</v>
      </c>
      <c r="L25" s="18">
        <v>253.06</v>
      </c>
      <c r="M25" s="39">
        <f t="shared" si="16"/>
        <v>2485.72</v>
      </c>
      <c r="N25" s="40">
        <f t="shared" si="17"/>
        <v>2534.374</v>
      </c>
      <c r="O25" s="97"/>
      <c r="P25" s="77">
        <f t="shared" si="18"/>
        <v>257.01200000000006</v>
      </c>
      <c r="Q25" s="77">
        <f t="shared" si="19"/>
        <v>76.72000000000001</v>
      </c>
      <c r="R25" s="83">
        <f t="shared" si="20"/>
        <v>80.556</v>
      </c>
      <c r="S25" s="83">
        <f t="shared" si="22"/>
        <v>1622.6280000000002</v>
      </c>
      <c r="T25" s="83"/>
      <c r="U25" s="84"/>
      <c r="V25" s="84"/>
      <c r="W25" s="84">
        <f>91.97</f>
        <v>91.97</v>
      </c>
      <c r="X25" s="83"/>
      <c r="Y25" s="85">
        <f t="shared" si="21"/>
        <v>2128.886</v>
      </c>
      <c r="Z25" s="86"/>
      <c r="AA25" s="31">
        <f>Y25</f>
        <v>2128.886</v>
      </c>
      <c r="AB25" s="31">
        <f>N25-AA25</f>
        <v>405.48799999999983</v>
      </c>
      <c r="AC25" s="31">
        <f>M25-I25</f>
        <v>-848.23</v>
      </c>
      <c r="AD25" s="24"/>
      <c r="AE25" s="24"/>
    </row>
    <row r="26" spans="1:36" ht="12.75">
      <c r="A26" s="32" t="s">
        <v>21</v>
      </c>
      <c r="B26" s="99">
        <v>383.6</v>
      </c>
      <c r="C26" s="81">
        <f t="shared" si="14"/>
        <v>3279.7800000000007</v>
      </c>
      <c r="D26" s="34">
        <v>48.654</v>
      </c>
      <c r="E26" s="87">
        <v>2015.7</v>
      </c>
      <c r="F26" s="87">
        <v>978.8</v>
      </c>
      <c r="G26" s="98">
        <v>339.45</v>
      </c>
      <c r="H26" s="94"/>
      <c r="I26" s="35">
        <f t="shared" si="15"/>
        <v>3333.95</v>
      </c>
      <c r="J26" s="18">
        <v>1310.52</v>
      </c>
      <c r="K26" s="18">
        <v>536.33</v>
      </c>
      <c r="L26" s="17">
        <v>220.63</v>
      </c>
      <c r="M26" s="39">
        <f t="shared" si="16"/>
        <v>2067.48</v>
      </c>
      <c r="N26" s="40">
        <f t="shared" si="17"/>
        <v>2116.134</v>
      </c>
      <c r="O26" s="97"/>
      <c r="P26" s="77">
        <f t="shared" si="18"/>
        <v>257.01200000000006</v>
      </c>
      <c r="Q26" s="77">
        <f t="shared" si="19"/>
        <v>76.72000000000001</v>
      </c>
      <c r="R26" s="83">
        <f t="shared" si="20"/>
        <v>80.556</v>
      </c>
      <c r="S26" s="83">
        <f t="shared" si="22"/>
        <v>1622.6280000000002</v>
      </c>
      <c r="T26" s="83"/>
      <c r="U26" s="84"/>
      <c r="V26" s="84"/>
      <c r="W26" s="84"/>
      <c r="X26" s="83"/>
      <c r="Y26" s="85">
        <f t="shared" si="21"/>
        <v>2036.9160000000002</v>
      </c>
      <c r="Z26" s="86"/>
      <c r="AA26" s="31">
        <f aca="true" t="shared" si="23" ref="AA26:AA32">Y26</f>
        <v>2036.9160000000002</v>
      </c>
      <c r="AB26" s="31">
        <f aca="true" t="shared" si="24" ref="AB26:AB32">N26-AA26</f>
        <v>79.21799999999985</v>
      </c>
      <c r="AC26" s="31">
        <f aca="true" t="shared" si="25" ref="AC26:AC32">M26-I26</f>
        <v>-1266.4699999999998</v>
      </c>
      <c r="AD26" s="24"/>
      <c r="AE26" s="24"/>
      <c r="AF26" s="24"/>
      <c r="AG26" s="24"/>
      <c r="AH26" s="24"/>
      <c r="AI26" s="24"/>
      <c r="AJ26" s="24"/>
    </row>
    <row r="27" spans="1:32" ht="12.75">
      <c r="A27" s="32" t="s">
        <v>22</v>
      </c>
      <c r="B27" s="17">
        <v>383.6</v>
      </c>
      <c r="C27" s="81">
        <f>B27*9.51</f>
        <v>3648.036</v>
      </c>
      <c r="D27" s="34">
        <v>65.1105</v>
      </c>
      <c r="E27" s="87">
        <v>3648.04</v>
      </c>
      <c r="F27" s="87"/>
      <c r="G27" s="87"/>
      <c r="H27" s="94"/>
      <c r="I27" s="35">
        <f t="shared" si="15"/>
        <v>3648.04</v>
      </c>
      <c r="J27" s="18">
        <v>1180.8</v>
      </c>
      <c r="K27" s="18">
        <v>573.4</v>
      </c>
      <c r="L27" s="18">
        <v>198.87</v>
      </c>
      <c r="M27" s="39">
        <f t="shared" si="16"/>
        <v>1953.0699999999997</v>
      </c>
      <c r="N27" s="40">
        <f t="shared" si="17"/>
        <v>2018.1804999999997</v>
      </c>
      <c r="O27" s="97"/>
      <c r="P27" s="77">
        <f t="shared" si="18"/>
        <v>257.01200000000006</v>
      </c>
      <c r="Q27" s="77">
        <f t="shared" si="19"/>
        <v>76.72000000000001</v>
      </c>
      <c r="R27" s="83">
        <f t="shared" si="20"/>
        <v>80.556</v>
      </c>
      <c r="S27" s="83">
        <f t="shared" si="22"/>
        <v>1622.6280000000002</v>
      </c>
      <c r="T27" s="83"/>
      <c r="U27" s="84"/>
      <c r="V27" s="84"/>
      <c r="W27" s="84">
        <f>50000</f>
        <v>50000</v>
      </c>
      <c r="X27" s="83"/>
      <c r="Y27" s="85">
        <f t="shared" si="21"/>
        <v>52036.916</v>
      </c>
      <c r="Z27" s="86"/>
      <c r="AA27" s="31">
        <f t="shared" si="23"/>
        <v>52036.916</v>
      </c>
      <c r="AB27" s="31">
        <f t="shared" si="24"/>
        <v>-50018.735499999995</v>
      </c>
      <c r="AC27" s="31">
        <f t="shared" si="25"/>
        <v>-1694.9700000000003</v>
      </c>
      <c r="AD27" s="24"/>
      <c r="AE27" s="24"/>
      <c r="AF27" s="24"/>
    </row>
    <row r="28" spans="1:31" ht="12.75">
      <c r="A28" s="32" t="s">
        <v>23</v>
      </c>
      <c r="B28" s="17">
        <v>383.6</v>
      </c>
      <c r="C28" s="81">
        <f>B28*9.51</f>
        <v>3648.036</v>
      </c>
      <c r="D28" s="34"/>
      <c r="E28" s="100">
        <v>18984.43</v>
      </c>
      <c r="F28" s="87"/>
      <c r="G28" s="87"/>
      <c r="H28" s="94"/>
      <c r="I28" s="35">
        <f t="shared" si="15"/>
        <v>18984.43</v>
      </c>
      <c r="J28" s="18">
        <v>3089.18</v>
      </c>
      <c r="K28" s="18">
        <v>466.85</v>
      </c>
      <c r="L28" s="18">
        <v>161.83</v>
      </c>
      <c r="M28" s="39">
        <f t="shared" si="16"/>
        <v>3717.8599999999997</v>
      </c>
      <c r="N28" s="40">
        <f t="shared" si="17"/>
        <v>3717.8599999999997</v>
      </c>
      <c r="O28" s="97"/>
      <c r="P28" s="77">
        <f t="shared" si="18"/>
        <v>257.01200000000006</v>
      </c>
      <c r="Q28" s="77">
        <f t="shared" si="19"/>
        <v>76.72000000000001</v>
      </c>
      <c r="R28" s="83">
        <f t="shared" si="20"/>
        <v>80.556</v>
      </c>
      <c r="S28" s="83">
        <f t="shared" si="22"/>
        <v>1622.6280000000002</v>
      </c>
      <c r="T28" s="83"/>
      <c r="U28" s="84"/>
      <c r="V28" s="84"/>
      <c r="W28" s="84"/>
      <c r="X28" s="83"/>
      <c r="Y28" s="85">
        <f t="shared" si="21"/>
        <v>2036.9160000000002</v>
      </c>
      <c r="Z28" s="86"/>
      <c r="AA28" s="31">
        <f t="shared" si="23"/>
        <v>2036.9160000000002</v>
      </c>
      <c r="AB28" s="31">
        <f t="shared" si="24"/>
        <v>1680.9439999999995</v>
      </c>
      <c r="AC28" s="31">
        <f t="shared" si="25"/>
        <v>-15266.57</v>
      </c>
      <c r="AD28" s="24"/>
      <c r="AE28" s="24"/>
    </row>
    <row r="29" spans="1:35" ht="12.75">
      <c r="A29" s="32" t="s">
        <v>24</v>
      </c>
      <c r="B29" s="17">
        <v>383.6</v>
      </c>
      <c r="C29" s="81">
        <f>B29*49.49</f>
        <v>18984.364</v>
      </c>
      <c r="D29" s="34"/>
      <c r="E29" s="100">
        <v>18984.43</v>
      </c>
      <c r="F29" s="87"/>
      <c r="G29" s="87"/>
      <c r="H29" s="94"/>
      <c r="I29" s="35">
        <f>SUM(E29:G29)</f>
        <v>18984.43</v>
      </c>
      <c r="J29" s="18">
        <v>9756.37</v>
      </c>
      <c r="K29" s="18">
        <f>3011.99+4532.89</f>
        <v>7544.88</v>
      </c>
      <c r="L29" s="18">
        <v>959.91</v>
      </c>
      <c r="M29" s="39">
        <f>SUM(J29:L29)</f>
        <v>18261.16</v>
      </c>
      <c r="N29" s="40">
        <f t="shared" si="17"/>
        <v>18261.16</v>
      </c>
      <c r="O29" s="97"/>
      <c r="P29" s="77">
        <f>0.67*B29</f>
        <v>257.01200000000006</v>
      </c>
      <c r="Q29" s="77">
        <f>B29*0.2</f>
        <v>76.72000000000001</v>
      </c>
      <c r="R29" s="83">
        <f>B29*0.21</f>
        <v>80.556</v>
      </c>
      <c r="S29" s="83">
        <f>(4.23*B29)</f>
        <v>1622.6280000000002</v>
      </c>
      <c r="T29" s="83"/>
      <c r="U29" s="84"/>
      <c r="V29" s="84"/>
      <c r="W29" s="84"/>
      <c r="X29" s="83"/>
      <c r="Y29" s="85">
        <f t="shared" si="21"/>
        <v>2036.9160000000002</v>
      </c>
      <c r="Z29" s="86"/>
      <c r="AA29" s="31">
        <f t="shared" si="23"/>
        <v>2036.9160000000002</v>
      </c>
      <c r="AB29" s="31">
        <f t="shared" si="24"/>
        <v>16224.243999999999</v>
      </c>
      <c r="AC29" s="31">
        <f t="shared" si="25"/>
        <v>-723.2700000000004</v>
      </c>
      <c r="AD29" s="24"/>
      <c r="AE29" s="24"/>
      <c r="AF29" s="24"/>
      <c r="AG29" s="24"/>
      <c r="AH29" s="24"/>
      <c r="AI29" s="24"/>
    </row>
    <row r="30" spans="1:31" ht="12.75">
      <c r="A30" s="32" t="s">
        <v>18</v>
      </c>
      <c r="B30" s="17">
        <v>383.6</v>
      </c>
      <c r="C30" s="81">
        <f>B30*49.49</f>
        <v>18984.364</v>
      </c>
      <c r="D30" s="34"/>
      <c r="E30" s="98">
        <f>1983.23+16667.45+333.75</f>
        <v>18984.43</v>
      </c>
      <c r="F30" s="87"/>
      <c r="G30" s="87"/>
      <c r="H30" s="94"/>
      <c r="I30" s="35">
        <f t="shared" si="15"/>
        <v>18984.43</v>
      </c>
      <c r="J30" s="18">
        <v>2998.77</v>
      </c>
      <c r="K30" s="18">
        <f>12.47+19290.33</f>
        <v>19302.800000000003</v>
      </c>
      <c r="L30" s="18">
        <v>390.59</v>
      </c>
      <c r="M30" s="39">
        <f t="shared" si="16"/>
        <v>22692.160000000003</v>
      </c>
      <c r="N30" s="40">
        <f t="shared" si="17"/>
        <v>22692.160000000003</v>
      </c>
      <c r="O30" s="97"/>
      <c r="P30" s="77">
        <f t="shared" si="18"/>
        <v>257.01200000000006</v>
      </c>
      <c r="Q30" s="77">
        <f t="shared" si="19"/>
        <v>76.72000000000001</v>
      </c>
      <c r="R30" s="83">
        <f t="shared" si="20"/>
        <v>80.556</v>
      </c>
      <c r="S30" s="83">
        <f t="shared" si="22"/>
        <v>1622.6280000000002</v>
      </c>
      <c r="T30" s="83"/>
      <c r="U30" s="84"/>
      <c r="V30" s="84"/>
      <c r="W30" s="84"/>
      <c r="X30" s="83"/>
      <c r="Y30" s="85">
        <f t="shared" si="21"/>
        <v>2036.9160000000002</v>
      </c>
      <c r="Z30" s="86"/>
      <c r="AA30" s="31">
        <f t="shared" si="23"/>
        <v>2036.9160000000002</v>
      </c>
      <c r="AB30" s="31">
        <f t="shared" si="24"/>
        <v>20655.244000000002</v>
      </c>
      <c r="AC30" s="31">
        <f t="shared" si="25"/>
        <v>3707.730000000003</v>
      </c>
      <c r="AD30" s="24"/>
      <c r="AE30" s="24"/>
    </row>
    <row r="31" spans="1:31" ht="12.75">
      <c r="A31" s="22" t="s">
        <v>19</v>
      </c>
      <c r="B31" s="17">
        <v>383.6</v>
      </c>
      <c r="C31" s="81">
        <f>B31*49.49</f>
        <v>18984.364</v>
      </c>
      <c r="D31" s="34"/>
      <c r="E31" s="87">
        <v>18984.43</v>
      </c>
      <c r="F31" s="87"/>
      <c r="G31" s="87"/>
      <c r="H31" s="94"/>
      <c r="I31" s="35">
        <f>SUM(E31:G31)</f>
        <v>18984.43</v>
      </c>
      <c r="J31" s="18">
        <v>2962.46</v>
      </c>
      <c r="K31" s="18">
        <f>387.4+16598.78</f>
        <v>16986.18</v>
      </c>
      <c r="L31" s="18">
        <v>465.43</v>
      </c>
      <c r="M31" s="39">
        <f>SUM(J31:L31)</f>
        <v>20414.07</v>
      </c>
      <c r="N31" s="40">
        <f t="shared" si="17"/>
        <v>20414.07</v>
      </c>
      <c r="O31" s="97"/>
      <c r="P31" s="77">
        <f>0.67*B31</f>
        <v>257.01200000000006</v>
      </c>
      <c r="Q31" s="77">
        <f>B31*0.2</f>
        <v>76.72000000000001</v>
      </c>
      <c r="R31" s="83">
        <f>B31*0.21</f>
        <v>80.556</v>
      </c>
      <c r="S31" s="83">
        <f>(4.23*B31)</f>
        <v>1622.6280000000002</v>
      </c>
      <c r="T31" s="83"/>
      <c r="U31" s="84"/>
      <c r="V31" s="84"/>
      <c r="W31" s="84"/>
      <c r="X31" s="83"/>
      <c r="Y31" s="85">
        <f t="shared" si="21"/>
        <v>2036.9160000000002</v>
      </c>
      <c r="Z31" s="86"/>
      <c r="AA31" s="31">
        <f t="shared" si="23"/>
        <v>2036.9160000000002</v>
      </c>
      <c r="AB31" s="31">
        <f t="shared" si="24"/>
        <v>18377.154</v>
      </c>
      <c r="AC31" s="31">
        <f t="shared" si="25"/>
        <v>1429.6399999999994</v>
      </c>
      <c r="AD31" s="24"/>
      <c r="AE31" s="24"/>
    </row>
    <row r="32" spans="1:31" ht="13.5" thickBot="1">
      <c r="A32" s="41" t="s">
        <v>20</v>
      </c>
      <c r="B32" s="17">
        <v>383.6</v>
      </c>
      <c r="C32" s="81">
        <f>B32*13.65</f>
        <v>5236.14</v>
      </c>
      <c r="D32" s="34"/>
      <c r="E32" s="87">
        <v>5646.6</v>
      </c>
      <c r="F32" s="87"/>
      <c r="G32" s="87"/>
      <c r="H32" s="94"/>
      <c r="I32" s="35">
        <f>SUM(E32:G32)</f>
        <v>5646.6</v>
      </c>
      <c r="J32" s="18">
        <v>2635.88</v>
      </c>
      <c r="K32" s="18">
        <v>3222.61</v>
      </c>
      <c r="L32" s="18">
        <v>492.46</v>
      </c>
      <c r="M32" s="39">
        <f>SUM(J32:L32)</f>
        <v>6350.95</v>
      </c>
      <c r="N32" s="40">
        <f t="shared" si="17"/>
        <v>6350.95</v>
      </c>
      <c r="O32" s="97"/>
      <c r="P32" s="77">
        <f>0.67*B32</f>
        <v>257.01200000000006</v>
      </c>
      <c r="Q32" s="77">
        <f>B32*0.2</f>
        <v>76.72000000000001</v>
      </c>
      <c r="R32" s="83">
        <f>B32*0.21</f>
        <v>80.556</v>
      </c>
      <c r="S32" s="83">
        <f>(4.23*B32)</f>
        <v>1622.6280000000002</v>
      </c>
      <c r="T32" s="83"/>
      <c r="U32" s="84"/>
      <c r="V32" s="84"/>
      <c r="W32" s="84"/>
      <c r="X32" s="83"/>
      <c r="Y32" s="85">
        <f t="shared" si="21"/>
        <v>2036.9160000000002</v>
      </c>
      <c r="Z32" s="86"/>
      <c r="AA32" s="31">
        <f t="shared" si="23"/>
        <v>2036.9160000000002</v>
      </c>
      <c r="AB32" s="31">
        <f t="shared" si="24"/>
        <v>4314.034</v>
      </c>
      <c r="AC32" s="31">
        <f t="shared" si="25"/>
        <v>704.3499999999995</v>
      </c>
      <c r="AD32" s="24"/>
      <c r="AE32" s="24"/>
    </row>
    <row r="33" spans="1:31" s="2" customFormat="1" ht="13.5" thickBot="1">
      <c r="A33" s="42" t="s">
        <v>3</v>
      </c>
      <c r="B33" s="43"/>
      <c r="C33" s="43"/>
      <c r="D33" s="44">
        <f aca="true" t="shared" si="26" ref="D33:AA33">SUM(D21:D32)</f>
        <v>357.03450000000004</v>
      </c>
      <c r="E33" s="44">
        <f t="shared" si="26"/>
        <v>97306.04000000001</v>
      </c>
      <c r="F33" s="44">
        <f t="shared" si="26"/>
        <v>5862.72</v>
      </c>
      <c r="G33" s="44">
        <f t="shared" si="26"/>
        <v>2033.1000000000001</v>
      </c>
      <c r="H33" s="44">
        <f t="shared" si="26"/>
        <v>0</v>
      </c>
      <c r="I33" s="44">
        <f t="shared" si="26"/>
        <v>105201.86000000002</v>
      </c>
      <c r="J33" s="44">
        <f t="shared" si="26"/>
        <v>31879.160000000003</v>
      </c>
      <c r="K33" s="44">
        <f t="shared" si="26"/>
        <v>52492.32000000001</v>
      </c>
      <c r="L33" s="44">
        <f t="shared" si="26"/>
        <v>4227.849999999999</v>
      </c>
      <c r="M33" s="44">
        <f t="shared" si="26"/>
        <v>88599.33</v>
      </c>
      <c r="N33" s="44">
        <f t="shared" si="26"/>
        <v>88956.36450000001</v>
      </c>
      <c r="O33" s="44">
        <f t="shared" si="26"/>
        <v>0</v>
      </c>
      <c r="P33" s="44">
        <f t="shared" si="26"/>
        <v>3084.1440000000016</v>
      </c>
      <c r="Q33" s="44">
        <f t="shared" si="26"/>
        <v>920.6400000000002</v>
      </c>
      <c r="R33" s="44">
        <f t="shared" si="26"/>
        <v>966.6720000000001</v>
      </c>
      <c r="S33" s="44">
        <f t="shared" si="26"/>
        <v>18719.680000000004</v>
      </c>
      <c r="T33" s="44">
        <f t="shared" si="26"/>
        <v>0</v>
      </c>
      <c r="U33" s="44">
        <f t="shared" si="26"/>
        <v>0</v>
      </c>
      <c r="V33" s="44">
        <f t="shared" si="26"/>
        <v>0</v>
      </c>
      <c r="W33" s="44">
        <f t="shared" si="26"/>
        <v>50899.74</v>
      </c>
      <c r="X33" s="44">
        <f t="shared" si="26"/>
        <v>0</v>
      </c>
      <c r="Y33" s="44">
        <f t="shared" si="26"/>
        <v>74590.87599999999</v>
      </c>
      <c r="Z33" s="44">
        <f t="shared" si="26"/>
        <v>0</v>
      </c>
      <c r="AA33" s="44">
        <f t="shared" si="26"/>
        <v>74590.87599999999</v>
      </c>
      <c r="AB33" s="44">
        <f>SUM(AB21:AB32)</f>
        <v>14365.4885</v>
      </c>
      <c r="AC33" s="46">
        <f>SUM(AC21:AC32)</f>
        <v>-16602.53</v>
      </c>
      <c r="AD33" s="10"/>
      <c r="AE33" s="10"/>
    </row>
    <row r="34" spans="1:31" ht="13.5" thickBo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24"/>
      <c r="AE34" s="24"/>
    </row>
    <row r="35" spans="1:29" s="2" customFormat="1" ht="13.5" thickBot="1">
      <c r="A35" s="42" t="s">
        <v>53</v>
      </c>
      <c r="B35" s="43"/>
      <c r="C35" s="43"/>
      <c r="D35" s="44">
        <v>9330.22</v>
      </c>
      <c r="E35" s="44">
        <v>263129.61</v>
      </c>
      <c r="F35" s="44">
        <v>181875.86</v>
      </c>
      <c r="G35" s="44">
        <v>45624.38</v>
      </c>
      <c r="H35" s="44">
        <v>71944.81</v>
      </c>
      <c r="I35" s="44">
        <v>490629.85</v>
      </c>
      <c r="J35" s="44">
        <v>216840.97</v>
      </c>
      <c r="K35" s="44">
        <v>151570.93</v>
      </c>
      <c r="L35" s="44">
        <v>38052.74</v>
      </c>
      <c r="M35" s="44">
        <v>406464.64</v>
      </c>
      <c r="N35" s="44">
        <v>534624.38</v>
      </c>
      <c r="O35" s="43">
        <v>0</v>
      </c>
      <c r="P35" s="46">
        <f>P19+P33</f>
        <v>4883.228000000003</v>
      </c>
      <c r="Q35" s="46">
        <f>Q19+Q33</f>
        <v>12279.036000000002</v>
      </c>
      <c r="R35" s="46">
        <f aca="true" t="shared" si="27" ref="R35:AA35">R19+R33</f>
        <v>966.6720000000001</v>
      </c>
      <c r="S35" s="46">
        <f t="shared" si="27"/>
        <v>18719.680000000004</v>
      </c>
      <c r="T35" s="46">
        <f t="shared" si="27"/>
        <v>0</v>
      </c>
      <c r="U35" s="46">
        <f t="shared" si="27"/>
        <v>7769</v>
      </c>
      <c r="V35" s="46">
        <f t="shared" si="27"/>
        <v>0</v>
      </c>
      <c r="W35" s="46">
        <f t="shared" si="27"/>
        <v>53259.74</v>
      </c>
      <c r="X35" s="46">
        <f t="shared" si="27"/>
        <v>0</v>
      </c>
      <c r="Y35" s="46">
        <f t="shared" si="27"/>
        <v>98414.396</v>
      </c>
      <c r="Z35" s="46">
        <f t="shared" si="27"/>
        <v>0</v>
      </c>
      <c r="AA35" s="46">
        <f t="shared" si="27"/>
        <v>98414.396</v>
      </c>
      <c r="AB35" s="46">
        <f>AB19+AB33</f>
        <v>10839.376499999998</v>
      </c>
      <c r="AC35" s="46">
        <f>AC19+AC33</f>
        <v>-26556.682</v>
      </c>
    </row>
    <row r="36" spans="1:29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</sheetData>
  <sheetProtection/>
  <mergeCells count="34">
    <mergeCell ref="M4:M7"/>
    <mergeCell ref="X6:X7"/>
    <mergeCell ref="Y6:Y7"/>
    <mergeCell ref="A1:O1"/>
    <mergeCell ref="A4:A7"/>
    <mergeCell ref="B4:B7"/>
    <mergeCell ref="C4:C7"/>
    <mergeCell ref="D4:D7"/>
    <mergeCell ref="E4:G5"/>
    <mergeCell ref="N4:N7"/>
    <mergeCell ref="O4:O7"/>
    <mergeCell ref="P4:Y5"/>
    <mergeCell ref="Z4:AA4"/>
    <mergeCell ref="T6:T7"/>
    <mergeCell ref="U6:U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E6:E7"/>
    <mergeCell ref="F6:F7"/>
    <mergeCell ref="G6:G7"/>
    <mergeCell ref="J6:J7"/>
    <mergeCell ref="K6:K7"/>
    <mergeCell ref="L6:L7"/>
    <mergeCell ref="H4:H7"/>
    <mergeCell ref="I4:I7"/>
    <mergeCell ref="J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40" sqref="A40"/>
    </sheetView>
  </sheetViews>
  <sheetFormatPr defaultColWidth="9.00390625" defaultRowHeight="12.75"/>
  <cols>
    <col min="1" max="1" width="10.00390625" style="21" customWidth="1"/>
    <col min="2" max="2" width="9.125" style="21" customWidth="1"/>
    <col min="3" max="3" width="9.875" style="21" customWidth="1"/>
    <col min="4" max="4" width="9.625" style="21" customWidth="1"/>
    <col min="5" max="5" width="10.125" style="21" bestFit="1" customWidth="1"/>
    <col min="6" max="6" width="9.875" style="21" customWidth="1"/>
    <col min="7" max="7" width="11.00390625" style="21" customWidth="1"/>
    <col min="8" max="8" width="10.125" style="21" customWidth="1"/>
    <col min="9" max="9" width="9.25390625" style="21" customWidth="1"/>
    <col min="10" max="10" width="9.875" style="21" customWidth="1"/>
    <col min="11" max="11" width="10.875" style="21" customWidth="1"/>
    <col min="12" max="12" width="10.125" style="21" customWidth="1"/>
    <col min="13" max="13" width="10.375" style="21" customWidth="1"/>
    <col min="14" max="14" width="10.75390625" style="21" customWidth="1"/>
    <col min="15" max="15" width="13.00390625" style="21" customWidth="1"/>
    <col min="16" max="16384" width="9.125" style="21" customWidth="1"/>
  </cols>
  <sheetData>
    <row r="1" spans="2:8" ht="20.25" customHeight="1">
      <c r="B1" s="209" t="s">
        <v>26</v>
      </c>
      <c r="C1" s="209"/>
      <c r="D1" s="209"/>
      <c r="E1" s="209"/>
      <c r="F1" s="209"/>
      <c r="G1" s="209"/>
      <c r="H1" s="209"/>
    </row>
    <row r="2" spans="2:8" ht="21" customHeight="1">
      <c r="B2" s="209" t="s">
        <v>27</v>
      </c>
      <c r="C2" s="209"/>
      <c r="D2" s="209"/>
      <c r="E2" s="209"/>
      <c r="F2" s="209"/>
      <c r="G2" s="209"/>
      <c r="H2" s="209"/>
    </row>
    <row r="5" spans="1:14" ht="12.75">
      <c r="A5" s="210" t="s">
        <v>65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</row>
    <row r="6" spans="1:14" ht="12.75">
      <c r="A6" s="211" t="s">
        <v>72</v>
      </c>
      <c r="B6" s="211"/>
      <c r="C6" s="211"/>
      <c r="D6" s="211"/>
      <c r="E6" s="211"/>
      <c r="F6" s="211"/>
      <c r="G6" s="211"/>
      <c r="H6" s="15"/>
      <c r="I6" s="15"/>
      <c r="J6" s="15"/>
      <c r="K6" s="15"/>
      <c r="L6" s="15"/>
      <c r="M6" s="15"/>
      <c r="N6" s="15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6" ht="13.5" thickBot="1">
      <c r="A8" s="208" t="s">
        <v>28</v>
      </c>
      <c r="B8" s="208"/>
      <c r="C8" s="208"/>
      <c r="D8" s="208"/>
      <c r="E8" s="208">
        <v>13.65</v>
      </c>
      <c r="F8" s="208"/>
    </row>
    <row r="9" spans="1:15" ht="12.75" customHeight="1">
      <c r="A9" s="159" t="s">
        <v>29</v>
      </c>
      <c r="B9" s="186" t="s">
        <v>0</v>
      </c>
      <c r="C9" s="189" t="s">
        <v>74</v>
      </c>
      <c r="D9" s="192" t="s">
        <v>2</v>
      </c>
      <c r="E9" s="202" t="s">
        <v>30</v>
      </c>
      <c r="F9" s="133"/>
      <c r="G9" s="204" t="s">
        <v>54</v>
      </c>
      <c r="H9" s="205"/>
      <c r="I9" s="177" t="s">
        <v>6</v>
      </c>
      <c r="J9" s="178"/>
      <c r="K9" s="178"/>
      <c r="L9" s="178"/>
      <c r="M9" s="179"/>
      <c r="N9" s="183" t="s">
        <v>31</v>
      </c>
      <c r="O9" s="183" t="s">
        <v>8</v>
      </c>
    </row>
    <row r="10" spans="1:15" ht="12.75">
      <c r="A10" s="160"/>
      <c r="B10" s="187"/>
      <c r="C10" s="190"/>
      <c r="D10" s="193"/>
      <c r="E10" s="203"/>
      <c r="F10" s="135"/>
      <c r="G10" s="206"/>
      <c r="H10" s="207"/>
      <c r="I10" s="180"/>
      <c r="J10" s="181"/>
      <c r="K10" s="181"/>
      <c r="L10" s="181"/>
      <c r="M10" s="182"/>
      <c r="N10" s="184"/>
      <c r="O10" s="184"/>
    </row>
    <row r="11" spans="1:15" ht="26.25" customHeight="1">
      <c r="A11" s="160"/>
      <c r="B11" s="187"/>
      <c r="C11" s="190"/>
      <c r="D11" s="193"/>
      <c r="E11" s="195" t="s">
        <v>32</v>
      </c>
      <c r="F11" s="134"/>
      <c r="G11" s="20" t="s">
        <v>33</v>
      </c>
      <c r="H11" s="196" t="s">
        <v>5</v>
      </c>
      <c r="I11" s="198" t="s">
        <v>34</v>
      </c>
      <c r="J11" s="200" t="s">
        <v>55</v>
      </c>
      <c r="K11" s="200" t="s">
        <v>35</v>
      </c>
      <c r="L11" s="200" t="s">
        <v>15</v>
      </c>
      <c r="M11" s="196" t="s">
        <v>17</v>
      </c>
      <c r="N11" s="184"/>
      <c r="O11" s="184"/>
    </row>
    <row r="12" spans="1:15" ht="66.75" customHeight="1" thickBot="1">
      <c r="A12" s="161"/>
      <c r="B12" s="188"/>
      <c r="C12" s="191"/>
      <c r="D12" s="194"/>
      <c r="E12" s="47" t="s">
        <v>36</v>
      </c>
      <c r="F12" s="48" t="s">
        <v>11</v>
      </c>
      <c r="G12" s="16" t="s">
        <v>56</v>
      </c>
      <c r="H12" s="197"/>
      <c r="I12" s="199"/>
      <c r="J12" s="201"/>
      <c r="K12" s="201"/>
      <c r="L12" s="201"/>
      <c r="M12" s="197"/>
      <c r="N12" s="185"/>
      <c r="O12" s="185"/>
    </row>
    <row r="13" spans="1:15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6">
        <v>6</v>
      </c>
      <c r="G13" s="5">
        <v>7</v>
      </c>
      <c r="H13" s="6">
        <v>8</v>
      </c>
      <c r="I13" s="5">
        <v>9</v>
      </c>
      <c r="J13" s="6">
        <v>10</v>
      </c>
      <c r="K13" s="5">
        <v>11</v>
      </c>
      <c r="L13" s="6">
        <v>12</v>
      </c>
      <c r="M13" s="6">
        <v>13</v>
      </c>
      <c r="N13" s="5">
        <v>14</v>
      </c>
      <c r="O13" s="6">
        <v>15</v>
      </c>
    </row>
    <row r="14" spans="1:17" ht="12.75">
      <c r="A14" s="1" t="s">
        <v>52</v>
      </c>
      <c r="B14" s="49"/>
      <c r="C14" s="50"/>
      <c r="D14" s="51"/>
      <c r="E14" s="52"/>
      <c r="F14" s="53"/>
      <c r="G14" s="54"/>
      <c r="H14" s="53"/>
      <c r="I14" s="54"/>
      <c r="J14" s="55"/>
      <c r="K14" s="56"/>
      <c r="L14" s="57"/>
      <c r="M14" s="58"/>
      <c r="N14" s="59"/>
      <c r="O14" s="59"/>
      <c r="P14" s="24"/>
      <c r="Q14" s="24"/>
    </row>
    <row r="15" spans="1:17" ht="12.75">
      <c r="A15" s="60" t="s">
        <v>21</v>
      </c>
      <c r="B15" s="61">
        <f>'2012'!B10</f>
        <v>383.6</v>
      </c>
      <c r="C15" s="61">
        <f>'2012'!C10</f>
        <v>3279.7800000000007</v>
      </c>
      <c r="D15" s="61">
        <f>'2012'!D10</f>
        <v>48.654</v>
      </c>
      <c r="E15" s="56">
        <f>'2012'!I10</f>
        <v>6973.7699999999995</v>
      </c>
      <c r="F15" s="56">
        <f>'2012'!H10</f>
        <v>0</v>
      </c>
      <c r="G15" s="58">
        <f>'2012'!M10</f>
        <v>4198</v>
      </c>
      <c r="H15" s="58">
        <f>'2012'!N10</f>
        <v>4246.654</v>
      </c>
      <c r="I15" s="62">
        <f>'2012'!P10</f>
        <v>257.01200000000006</v>
      </c>
      <c r="J15" s="62">
        <f>'2012'!Q10</f>
        <v>76.72000000000001</v>
      </c>
      <c r="K15" s="62">
        <f>'2012'!R10</f>
        <v>1622.6280000000002</v>
      </c>
      <c r="L15" s="57">
        <f>'2012'!U10+'2012'!V10+'2012'!W10</f>
        <v>0</v>
      </c>
      <c r="M15" s="58">
        <f>'2012'!AA10</f>
        <v>1956.3600000000001</v>
      </c>
      <c r="N15" s="58">
        <f>'2012'!AB10</f>
        <v>2290.2940000000003</v>
      </c>
      <c r="O15" s="58">
        <f>'2012'!AC10</f>
        <v>-2727.115999999999</v>
      </c>
      <c r="P15" s="24"/>
      <c r="Q15" s="24"/>
    </row>
    <row r="16" spans="1:17" ht="12.75">
      <c r="A16" s="60" t="s">
        <v>22</v>
      </c>
      <c r="B16" s="61">
        <f>'2012'!B11</f>
        <v>383.6</v>
      </c>
      <c r="C16" s="61">
        <f>'2012'!C11</f>
        <v>3279.7800000000007</v>
      </c>
      <c r="D16" s="61">
        <f>'2012'!D11</f>
        <v>48.654</v>
      </c>
      <c r="E16" s="56">
        <f>'2012'!I11</f>
        <v>6650.8</v>
      </c>
      <c r="F16" s="56">
        <f>'2012'!H11</f>
        <v>0</v>
      </c>
      <c r="G16" s="58">
        <f>'2012'!M11</f>
        <v>2296.99</v>
      </c>
      <c r="H16" s="58">
        <f>'2012'!N11</f>
        <v>2345.644</v>
      </c>
      <c r="I16" s="62">
        <f>'2012'!P11</f>
        <v>257.01200000000006</v>
      </c>
      <c r="J16" s="62">
        <f>'2012'!Q11</f>
        <v>76.72000000000001</v>
      </c>
      <c r="K16" s="62">
        <f>'2012'!R11</f>
        <v>1622.6280000000002</v>
      </c>
      <c r="L16" s="57">
        <f>'2012'!U11+'2012'!V11+'2012'!W11</f>
        <v>0</v>
      </c>
      <c r="M16" s="58">
        <f>'2012'!AA11</f>
        <v>1956.3600000000001</v>
      </c>
      <c r="N16" s="58">
        <f>'2012'!AB11</f>
        <v>389.28399999999965</v>
      </c>
      <c r="O16" s="58">
        <f>'2012'!AC11</f>
        <v>-4305.156000000001</v>
      </c>
      <c r="P16" s="24"/>
      <c r="Q16" s="24"/>
    </row>
    <row r="17" spans="1:17" ht="12.75">
      <c r="A17" s="60" t="s">
        <v>23</v>
      </c>
      <c r="B17" s="61">
        <f>'2012'!B12</f>
        <v>383.6</v>
      </c>
      <c r="C17" s="61">
        <f>'2012'!C12</f>
        <v>3279.7800000000007</v>
      </c>
      <c r="D17" s="61">
        <f>'2012'!D12</f>
        <v>48.654</v>
      </c>
      <c r="E17" s="56">
        <f>'2012'!I12</f>
        <v>3325.4</v>
      </c>
      <c r="F17" s="56">
        <f>'2012'!H12</f>
        <v>0</v>
      </c>
      <c r="G17" s="58">
        <f>'2012'!M12</f>
        <v>2910.65</v>
      </c>
      <c r="H17" s="58">
        <f>'2012'!N12</f>
        <v>2959.304</v>
      </c>
      <c r="I17" s="62">
        <f>'2012'!P12</f>
        <v>257.01200000000006</v>
      </c>
      <c r="J17" s="62">
        <f>'2012'!Q12</f>
        <v>76.72000000000001</v>
      </c>
      <c r="K17" s="62">
        <f>'2012'!R12</f>
        <v>1622.6280000000002</v>
      </c>
      <c r="L17" s="57">
        <f>'2012'!U12+'2012'!V12+'2012'!W12</f>
        <v>0</v>
      </c>
      <c r="M17" s="58">
        <f>'2012'!AA12</f>
        <v>1956.3600000000001</v>
      </c>
      <c r="N17" s="58">
        <f>'2012'!AB12</f>
        <v>1002.944</v>
      </c>
      <c r="O17" s="58">
        <f>'2012'!AC12</f>
        <v>-366.096</v>
      </c>
      <c r="P17" s="24"/>
      <c r="Q17" s="24"/>
    </row>
    <row r="18" spans="1:17" ht="12.75">
      <c r="A18" s="60" t="s">
        <v>24</v>
      </c>
      <c r="B18" s="61">
        <f>'2012'!B13</f>
        <v>383.6</v>
      </c>
      <c r="C18" s="61">
        <f>'2012'!C13</f>
        <v>3279.7800000000007</v>
      </c>
      <c r="D18" s="61">
        <f>'2012'!D13</f>
        <v>48.654</v>
      </c>
      <c r="E18" s="56">
        <f>'2012'!I13</f>
        <v>3325.4</v>
      </c>
      <c r="F18" s="56">
        <f>'2012'!H13</f>
        <v>0</v>
      </c>
      <c r="G18" s="58">
        <f>'2012'!M13</f>
        <v>1665.28</v>
      </c>
      <c r="H18" s="58">
        <f>'2012'!N13</f>
        <v>1713.934</v>
      </c>
      <c r="I18" s="62">
        <f>'2012'!P13</f>
        <v>257.01200000000006</v>
      </c>
      <c r="J18" s="62">
        <f>'2012'!Q13</f>
        <v>76.72000000000001</v>
      </c>
      <c r="K18" s="62">
        <f>'2012'!R13</f>
        <v>1622.6280000000002</v>
      </c>
      <c r="L18" s="57">
        <f>'2012'!U13+'2012'!V13+'2012'!W13</f>
        <v>10129</v>
      </c>
      <c r="M18" s="58">
        <f>'2012'!AA13</f>
        <v>12085.36</v>
      </c>
      <c r="N18" s="58">
        <f>'2012'!AB13</f>
        <v>-10371.426000000001</v>
      </c>
      <c r="O18" s="58">
        <f>'2012'!AC13</f>
        <v>-1611.4660000000001</v>
      </c>
      <c r="P18" s="24"/>
      <c r="Q18" s="24"/>
    </row>
    <row r="19" spans="1:17" ht="12.75">
      <c r="A19" s="60" t="s">
        <v>18</v>
      </c>
      <c r="B19" s="61">
        <f>'2012'!B14</f>
        <v>383.6</v>
      </c>
      <c r="C19" s="61">
        <f>'2012'!C14</f>
        <v>3279.7800000000007</v>
      </c>
      <c r="D19" s="61">
        <f>'2012'!D14</f>
        <v>48.654</v>
      </c>
      <c r="E19" s="56">
        <f>'2012'!I14</f>
        <v>3325.4</v>
      </c>
      <c r="F19" s="56">
        <f>'2012'!H14</f>
        <v>0</v>
      </c>
      <c r="G19" s="58">
        <f>'2012'!M14</f>
        <v>3391.75</v>
      </c>
      <c r="H19" s="58">
        <f>'2012'!N14</f>
        <v>3440.404</v>
      </c>
      <c r="I19" s="62">
        <f>'2012'!P14</f>
        <v>257.01200000000006</v>
      </c>
      <c r="J19" s="62">
        <f>'2012'!Q14</f>
        <v>76.72000000000001</v>
      </c>
      <c r="K19" s="62">
        <f>'2012'!R14</f>
        <v>1622.6280000000002</v>
      </c>
      <c r="L19" s="57">
        <f>'2012'!U14+'2012'!V14+'2012'!W14</f>
        <v>0</v>
      </c>
      <c r="M19" s="58">
        <f>'2012'!AA14</f>
        <v>1956.3600000000001</v>
      </c>
      <c r="N19" s="58">
        <f>'2012'!AB14</f>
        <v>1484.0439999999999</v>
      </c>
      <c r="O19" s="58">
        <f>'2012'!AC14</f>
        <v>115.0039999999999</v>
      </c>
      <c r="P19" s="24"/>
      <c r="Q19" s="24"/>
    </row>
    <row r="20" spans="1:17" ht="12.75">
      <c r="A20" s="60" t="s">
        <v>19</v>
      </c>
      <c r="B20" s="61">
        <f>'2012'!B15</f>
        <v>383.6</v>
      </c>
      <c r="C20" s="61">
        <f>'2012'!C15</f>
        <v>3279.7800000000007</v>
      </c>
      <c r="D20" s="61">
        <f>'2012'!D15</f>
        <v>48.654</v>
      </c>
      <c r="E20" s="56">
        <f>'2012'!I15</f>
        <v>3325.39</v>
      </c>
      <c r="F20" s="56">
        <f>'2012'!H15</f>
        <v>0</v>
      </c>
      <c r="G20" s="58">
        <f>'2012'!M15</f>
        <v>2447.67</v>
      </c>
      <c r="H20" s="58">
        <f>'2012'!N15</f>
        <v>2496.324</v>
      </c>
      <c r="I20" s="62">
        <f>'2012'!P15</f>
        <v>257.01200000000006</v>
      </c>
      <c r="J20" s="62">
        <f>'2012'!Q15</f>
        <v>76.72000000000001</v>
      </c>
      <c r="K20" s="62">
        <f>'2012'!R15</f>
        <v>1622.6280000000002</v>
      </c>
      <c r="L20" s="57">
        <f>'2012'!U15+'2012'!V15+'2012'!W15</f>
        <v>0</v>
      </c>
      <c r="M20" s="58">
        <f>'2012'!AA15</f>
        <v>1956.3600000000001</v>
      </c>
      <c r="N20" s="58">
        <f>'2012'!AB15</f>
        <v>539.9639999999999</v>
      </c>
      <c r="O20" s="58">
        <f>'2012'!AC15</f>
        <v>-829.0659999999998</v>
      </c>
      <c r="P20" s="24"/>
      <c r="Q20" s="24"/>
    </row>
    <row r="21" spans="1:17" ht="13.5" thickBot="1">
      <c r="A21" s="60" t="s">
        <v>20</v>
      </c>
      <c r="B21" s="61">
        <f>'2012'!B16</f>
        <v>383.6</v>
      </c>
      <c r="C21" s="61">
        <f>'2012'!C16</f>
        <v>3279.7800000000007</v>
      </c>
      <c r="D21" s="61">
        <f>'2012'!D16</f>
        <v>48.654</v>
      </c>
      <c r="E21" s="56">
        <f>'2012'!I16</f>
        <v>3325.4</v>
      </c>
      <c r="F21" s="56">
        <f>'2012'!H16</f>
        <v>0</v>
      </c>
      <c r="G21" s="58">
        <f>'2012'!M16</f>
        <v>3046.49</v>
      </c>
      <c r="H21" s="58">
        <f>'2012'!N16</f>
        <v>3095.144</v>
      </c>
      <c r="I21" s="62">
        <f>'2012'!P16</f>
        <v>257.01200000000006</v>
      </c>
      <c r="J21" s="62">
        <f>'2012'!Q16</f>
        <v>76.72000000000001</v>
      </c>
      <c r="K21" s="62">
        <f>'2012'!R16</f>
        <v>1622.6280000000002</v>
      </c>
      <c r="L21" s="57">
        <f>'2012'!U16+'2012'!V16+'2012'!W16</f>
        <v>0</v>
      </c>
      <c r="M21" s="58">
        <f>'2012'!AA16</f>
        <v>1956.3600000000001</v>
      </c>
      <c r="N21" s="58">
        <f>'2012'!AB16</f>
        <v>1138.7839999999997</v>
      </c>
      <c r="O21" s="58">
        <f>'2012'!AC16</f>
        <v>-230.2560000000003</v>
      </c>
      <c r="P21" s="24"/>
      <c r="Q21" s="24"/>
    </row>
    <row r="22" spans="1:17" s="2" customFormat="1" ht="13.5" thickBot="1">
      <c r="A22" s="7" t="s">
        <v>3</v>
      </c>
      <c r="B22" s="8"/>
      <c r="C22" s="9">
        <f aca="true" t="shared" si="0" ref="C22:O22">SUM(C15:C21)</f>
        <v>22958.46</v>
      </c>
      <c r="D22" s="9">
        <f t="shared" si="0"/>
        <v>340.57800000000003</v>
      </c>
      <c r="E22" s="9">
        <f t="shared" si="0"/>
        <v>30251.560000000005</v>
      </c>
      <c r="F22" s="9">
        <f t="shared" si="0"/>
        <v>0</v>
      </c>
      <c r="G22" s="9">
        <f t="shared" si="0"/>
        <v>19956.83</v>
      </c>
      <c r="H22" s="9">
        <f t="shared" si="0"/>
        <v>20297.408</v>
      </c>
      <c r="I22" s="9">
        <f t="shared" si="0"/>
        <v>1799.0840000000007</v>
      </c>
      <c r="J22" s="9">
        <f t="shared" si="0"/>
        <v>537.0400000000001</v>
      </c>
      <c r="K22" s="9">
        <f t="shared" si="0"/>
        <v>11358.396000000002</v>
      </c>
      <c r="L22" s="9">
        <f t="shared" si="0"/>
        <v>10129</v>
      </c>
      <c r="M22" s="9">
        <f t="shared" si="0"/>
        <v>23823.520000000004</v>
      </c>
      <c r="N22" s="9">
        <f t="shared" si="0"/>
        <v>-3526.112000000002</v>
      </c>
      <c r="O22" s="9">
        <f t="shared" si="0"/>
        <v>-9954.152000000002</v>
      </c>
      <c r="P22" s="10"/>
      <c r="Q22" s="10"/>
    </row>
    <row r="23" spans="1:17" ht="13.5" thickBot="1">
      <c r="A23" s="172" t="s">
        <v>37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63"/>
      <c r="P23" s="24"/>
      <c r="Q23" s="24"/>
    </row>
    <row r="24" spans="1:17" s="2" customFormat="1" ht="13.5" thickBot="1">
      <c r="A24" s="11" t="s">
        <v>25</v>
      </c>
      <c r="B24" s="12"/>
      <c r="C24" s="13">
        <f aca="true" t="shared" si="1" ref="C24:N24">C22</f>
        <v>22958.46</v>
      </c>
      <c r="D24" s="13">
        <f t="shared" si="1"/>
        <v>340.57800000000003</v>
      </c>
      <c r="E24" s="13">
        <f t="shared" si="1"/>
        <v>30251.560000000005</v>
      </c>
      <c r="F24" s="13">
        <f t="shared" si="1"/>
        <v>0</v>
      </c>
      <c r="G24" s="13">
        <f t="shared" si="1"/>
        <v>19956.83</v>
      </c>
      <c r="H24" s="13">
        <f t="shared" si="1"/>
        <v>20297.408</v>
      </c>
      <c r="I24" s="13">
        <f t="shared" si="1"/>
        <v>1799.0840000000007</v>
      </c>
      <c r="J24" s="13">
        <f t="shared" si="1"/>
        <v>537.0400000000001</v>
      </c>
      <c r="K24" s="13">
        <f t="shared" si="1"/>
        <v>11358.396000000002</v>
      </c>
      <c r="L24" s="13">
        <f t="shared" si="1"/>
        <v>10129</v>
      </c>
      <c r="M24" s="13">
        <f t="shared" si="1"/>
        <v>23823.520000000004</v>
      </c>
      <c r="N24" s="13">
        <f t="shared" si="1"/>
        <v>-3526.112000000002</v>
      </c>
      <c r="O24" s="13">
        <f>O22</f>
        <v>-9954.152000000002</v>
      </c>
      <c r="P24" s="14"/>
      <c r="Q24" s="10"/>
    </row>
    <row r="25" spans="1:17" ht="12.75">
      <c r="A25" s="1" t="s">
        <v>66</v>
      </c>
      <c r="B25" s="49"/>
      <c r="C25" s="50"/>
      <c r="D25" s="51"/>
      <c r="E25" s="52"/>
      <c r="F25" s="53"/>
      <c r="G25" s="54"/>
      <c r="H25" s="53"/>
      <c r="I25" s="54"/>
      <c r="J25" s="55"/>
      <c r="K25" s="56"/>
      <c r="L25" s="57"/>
      <c r="M25" s="58"/>
      <c r="N25" s="59"/>
      <c r="O25" s="59"/>
      <c r="P25" s="24"/>
      <c r="Q25" s="24"/>
    </row>
    <row r="26" spans="1:17" ht="12.75">
      <c r="A26" s="60" t="s">
        <v>67</v>
      </c>
      <c r="B26" s="105">
        <f>'2012'!B21</f>
        <v>383.6</v>
      </c>
      <c r="C26" s="50">
        <f>'2012'!C21</f>
        <v>3279.7800000000007</v>
      </c>
      <c r="D26" s="106">
        <f>'2012'!D21</f>
        <v>48.654</v>
      </c>
      <c r="E26" s="52">
        <f>'2012'!I21</f>
        <v>3325.4</v>
      </c>
      <c r="F26" s="107">
        <f>'2012'!H21</f>
        <v>0</v>
      </c>
      <c r="G26" s="108">
        <f>'2012'!M21</f>
        <v>2175.66</v>
      </c>
      <c r="H26" s="108">
        <f>'2012'!N21</f>
        <v>2224.314</v>
      </c>
      <c r="I26" s="55">
        <f>'2012'!P21</f>
        <v>257.01200000000006</v>
      </c>
      <c r="J26" s="55">
        <f>'2012'!Q21</f>
        <v>76.72000000000001</v>
      </c>
      <c r="K26" s="62">
        <f>'2012'!R21+'2012'!S21</f>
        <v>1327.256</v>
      </c>
      <c r="L26" s="57">
        <f>'2012'!U21+'2012'!V21+'2012'!W21</f>
        <v>0</v>
      </c>
      <c r="M26" s="58">
        <f>'2012'!AA21</f>
        <v>1660.988</v>
      </c>
      <c r="N26" s="109">
        <f>'2012'!AB21</f>
        <v>563.3259999999998</v>
      </c>
      <c r="O26" s="109">
        <f>'2012'!AC21</f>
        <v>-1149.7400000000002</v>
      </c>
      <c r="P26" s="24"/>
      <c r="Q26" s="24"/>
    </row>
    <row r="27" spans="1:17" ht="12.75">
      <c r="A27" s="60" t="s">
        <v>68</v>
      </c>
      <c r="B27" s="105">
        <f>'2012'!B22</f>
        <v>383.6</v>
      </c>
      <c r="C27" s="50">
        <f>'2012'!C22</f>
        <v>3279.7800000000007</v>
      </c>
      <c r="D27" s="106">
        <f>'2012'!D22</f>
        <v>48.654</v>
      </c>
      <c r="E27" s="52">
        <f>'2012'!I22</f>
        <v>3325.4</v>
      </c>
      <c r="F27" s="107">
        <f>'2012'!H22</f>
        <v>0</v>
      </c>
      <c r="G27" s="108">
        <f>'2012'!M22</f>
        <v>2939.87</v>
      </c>
      <c r="H27" s="108">
        <f>'2012'!N22</f>
        <v>2988.524</v>
      </c>
      <c r="I27" s="55">
        <f>'2012'!P22</f>
        <v>257.01200000000006</v>
      </c>
      <c r="J27" s="55">
        <f>'2012'!Q22</f>
        <v>76.72000000000001</v>
      </c>
      <c r="K27" s="62">
        <f>'2012'!R22+'2012'!S22</f>
        <v>1327.256</v>
      </c>
      <c r="L27" s="57">
        <f>'2012'!U22+'2012'!V22+'2012'!W22</f>
        <v>262.5</v>
      </c>
      <c r="M27" s="58">
        <f>'2012'!AA22</f>
        <v>1923.488</v>
      </c>
      <c r="N27" s="109">
        <f>'2012'!AB22</f>
        <v>1065.0359999999998</v>
      </c>
      <c r="O27" s="109">
        <f>'2012'!AC22</f>
        <v>-385.5300000000002</v>
      </c>
      <c r="P27" s="24"/>
      <c r="Q27" s="24"/>
    </row>
    <row r="28" spans="1:17" ht="12.75">
      <c r="A28" s="60" t="s">
        <v>69</v>
      </c>
      <c r="B28" s="105">
        <f>'2012'!B23</f>
        <v>383.6</v>
      </c>
      <c r="C28" s="50">
        <f>'2012'!C23</f>
        <v>3279.7800000000007</v>
      </c>
      <c r="D28" s="106">
        <f>'2012'!D23</f>
        <v>48.654</v>
      </c>
      <c r="E28" s="52">
        <f>'2012'!I23</f>
        <v>3325.4</v>
      </c>
      <c r="F28" s="107">
        <f>'2012'!H23</f>
        <v>0</v>
      </c>
      <c r="G28" s="108">
        <f>'2012'!M23</f>
        <v>2488.8500000000004</v>
      </c>
      <c r="H28" s="108">
        <f>'2012'!N23</f>
        <v>2537.5040000000004</v>
      </c>
      <c r="I28" s="55">
        <f>'2012'!P23</f>
        <v>257.01200000000006</v>
      </c>
      <c r="J28" s="55">
        <f>'2012'!Q23</f>
        <v>76.72000000000001</v>
      </c>
      <c r="K28" s="62">
        <f>'2012'!R23+'2012'!S23</f>
        <v>1703.1840000000002</v>
      </c>
      <c r="L28" s="57">
        <f>'2012'!U23+'2012'!V23+'2012'!W23</f>
        <v>9</v>
      </c>
      <c r="M28" s="58">
        <f>'2012'!AA23</f>
        <v>2045.9160000000002</v>
      </c>
      <c r="N28" s="109">
        <f>'2012'!AB23</f>
        <v>491.5880000000002</v>
      </c>
      <c r="O28" s="109">
        <f>'2012'!AC23</f>
        <v>-836.5499999999997</v>
      </c>
      <c r="P28" s="24"/>
      <c r="Q28" s="24"/>
    </row>
    <row r="29" spans="1:17" ht="12.75">
      <c r="A29" s="60" t="s">
        <v>70</v>
      </c>
      <c r="B29" s="105">
        <f>'2012'!B24</f>
        <v>383.6</v>
      </c>
      <c r="C29" s="50">
        <f>'2012'!C24</f>
        <v>3279.7800000000007</v>
      </c>
      <c r="D29" s="106">
        <f>'2012'!D24</f>
        <v>48.654</v>
      </c>
      <c r="E29" s="52">
        <f>'2012'!I24</f>
        <v>3325.4</v>
      </c>
      <c r="F29" s="107">
        <f>'2012'!H24</f>
        <v>0</v>
      </c>
      <c r="G29" s="108">
        <f>'2012'!M24</f>
        <v>3052.48</v>
      </c>
      <c r="H29" s="108">
        <f>'2012'!N24</f>
        <v>3101.134</v>
      </c>
      <c r="I29" s="55">
        <f>'2012'!P24</f>
        <v>257.01200000000006</v>
      </c>
      <c r="J29" s="55">
        <f>'2012'!Q24</f>
        <v>76.72000000000001</v>
      </c>
      <c r="K29" s="62">
        <f>'2012'!R24+'2012'!S24</f>
        <v>1703.1840000000002</v>
      </c>
      <c r="L29" s="57">
        <f>'2012'!U24+'2012'!V24+'2012'!W24</f>
        <v>536.27</v>
      </c>
      <c r="M29" s="58">
        <f>'2012'!AA24</f>
        <v>2573.186</v>
      </c>
      <c r="N29" s="109">
        <f>'2012'!AB24</f>
        <v>527.9479999999999</v>
      </c>
      <c r="O29" s="109">
        <f>'2012'!AC24</f>
        <v>-272.9200000000001</v>
      </c>
      <c r="P29" s="24"/>
      <c r="Q29" s="24"/>
    </row>
    <row r="30" spans="1:17" ht="12.75">
      <c r="A30" s="60" t="s">
        <v>71</v>
      </c>
      <c r="B30" s="105">
        <f>'2012'!B25</f>
        <v>383.6</v>
      </c>
      <c r="C30" s="50">
        <f>'2012'!C25</f>
        <v>3279.7800000000007</v>
      </c>
      <c r="D30" s="106">
        <f>'2012'!D25</f>
        <v>48.654</v>
      </c>
      <c r="E30" s="52">
        <f>'2012'!I25</f>
        <v>3333.95</v>
      </c>
      <c r="F30" s="107">
        <f>'2012'!H25</f>
        <v>0</v>
      </c>
      <c r="G30" s="108">
        <f>'2012'!M25</f>
        <v>2485.72</v>
      </c>
      <c r="H30" s="108">
        <f>'2012'!N25</f>
        <v>2534.374</v>
      </c>
      <c r="I30" s="55">
        <f>'2012'!P25</f>
        <v>257.01200000000006</v>
      </c>
      <c r="J30" s="55">
        <f>'2012'!Q25</f>
        <v>76.72000000000001</v>
      </c>
      <c r="K30" s="62">
        <f>'2012'!R25+'2012'!S25</f>
        <v>1703.1840000000002</v>
      </c>
      <c r="L30" s="57">
        <f>'2012'!U25+'2012'!V25+'2012'!W25</f>
        <v>91.97</v>
      </c>
      <c r="M30" s="58">
        <f>'2012'!AA25</f>
        <v>2128.886</v>
      </c>
      <c r="N30" s="109">
        <f>'2012'!AB25</f>
        <v>405.48799999999983</v>
      </c>
      <c r="O30" s="109">
        <f>'2012'!AC25</f>
        <v>-848.23</v>
      </c>
      <c r="P30" s="24"/>
      <c r="Q30" s="24"/>
    </row>
    <row r="31" spans="1:17" ht="12.75">
      <c r="A31" s="60" t="s">
        <v>21</v>
      </c>
      <c r="B31" s="105">
        <f>'2012'!B26</f>
        <v>383.6</v>
      </c>
      <c r="C31" s="50">
        <f>'2012'!C26</f>
        <v>3279.7800000000007</v>
      </c>
      <c r="D31" s="106">
        <f>'2012'!D26</f>
        <v>48.654</v>
      </c>
      <c r="E31" s="52">
        <f>'2012'!I26</f>
        <v>3333.95</v>
      </c>
      <c r="F31" s="107">
        <f>'2012'!H26</f>
        <v>0</v>
      </c>
      <c r="G31" s="108">
        <f>'2012'!M26</f>
        <v>2067.48</v>
      </c>
      <c r="H31" s="108">
        <f>'2012'!N26</f>
        <v>2116.134</v>
      </c>
      <c r="I31" s="55">
        <f>'2012'!P26</f>
        <v>257.01200000000006</v>
      </c>
      <c r="J31" s="55">
        <f>'2012'!Q26</f>
        <v>76.72000000000001</v>
      </c>
      <c r="K31" s="62">
        <f>'2012'!R26+'2012'!S26</f>
        <v>1703.1840000000002</v>
      </c>
      <c r="L31" s="57">
        <f>'2012'!U26+'2012'!V26+'2012'!W26</f>
        <v>0</v>
      </c>
      <c r="M31" s="58">
        <f>'2012'!AA26</f>
        <v>2036.9160000000002</v>
      </c>
      <c r="N31" s="109">
        <f>'2012'!AB26</f>
        <v>79.21799999999985</v>
      </c>
      <c r="O31" s="109">
        <f>'2012'!AC26</f>
        <v>-1266.4699999999998</v>
      </c>
      <c r="P31" s="24"/>
      <c r="Q31" s="24"/>
    </row>
    <row r="32" spans="1:17" ht="12.75">
      <c r="A32" s="60" t="s">
        <v>22</v>
      </c>
      <c r="B32" s="105">
        <f>'2012'!B27</f>
        <v>383.6</v>
      </c>
      <c r="C32" s="50">
        <f>'2012'!C27</f>
        <v>3648.036</v>
      </c>
      <c r="D32" s="106">
        <f>'2012'!D27</f>
        <v>65.1105</v>
      </c>
      <c r="E32" s="52">
        <f>'2012'!I27</f>
        <v>3648.04</v>
      </c>
      <c r="F32" s="107">
        <f>'2012'!H27</f>
        <v>0</v>
      </c>
      <c r="G32" s="108">
        <f>'2012'!M27</f>
        <v>1953.0699999999997</v>
      </c>
      <c r="H32" s="108">
        <f>'2012'!N27</f>
        <v>2018.1804999999997</v>
      </c>
      <c r="I32" s="55">
        <f>'2012'!P27</f>
        <v>257.01200000000006</v>
      </c>
      <c r="J32" s="55">
        <f>'2012'!Q27</f>
        <v>76.72000000000001</v>
      </c>
      <c r="K32" s="62">
        <f>'2012'!R27+'2012'!S27</f>
        <v>1703.1840000000002</v>
      </c>
      <c r="L32" s="57">
        <f>'2012'!U27+'2012'!V27+'2012'!W27</f>
        <v>50000</v>
      </c>
      <c r="M32" s="58">
        <f>'2012'!AA27</f>
        <v>52036.916</v>
      </c>
      <c r="N32" s="109">
        <f>'2012'!AB27</f>
        <v>-50018.735499999995</v>
      </c>
      <c r="O32" s="109">
        <f>'2012'!AC27</f>
        <v>-1694.9700000000003</v>
      </c>
      <c r="P32" s="24"/>
      <c r="Q32" s="24"/>
    </row>
    <row r="33" spans="1:17" ht="12.75">
      <c r="A33" s="60" t="s">
        <v>23</v>
      </c>
      <c r="B33" s="105">
        <f>'2012'!B28</f>
        <v>383.6</v>
      </c>
      <c r="C33" s="50">
        <f>'2012'!C28</f>
        <v>3648.036</v>
      </c>
      <c r="D33" s="106">
        <f>'2012'!D28</f>
        <v>0</v>
      </c>
      <c r="E33" s="52">
        <f>'2012'!I28</f>
        <v>18984.43</v>
      </c>
      <c r="F33" s="107">
        <f>'2012'!H28</f>
        <v>0</v>
      </c>
      <c r="G33" s="108">
        <f>'2012'!M28</f>
        <v>3717.8599999999997</v>
      </c>
      <c r="H33" s="108">
        <f>'2012'!N28</f>
        <v>3717.8599999999997</v>
      </c>
      <c r="I33" s="55">
        <f>'2012'!P28</f>
        <v>257.01200000000006</v>
      </c>
      <c r="J33" s="55">
        <f>'2012'!Q28</f>
        <v>76.72000000000001</v>
      </c>
      <c r="K33" s="62">
        <f>'2012'!R28+'2012'!S28</f>
        <v>1703.1840000000002</v>
      </c>
      <c r="L33" s="57">
        <f>'2012'!U28+'2012'!V28+'2012'!W28</f>
        <v>0</v>
      </c>
      <c r="M33" s="58">
        <f>'2012'!AA28</f>
        <v>2036.9160000000002</v>
      </c>
      <c r="N33" s="109">
        <f>'2012'!AB28</f>
        <v>1680.9439999999995</v>
      </c>
      <c r="O33" s="109">
        <f>'2012'!AC28</f>
        <v>-15266.57</v>
      </c>
      <c r="P33" s="24"/>
      <c r="Q33" s="24"/>
    </row>
    <row r="34" spans="1:17" ht="12.75">
      <c r="A34" s="60" t="s">
        <v>24</v>
      </c>
      <c r="B34" s="105">
        <f>'2012'!B29</f>
        <v>383.6</v>
      </c>
      <c r="C34" s="50">
        <f>'2012'!C29</f>
        <v>18984.364</v>
      </c>
      <c r="D34" s="106">
        <f>'2012'!D29</f>
        <v>0</v>
      </c>
      <c r="E34" s="52">
        <f>'2012'!I29</f>
        <v>18984.43</v>
      </c>
      <c r="F34" s="107">
        <f>'2012'!H29</f>
        <v>0</v>
      </c>
      <c r="G34" s="108">
        <f>'2012'!M29</f>
        <v>18261.16</v>
      </c>
      <c r="H34" s="108">
        <f>'2012'!N29</f>
        <v>18261.16</v>
      </c>
      <c r="I34" s="55">
        <f>'2012'!P29</f>
        <v>257.01200000000006</v>
      </c>
      <c r="J34" s="55">
        <f>'2012'!Q29</f>
        <v>76.72000000000001</v>
      </c>
      <c r="K34" s="62">
        <f>'2012'!R29+'2012'!S29</f>
        <v>1703.1840000000002</v>
      </c>
      <c r="L34" s="57">
        <f>'2012'!U29+'2012'!V29+'2012'!W29</f>
        <v>0</v>
      </c>
      <c r="M34" s="58">
        <f>'2012'!AA29</f>
        <v>2036.9160000000002</v>
      </c>
      <c r="N34" s="109">
        <f>'2012'!AB29</f>
        <v>16224.243999999999</v>
      </c>
      <c r="O34" s="109">
        <f>'2012'!AC29</f>
        <v>-723.2700000000004</v>
      </c>
      <c r="P34" s="24"/>
      <c r="Q34" s="24"/>
    </row>
    <row r="35" spans="1:17" ht="12.75">
      <c r="A35" s="60" t="s">
        <v>18</v>
      </c>
      <c r="B35" s="105">
        <f>'2012'!B30</f>
        <v>383.6</v>
      </c>
      <c r="C35" s="50">
        <f>'2012'!C30</f>
        <v>18984.364</v>
      </c>
      <c r="D35" s="106">
        <f>'2012'!D30</f>
        <v>0</v>
      </c>
      <c r="E35" s="52">
        <f>'2012'!I30</f>
        <v>18984.43</v>
      </c>
      <c r="F35" s="107">
        <f>'2012'!H30</f>
        <v>0</v>
      </c>
      <c r="G35" s="108">
        <f>'2012'!M30</f>
        <v>22692.160000000003</v>
      </c>
      <c r="H35" s="108">
        <f>'2012'!N30</f>
        <v>22692.160000000003</v>
      </c>
      <c r="I35" s="55">
        <f>'2012'!P30</f>
        <v>257.01200000000006</v>
      </c>
      <c r="J35" s="55">
        <f>'2012'!Q30</f>
        <v>76.72000000000001</v>
      </c>
      <c r="K35" s="62">
        <f>'2012'!R30+'2012'!S30</f>
        <v>1703.1840000000002</v>
      </c>
      <c r="L35" s="57">
        <f>'2012'!U30+'2012'!V30+'2012'!W30</f>
        <v>0</v>
      </c>
      <c r="M35" s="58">
        <f>'2012'!AA30</f>
        <v>2036.9160000000002</v>
      </c>
      <c r="N35" s="109">
        <f>'2012'!AB30</f>
        <v>20655.244000000002</v>
      </c>
      <c r="O35" s="109">
        <f>'2012'!AC30</f>
        <v>3707.730000000003</v>
      </c>
      <c r="P35" s="24"/>
      <c r="Q35" s="24"/>
    </row>
    <row r="36" spans="1:17" ht="12.75">
      <c r="A36" s="60" t="s">
        <v>19</v>
      </c>
      <c r="B36" s="105">
        <f>'2012'!B31</f>
        <v>383.6</v>
      </c>
      <c r="C36" s="50">
        <f>'2012'!C31</f>
        <v>18984.364</v>
      </c>
      <c r="D36" s="106">
        <f>'2012'!D31</f>
        <v>0</v>
      </c>
      <c r="E36" s="52">
        <f>'2012'!I31</f>
        <v>18984.43</v>
      </c>
      <c r="F36" s="107">
        <f>'2012'!H31</f>
        <v>0</v>
      </c>
      <c r="G36" s="108">
        <f>'2012'!M31</f>
        <v>20414.07</v>
      </c>
      <c r="H36" s="108">
        <f>'2012'!N31</f>
        <v>20414.07</v>
      </c>
      <c r="I36" s="55">
        <f>'2012'!P31</f>
        <v>257.01200000000006</v>
      </c>
      <c r="J36" s="55">
        <f>'2012'!Q31</f>
        <v>76.72000000000001</v>
      </c>
      <c r="K36" s="62">
        <f>'2012'!R31+'2012'!S31</f>
        <v>1703.1840000000002</v>
      </c>
      <c r="L36" s="57">
        <f>'2012'!U31+'2012'!V31+'2012'!W31</f>
        <v>0</v>
      </c>
      <c r="M36" s="58">
        <f>'2012'!AA31</f>
        <v>2036.9160000000002</v>
      </c>
      <c r="N36" s="109">
        <f>'2012'!AB31</f>
        <v>18377.154</v>
      </c>
      <c r="O36" s="109">
        <f>'2012'!AC31</f>
        <v>1429.6399999999994</v>
      </c>
      <c r="P36" s="24"/>
      <c r="Q36" s="24"/>
    </row>
    <row r="37" spans="1:17" ht="13.5" thickBot="1">
      <c r="A37" s="60" t="s">
        <v>20</v>
      </c>
      <c r="B37" s="105">
        <f>'2012'!B32</f>
        <v>383.6</v>
      </c>
      <c r="C37" s="50">
        <f>'2012'!C32</f>
        <v>5236.14</v>
      </c>
      <c r="D37" s="106">
        <f>'2012'!D32</f>
        <v>0</v>
      </c>
      <c r="E37" s="52">
        <f>'2012'!I32</f>
        <v>5646.6</v>
      </c>
      <c r="F37" s="107">
        <f>'2012'!H32</f>
        <v>0</v>
      </c>
      <c r="G37" s="108">
        <f>'2012'!M32</f>
        <v>6350.95</v>
      </c>
      <c r="H37" s="108">
        <f>'2012'!N32</f>
        <v>6350.95</v>
      </c>
      <c r="I37" s="55">
        <f>'2012'!P32</f>
        <v>257.01200000000006</v>
      </c>
      <c r="J37" s="55">
        <f>'2012'!Q32</f>
        <v>76.72000000000001</v>
      </c>
      <c r="K37" s="62">
        <f>'2012'!R32+'2012'!S32</f>
        <v>1703.1840000000002</v>
      </c>
      <c r="L37" s="57">
        <f>'2012'!U32+'2012'!V32+'2012'!W32</f>
        <v>0</v>
      </c>
      <c r="M37" s="58">
        <f>'2012'!AA32</f>
        <v>2036.9160000000002</v>
      </c>
      <c r="N37" s="109">
        <f>'2012'!AB32</f>
        <v>4314.034</v>
      </c>
      <c r="O37" s="109">
        <f>'2012'!AC32</f>
        <v>704.3499999999995</v>
      </c>
      <c r="P37" s="24"/>
      <c r="Q37" s="24"/>
    </row>
    <row r="38" spans="1:17" s="2" customFormat="1" ht="13.5" thickBot="1">
      <c r="A38" s="7" t="s">
        <v>3</v>
      </c>
      <c r="B38" s="8"/>
      <c r="C38" s="9">
        <f aca="true" t="shared" si="2" ref="C38:N38">SUM(C26:C37)</f>
        <v>89163.98400000001</v>
      </c>
      <c r="D38" s="9">
        <f t="shared" si="2"/>
        <v>357.03450000000004</v>
      </c>
      <c r="E38" s="9">
        <f t="shared" si="2"/>
        <v>105201.86000000002</v>
      </c>
      <c r="F38" s="9">
        <f t="shared" si="2"/>
        <v>0</v>
      </c>
      <c r="G38" s="9">
        <f t="shared" si="2"/>
        <v>88599.33</v>
      </c>
      <c r="H38" s="9">
        <f t="shared" si="2"/>
        <v>88956.36450000001</v>
      </c>
      <c r="I38" s="9">
        <f t="shared" si="2"/>
        <v>3084.1440000000016</v>
      </c>
      <c r="J38" s="9">
        <f t="shared" si="2"/>
        <v>920.6400000000002</v>
      </c>
      <c r="K38" s="9">
        <f t="shared" si="2"/>
        <v>19686.352000000006</v>
      </c>
      <c r="L38" s="9">
        <f t="shared" si="2"/>
        <v>50899.74</v>
      </c>
      <c r="M38" s="9">
        <f t="shared" si="2"/>
        <v>74590.87599999999</v>
      </c>
      <c r="N38" s="9">
        <f t="shared" si="2"/>
        <v>14365.4885</v>
      </c>
      <c r="O38" s="9">
        <f>SUM(O26:O37)</f>
        <v>-16602.53</v>
      </c>
      <c r="P38" s="10"/>
      <c r="Q38" s="10"/>
    </row>
    <row r="39" spans="1:17" ht="13.5" thickBot="1">
      <c r="A39" s="172" t="s">
        <v>37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63"/>
      <c r="P39" s="24"/>
      <c r="Q39" s="24"/>
    </row>
    <row r="40" spans="1:17" s="2" customFormat="1" ht="13.5" thickBot="1">
      <c r="A40" s="11" t="s">
        <v>25</v>
      </c>
      <c r="B40" s="12"/>
      <c r="C40" s="13">
        <f aca="true" t="shared" si="3" ref="C40:N40">C38+C24</f>
        <v>112122.44400000002</v>
      </c>
      <c r="D40" s="13">
        <f t="shared" si="3"/>
        <v>697.6125000000001</v>
      </c>
      <c r="E40" s="13">
        <f t="shared" si="3"/>
        <v>135453.42</v>
      </c>
      <c r="F40" s="13">
        <f t="shared" si="3"/>
        <v>0</v>
      </c>
      <c r="G40" s="13">
        <f t="shared" si="3"/>
        <v>108556.16</v>
      </c>
      <c r="H40" s="13">
        <f t="shared" si="3"/>
        <v>109253.7725</v>
      </c>
      <c r="I40" s="13">
        <f t="shared" si="3"/>
        <v>4883.228000000003</v>
      </c>
      <c r="J40" s="13">
        <f t="shared" si="3"/>
        <v>1457.6800000000003</v>
      </c>
      <c r="K40" s="13">
        <f t="shared" si="3"/>
        <v>31044.748000000007</v>
      </c>
      <c r="L40" s="13">
        <f t="shared" si="3"/>
        <v>61028.74</v>
      </c>
      <c r="M40" s="13">
        <f t="shared" si="3"/>
        <v>98414.396</v>
      </c>
      <c r="N40" s="13">
        <f t="shared" si="3"/>
        <v>10839.376499999998</v>
      </c>
      <c r="O40" s="13">
        <f>O38+O24</f>
        <v>-26556.682</v>
      </c>
      <c r="P40" s="14"/>
      <c r="Q40" s="10"/>
    </row>
    <row r="42" spans="1:17" ht="12.75">
      <c r="A42" s="2" t="s">
        <v>63</v>
      </c>
      <c r="D42" s="64" t="s">
        <v>73</v>
      </c>
      <c r="P42" s="24"/>
      <c r="Q42" s="24"/>
    </row>
    <row r="43" spans="1:17" ht="12.75">
      <c r="A43" s="22" t="s">
        <v>41</v>
      </c>
      <c r="B43" s="22" t="s">
        <v>42</v>
      </c>
      <c r="C43" s="174" t="s">
        <v>43</v>
      </c>
      <c r="D43" s="174"/>
      <c r="P43" s="24"/>
      <c r="Q43" s="24"/>
    </row>
    <row r="44" spans="1:17" ht="12.75">
      <c r="A44" s="65">
        <v>7630.02</v>
      </c>
      <c r="B44" s="65">
        <v>0</v>
      </c>
      <c r="C44" s="175">
        <v>0</v>
      </c>
      <c r="D44" s="176"/>
      <c r="P44" s="24"/>
      <c r="Q44" s="24"/>
    </row>
    <row r="45" spans="1:17" ht="12.75">
      <c r="A45" s="23"/>
      <c r="P45" s="24"/>
      <c r="Q45" s="24"/>
    </row>
    <row r="46" spans="1:17" ht="12.75">
      <c r="A46" s="21" t="s">
        <v>44</v>
      </c>
      <c r="G46" s="21" t="s">
        <v>45</v>
      </c>
      <c r="P46" s="24"/>
      <c r="Q46" s="24"/>
    </row>
    <row r="47" ht="12.75">
      <c r="A47" s="24"/>
    </row>
    <row r="48" ht="12.75">
      <c r="A48" s="64" t="s">
        <v>57</v>
      </c>
    </row>
    <row r="49" ht="12.75">
      <c r="A49" s="21" t="s">
        <v>58</v>
      </c>
    </row>
  </sheetData>
  <sheetProtection/>
  <mergeCells count="26">
    <mergeCell ref="A8:D8"/>
    <mergeCell ref="E8:F8"/>
    <mergeCell ref="B1:H1"/>
    <mergeCell ref="B2:H2"/>
    <mergeCell ref="A5:N5"/>
    <mergeCell ref="A6:G6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23:N23"/>
    <mergeCell ref="C43:D43"/>
    <mergeCell ref="C44:D44"/>
    <mergeCell ref="I9:M10"/>
    <mergeCell ref="N9:N12"/>
    <mergeCell ref="A9:A12"/>
    <mergeCell ref="B9:B12"/>
    <mergeCell ref="C9:C12"/>
    <mergeCell ref="D9:D12"/>
    <mergeCell ref="A39:N39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2010-06-15T10:55:48Z</cp:lastPrinted>
  <dcterms:created xsi:type="dcterms:W3CDTF">2010-04-03T04:08:20Z</dcterms:created>
  <dcterms:modified xsi:type="dcterms:W3CDTF">2013-07-17T16:04:33Z</dcterms:modified>
  <cp:category/>
  <cp:version/>
  <cp:contentType/>
  <cp:contentStatus/>
</cp:coreProperties>
</file>