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firstSheet="3" activeTab="3"/>
  </bookViews>
  <sheets>
    <sheet name="Лист1" sheetId="1" state="hidden" r:id="rId1"/>
    <sheet name="Лист2" sheetId="2" state="hidden" r:id="rId2"/>
    <sheet name="2012 полн" sheetId="3" state="hidden" r:id="rId3"/>
    <sheet name="2012 печать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<sst xmlns="http://schemas.openxmlformats.org/spreadsheetml/2006/main" count="343" uniqueCount="126">
  <si>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</si>
  <si>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</si>
  <si>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</si>
  <si>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</si>
  <si>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</si>
  <si>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</si>
  <si>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</si>
  <si>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</si>
  <si>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</si>
  <si>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</si>
  <si>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</si>
  <si>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</si>
  <si>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</si>
  <si>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</si>
  <si>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</si>
  <si>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</si>
  <si>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</si>
  <si>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</si>
  <si>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</si>
  <si>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</si>
  <si>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</si>
  <si>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</si>
  <si>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</si>
  <si>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</si>
  <si>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</si>
  <si>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</si>
  <si>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</si>
  <si>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</si>
  <si>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</si>
  <si>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</si>
  <si>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</si>
  <si>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</si>
  <si>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</si>
  <si>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</si>
  <si>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</si>
  <si>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</si>
  <si>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</si>
  <si>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</si>
  <si>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</si>
  <si>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</si>
  <si>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</si>
  <si>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</si>
  <si>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</si>
  <si>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</si>
  <si>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</si>
  <si>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</si>
  <si>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</si>
  <si>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</si>
  <si>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</si>
  <si>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</si>
  <si>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</si>
  <si>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</si>
  <si>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</si>
  <si>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</si>
  <si>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</si>
  <si>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</si>
  <si>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</si>
  <si>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</si>
  <si>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</si>
  <si>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</si>
  <si>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</si>
  <si>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</si>
  <si>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</si>
  <si>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</si>
  <si>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</si>
  <si>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</si>
  <si>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</si>
  <si>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</si>
  <si>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</si>
  <si>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</si>
  <si>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</si>
  <si>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</si>
  <si>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</si>
  <si>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</si>
  <si>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</si>
  <si>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</si>
  <si>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</si>
  <si>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Доп. работы по содержанию ТУК</t>
  </si>
  <si>
    <t>Эл.энергия МОП</t>
  </si>
  <si>
    <t>норма часов горения</t>
  </si>
  <si>
    <t>кол-во кВт</t>
  </si>
  <si>
    <t>стоимость итого</t>
  </si>
  <si>
    <t>Тек. Ремонт ООО "ТУК"</t>
  </si>
  <si>
    <t>Тек. Ремонт ООО "УЖХ"</t>
  </si>
  <si>
    <t>Исп. Ю.С. Дмитриева</t>
  </si>
  <si>
    <t>Выписка по лицевому счету по адресу г. Таштагол, ул. Коммунальная, д. 4</t>
  </si>
  <si>
    <t>Лицевой счет по адресу г. Таштагол, ул. ул. Коммунальная, д. 4</t>
  </si>
  <si>
    <t>Расходы по нежил. помещениям</t>
  </si>
  <si>
    <t>Капитальный ремонт</t>
  </si>
  <si>
    <t>2010 год</t>
  </si>
  <si>
    <t>*по состоянию на 01.01.2011 г.</t>
  </si>
  <si>
    <t>на 01.01.2011 г.</t>
  </si>
  <si>
    <t>Начислено населению</t>
  </si>
  <si>
    <t>Доходы по нежил.помещениям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</si>
  <si>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</si>
  <si>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</si>
  <si>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</si>
  <si>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</si>
  <si>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</si>
  <si>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</si>
  <si>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</si>
  <si>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</si>
  <si>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</si>
  <si>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</si>
  <si>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</si>
  <si>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</si>
  <si>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</si>
  <si>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</si>
  <si>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</si>
  <si>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</si>
  <si>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</si>
  <si>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</si>
  <si>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</si>
  <si>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</si>
  <si>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</si>
  <si>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Собрано квартплаты от населения</t>
  </si>
  <si>
    <t>Услуга начисления</t>
  </si>
  <si>
    <t>Собрано по содержанию и тек.рем.</t>
  </si>
  <si>
    <t>на начало отчетного периода</t>
  </si>
  <si>
    <t>Выписка по лицевому счету по адресу г. Таштагол ул. Коммунальная, д.4</t>
  </si>
  <si>
    <t>Содержание сетей тепло, водоснабжения и водоотведения</t>
  </si>
  <si>
    <t>Лицевой счет по адресу г. Таштагол, ул. Коммунальная, д.4</t>
  </si>
  <si>
    <t>2012 год</t>
  </si>
  <si>
    <t>на 01.01.2013 г.</t>
  </si>
  <si>
    <t>*по состоянию на 01.05.2013 г.</t>
  </si>
  <si>
    <t>Исп. В.В. Колмогорова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</si>
</sst>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0" fillId="24" borderId="11" xfId="0" applyNumberFormat="1" applyFont="1" applyFill="1" applyBorder="1" applyAlignment="1">
      <alignment/>
    </xf>
    <xf numFmtId="0" fontId="0" fillId="24" borderId="11" xfId="0" applyFont="1" applyFill="1" applyBorder="1" applyAlignment="1">
      <alignment vertical="center" wrapText="1"/>
    </xf>
    <xf numFmtId="4" fontId="0" fillId="22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24" borderId="11" xfId="0" applyNumberFormat="1" applyFont="1" applyFill="1" applyBorder="1" applyAlignment="1">
      <alignment wrapText="1"/>
    </xf>
    <xf numFmtId="4" fontId="1" fillId="22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22" borderId="11" xfId="0" applyFont="1" applyFill="1" applyBorder="1" applyAlignment="1">
      <alignment vertical="center" wrapText="1"/>
    </xf>
    <xf numFmtId="4" fontId="0" fillId="24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right" vertical="center" wrapText="1"/>
      <protection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1" xfId="0" applyNumberFormat="1" applyFont="1" applyFill="1" applyBorder="1" applyAlignment="1">
      <alignment wrapText="1"/>
    </xf>
    <xf numFmtId="4" fontId="2" fillId="0" borderId="31" xfId="34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7" fillId="0" borderId="33" xfId="34" applyNumberFormat="1" applyFont="1" applyFill="1" applyBorder="1" applyAlignment="1">
      <alignment horizontal="right" vertical="center" wrapText="1"/>
      <protection/>
    </xf>
    <xf numFmtId="4" fontId="7" fillId="0" borderId="26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wrapText="1"/>
    </xf>
    <xf numFmtId="0" fontId="0" fillId="24" borderId="20" xfId="0" applyFont="1" applyFill="1" applyBorder="1" applyAlignment="1">
      <alignment horizontal="right" vertical="center" wrapText="1"/>
    </xf>
    <xf numFmtId="4" fontId="1" fillId="24" borderId="11" xfId="0" applyNumberFormat="1" applyFont="1" applyFill="1" applyBorder="1" applyAlignment="1">
      <alignment horizontal="right" wrapText="1"/>
    </xf>
    <xf numFmtId="0" fontId="0" fillId="24" borderId="11" xfId="0" applyFont="1" applyFill="1" applyBorder="1" applyAlignment="1">
      <alignment horizontal="right" vertical="center" wrapText="1"/>
    </xf>
    <xf numFmtId="4" fontId="7" fillId="0" borderId="35" xfId="34" applyNumberFormat="1" applyFont="1" applyFill="1" applyBorder="1" applyAlignment="1">
      <alignment horizontal="right" vertical="center" wrapText="1"/>
      <protection/>
    </xf>
    <xf numFmtId="4" fontId="7" fillId="0" borderId="34" xfId="34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24" borderId="11" xfId="0" applyNumberFormat="1" applyFont="1" applyFill="1" applyBorder="1" applyAlignment="1">
      <alignment horizontal="right" vertical="center" wrapText="1"/>
    </xf>
    <xf numFmtId="4" fontId="0" fillId="24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right" wrapText="1"/>
    </xf>
    <xf numFmtId="4" fontId="1" fillId="22" borderId="11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 horizontal="right"/>
    </xf>
    <xf numFmtId="4" fontId="1" fillId="22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2" fontId="1" fillId="22" borderId="11" xfId="0" applyNumberFormat="1" applyFont="1" applyFill="1" applyBorder="1" applyAlignment="1">
      <alignment horizontal="center" vertical="center" wrapText="1"/>
    </xf>
    <xf numFmtId="2" fontId="1" fillId="22" borderId="17" xfId="0" applyNumberFormat="1" applyFont="1" applyFill="1" applyBorder="1" applyAlignment="1">
      <alignment horizontal="center" vertical="center" wrapText="1"/>
    </xf>
    <xf numFmtId="2" fontId="1" fillId="22" borderId="38" xfId="0" applyNumberFormat="1" applyFont="1" applyFill="1" applyBorder="1" applyAlignment="1">
      <alignment horizontal="center" vertical="center" wrapText="1"/>
    </xf>
    <xf numFmtId="4" fontId="2" fillId="0" borderId="27" xfId="34" applyNumberFormat="1" applyFont="1" applyFill="1" applyBorder="1" applyAlignment="1">
      <alignment horizontal="center" vertical="center" wrapText="1"/>
      <protection/>
    </xf>
    <xf numFmtId="4" fontId="2" fillId="22" borderId="13" xfId="34" applyNumberFormat="1" applyFont="1" applyFill="1" applyBorder="1" applyAlignment="1">
      <alignment horizontal="center" vertical="center" wrapText="1"/>
      <protection/>
    </xf>
    <xf numFmtId="4" fontId="0" fillId="7" borderId="15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22" borderId="29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 horizontal="center" vertical="center" wrapText="1"/>
    </xf>
    <xf numFmtId="4" fontId="0" fillId="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2" fillId="22" borderId="11" xfId="34" applyNumberFormat="1" applyFont="1" applyFill="1" applyBorder="1" applyAlignment="1">
      <alignment horizontal="center" vertical="center" wrapText="1"/>
      <protection/>
    </xf>
    <xf numFmtId="4" fontId="2" fillId="0" borderId="20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22" borderId="30" xfId="0" applyNumberFormat="1" applyFont="1" applyFill="1" applyBorder="1" applyAlignment="1">
      <alignment/>
    </xf>
    <xf numFmtId="4" fontId="0" fillId="22" borderId="20" xfId="0" applyNumberFormat="1" applyFont="1" applyFill="1" applyBorder="1" applyAlignment="1">
      <alignment/>
    </xf>
    <xf numFmtId="4" fontId="0" fillId="25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4" fontId="0" fillId="25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24" borderId="21" xfId="0" applyNumberFormat="1" applyFont="1" applyFill="1" applyBorder="1" applyAlignment="1">
      <alignment/>
    </xf>
    <xf numFmtId="4" fontId="2" fillId="17" borderId="13" xfId="34" applyNumberFormat="1" applyFont="1" applyFill="1" applyBorder="1" applyAlignment="1">
      <alignment horizontal="center" vertical="center" wrapText="1"/>
      <protection/>
    </xf>
    <xf numFmtId="17" fontId="0" fillId="0" borderId="0" xfId="0" applyNumberFormat="1" applyFont="1" applyFill="1" applyAlignment="1">
      <alignment/>
    </xf>
    <xf numFmtId="2" fontId="1" fillId="24" borderId="40" xfId="0" applyNumberFormat="1" applyFont="1" applyFill="1" applyBorder="1" applyAlignment="1">
      <alignment horizontal="center" vertical="center" wrapText="1"/>
    </xf>
    <xf numFmtId="2" fontId="1" fillId="24" borderId="39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41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0" fillId="0" borderId="29" xfId="0" applyNumberFormat="1" applyFont="1" applyFill="1" applyBorder="1" applyAlignment="1">
      <alignment horizontal="center"/>
    </xf>
    <xf numFmtId="4" fontId="2" fillId="22" borderId="29" xfId="0" applyNumberFormat="1" applyFont="1" applyFill="1" applyBorder="1" applyAlignment="1">
      <alignment/>
    </xf>
    <xf numFmtId="4" fontId="2" fillId="22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1" fillId="0" borderId="44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2" fontId="2" fillId="0" borderId="11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wrapText="1"/>
    </xf>
    <xf numFmtId="4" fontId="30" fillId="0" borderId="20" xfId="34" applyNumberFormat="1" applyFont="1" applyFill="1" applyBorder="1" applyAlignment="1">
      <alignment horizontal="center" vertical="center" wrapText="1"/>
      <protection/>
    </xf>
    <xf numFmtId="4" fontId="30" fillId="22" borderId="13" xfId="34" applyNumberFormat="1" applyFont="1" applyFill="1" applyBorder="1" applyAlignment="1">
      <alignment horizontal="center" vertical="center" wrapText="1"/>
      <protection/>
    </xf>
    <xf numFmtId="4" fontId="30" fillId="22" borderId="11" xfId="0" applyNumberFormat="1" applyFont="1" applyFill="1" applyBorder="1" applyAlignment="1">
      <alignment/>
    </xf>
    <xf numFmtId="4" fontId="9" fillId="22" borderId="11" xfId="0" applyNumberFormat="1" applyFont="1" applyFill="1" applyBorder="1" applyAlignment="1">
      <alignment/>
    </xf>
    <xf numFmtId="4" fontId="9" fillId="24" borderId="11" xfId="0" applyNumberFormat="1" applyFont="1" applyFill="1" applyBorder="1" applyAlignment="1">
      <alignment/>
    </xf>
    <xf numFmtId="4" fontId="9" fillId="4" borderId="11" xfId="0" applyNumberFormat="1" applyFont="1" applyFill="1" applyBorder="1" applyAlignment="1">
      <alignment/>
    </xf>
    <xf numFmtId="4" fontId="9" fillId="25" borderId="29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 horizontal="center" wrapText="1"/>
    </xf>
    <xf numFmtId="4" fontId="9" fillId="4" borderId="20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7" borderId="30" xfId="0" applyFont="1" applyFill="1" applyBorder="1" applyAlignment="1">
      <alignment horizontal="center"/>
    </xf>
    <xf numFmtId="4" fontId="9" fillId="22" borderId="15" xfId="0" applyNumberFormat="1" applyFont="1" applyFill="1" applyBorder="1" applyAlignment="1">
      <alignment horizontal="center" wrapText="1"/>
    </xf>
    <xf numFmtId="2" fontId="9" fillId="22" borderId="11" xfId="0" applyNumberFormat="1" applyFont="1" applyFill="1" applyBorder="1" applyAlignment="1">
      <alignment horizontal="center"/>
    </xf>
    <xf numFmtId="4" fontId="9" fillId="0" borderId="49" xfId="0" applyNumberFormat="1" applyFont="1" applyFill="1" applyBorder="1" applyAlignment="1">
      <alignment horizontal="center"/>
    </xf>
    <xf numFmtId="4" fontId="9" fillId="0" borderId="29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4" fontId="9" fillId="0" borderId="50" xfId="0" applyNumberFormat="1" applyFont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4" fontId="9" fillId="0" borderId="48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center"/>
    </xf>
    <xf numFmtId="0" fontId="9" fillId="25" borderId="11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29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49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7" borderId="1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4" fontId="0" fillId="0" borderId="48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7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9" fillId="7" borderId="15" xfId="0" applyNumberFormat="1" applyFont="1" applyFill="1" applyBorder="1" applyAlignment="1">
      <alignment horizontal="center"/>
    </xf>
    <xf numFmtId="2" fontId="0" fillId="22" borderId="13" xfId="0" applyNumberFormat="1" applyFont="1" applyFill="1" applyBorder="1" applyAlignment="1">
      <alignment horizontal="center"/>
    </xf>
    <xf numFmtId="4" fontId="9" fillId="22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0" fillId="0" borderId="51" xfId="0" applyNumberFormat="1" applyFont="1" applyFill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7" borderId="30" xfId="0" applyNumberFormat="1" applyFont="1" applyFill="1" applyBorder="1" applyAlignment="1">
      <alignment horizontal="center"/>
    </xf>
    <xf numFmtId="4" fontId="0" fillId="0" borderId="52" xfId="0" applyNumberFormat="1" applyFont="1" applyFill="1" applyBorder="1" applyAlignment="1">
      <alignment horizontal="center"/>
    </xf>
    <xf numFmtId="4" fontId="0" fillId="22" borderId="11" xfId="0" applyNumberFormat="1" applyFont="1" applyFill="1" applyBorder="1" applyAlignment="1">
      <alignment horizontal="center"/>
    </xf>
    <xf numFmtId="0" fontId="0" fillId="25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31" fillId="0" borderId="11" xfId="0" applyFont="1" applyBorder="1" applyAlignment="1">
      <alignment wrapText="1"/>
    </xf>
    <xf numFmtId="0" fontId="31" fillId="0" borderId="29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30" fillId="7" borderId="30" xfId="0" applyFont="1" applyFill="1" applyBorder="1" applyAlignment="1">
      <alignment/>
    </xf>
    <xf numFmtId="0" fontId="32" fillId="0" borderId="20" xfId="0" applyFont="1" applyBorder="1" applyAlignment="1">
      <alignment wrapText="1"/>
    </xf>
    <xf numFmtId="0" fontId="32" fillId="0" borderId="11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32" fillId="0" borderId="29" xfId="0" applyFont="1" applyBorder="1" applyAlignment="1">
      <alignment wrapText="1"/>
    </xf>
    <xf numFmtId="0" fontId="30" fillId="0" borderId="28" xfId="0" applyFont="1" applyBorder="1" applyAlignment="1">
      <alignment wrapText="1"/>
    </xf>
    <xf numFmtId="2" fontId="9" fillId="22" borderId="13" xfId="0" applyNumberFormat="1" applyFont="1" applyFill="1" applyBorder="1" applyAlignment="1">
      <alignment horizontal="center"/>
    </xf>
    <xf numFmtId="0" fontId="30" fillId="0" borderId="29" xfId="0" applyFont="1" applyBorder="1" applyAlignment="1">
      <alignment wrapText="1"/>
    </xf>
    <xf numFmtId="0" fontId="30" fillId="0" borderId="50" xfId="0" applyFont="1" applyBorder="1" applyAlignment="1">
      <alignment wrapText="1"/>
    </xf>
    <xf numFmtId="0" fontId="30" fillId="7" borderId="15" xfId="0" applyFont="1" applyFill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4" fontId="0" fillId="0" borderId="29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7" borderId="15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4" fontId="0" fillId="25" borderId="15" xfId="0" applyNumberFormat="1" applyFont="1" applyFill="1" applyBorder="1" applyAlignment="1">
      <alignment horizontal="center" wrapText="1"/>
    </xf>
    <xf numFmtId="4" fontId="2" fillId="22" borderId="52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4" fontId="9" fillId="26" borderId="29" xfId="0" applyNumberFormat="1" applyFont="1" applyFill="1" applyBorder="1" applyAlignment="1">
      <alignment/>
    </xf>
    <xf numFmtId="0" fontId="33" fillId="0" borderId="11" xfId="0" applyFont="1" applyBorder="1" applyAlignment="1">
      <alignment wrapText="1"/>
    </xf>
    <xf numFmtId="0" fontId="33" fillId="0" borderId="29" xfId="0" applyFont="1" applyBorder="1" applyAlignment="1">
      <alignment wrapText="1"/>
    </xf>
    <xf numFmtId="4" fontId="2" fillId="7" borderId="15" xfId="0" applyNumberFormat="1" applyFont="1" applyFill="1" applyBorder="1" applyAlignment="1">
      <alignment wrapText="1"/>
    </xf>
    <xf numFmtId="4" fontId="0" fillId="22" borderId="13" xfId="0" applyNumberFormat="1" applyFont="1" applyFill="1" applyBorder="1" applyAlignment="1">
      <alignment horizontal="center"/>
    </xf>
    <xf numFmtId="0" fontId="9" fillId="24" borderId="11" xfId="0" applyFont="1" applyFill="1" applyBorder="1" applyAlignment="1">
      <alignment horizontal="right"/>
    </xf>
    <xf numFmtId="4" fontId="0" fillId="27" borderId="15" xfId="0" applyNumberFormat="1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2" borderId="38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2" fontId="1" fillId="22" borderId="38" xfId="0" applyNumberFormat="1" applyFont="1" applyFill="1" applyBorder="1" applyAlignment="1">
      <alignment horizontal="center" vertical="center" wrapText="1"/>
    </xf>
    <xf numFmtId="2" fontId="1" fillId="22" borderId="11" xfId="0" applyNumberFormat="1" applyFont="1" applyFill="1" applyBorder="1" applyAlignment="1">
      <alignment horizontal="center" vertical="center" wrapText="1"/>
    </xf>
    <xf numFmtId="2" fontId="1" fillId="22" borderId="17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textRotation="90"/>
    </xf>
    <xf numFmtId="0" fontId="1" fillId="24" borderId="17" xfId="0" applyFont="1" applyFill="1" applyBorder="1" applyAlignment="1">
      <alignment horizontal="center" textRotation="90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4" borderId="40" xfId="0" applyNumberFormat="1" applyFont="1" applyFill="1" applyBorder="1" applyAlignment="1">
      <alignment horizontal="center" vertical="center" wrapText="1"/>
    </xf>
    <xf numFmtId="2" fontId="1" fillId="4" borderId="39" xfId="0" applyNumberFormat="1" applyFont="1" applyFill="1" applyBorder="1" applyAlignment="1">
      <alignment horizontal="center" vertical="center" wrapText="1"/>
    </xf>
    <xf numFmtId="2" fontId="1" fillId="25" borderId="55" xfId="0" applyNumberFormat="1" applyFont="1" applyFill="1" applyBorder="1" applyAlignment="1">
      <alignment horizontal="center" vertical="center" wrapText="1"/>
    </xf>
    <xf numFmtId="2" fontId="1" fillId="25" borderId="41" xfId="0" applyNumberFormat="1" applyFont="1" applyFill="1" applyBorder="1" applyAlignment="1">
      <alignment horizontal="center" vertical="center" wrapText="1"/>
    </xf>
    <xf numFmtId="2" fontId="1" fillId="25" borderId="45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24" borderId="58" xfId="0" applyNumberFormat="1" applyFont="1" applyFill="1" applyBorder="1" applyAlignment="1">
      <alignment horizontal="center" vertical="center" wrapText="1"/>
    </xf>
    <xf numFmtId="2" fontId="1" fillId="24" borderId="59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4" borderId="45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24" borderId="40" xfId="0" applyNumberFormat="1" applyFont="1" applyFill="1" applyBorder="1" applyAlignment="1">
      <alignment horizontal="center" vertical="center" wrapText="1"/>
    </xf>
    <xf numFmtId="2" fontId="1" fillId="24" borderId="39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22" borderId="0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43" fontId="0" fillId="0" borderId="29" xfId="61" applyFont="1" applyFill="1" applyBorder="1" applyAlignment="1">
      <alignment horizontal="center"/>
    </xf>
    <xf numFmtId="43" fontId="0" fillId="0" borderId="20" xfId="6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textRotation="90"/>
    </xf>
    <xf numFmtId="0" fontId="1" fillId="7" borderId="39" xfId="0" applyFont="1" applyFill="1" applyBorder="1" applyAlignment="1">
      <alignment horizontal="center" textRotation="90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28" fillId="0" borderId="40" xfId="0" applyNumberFormat="1" applyFont="1" applyFill="1" applyBorder="1" applyAlignment="1">
      <alignment horizontal="center" vertical="center" wrapText="1"/>
    </xf>
    <xf numFmtId="2" fontId="28" fillId="0" borderId="69" xfId="0" applyNumberFormat="1" applyFont="1" applyFill="1" applyBorder="1" applyAlignment="1">
      <alignment horizontal="center" vertical="center" wrapText="1"/>
    </xf>
    <xf numFmtId="2" fontId="28" fillId="0" borderId="39" xfId="0" applyNumberFormat="1" applyFont="1" applyFill="1" applyBorder="1" applyAlignment="1">
      <alignment horizontal="center" vertical="center" wrapText="1"/>
    </xf>
    <xf numFmtId="2" fontId="29" fillId="0" borderId="40" xfId="0" applyNumberFormat="1" applyFont="1" applyFill="1" applyBorder="1" applyAlignment="1">
      <alignment horizontal="center" vertical="center" wrapText="1"/>
    </xf>
    <xf numFmtId="2" fontId="29" fillId="0" borderId="39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2" fontId="1" fillId="25" borderId="40" xfId="0" applyNumberFormat="1" applyFont="1" applyFill="1" applyBorder="1" applyAlignment="1">
      <alignment horizontal="center" vertical="center" wrapText="1"/>
    </xf>
    <xf numFmtId="2" fontId="1" fillId="25" borderId="39" xfId="0" applyNumberFormat="1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69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2" fontId="1" fillId="22" borderId="65" xfId="0" applyNumberFormat="1" applyFont="1" applyFill="1" applyBorder="1" applyAlignment="1">
      <alignment horizontal="center" vertical="center" wrapText="1"/>
    </xf>
    <xf numFmtId="2" fontId="1" fillId="22" borderId="72" xfId="0" applyNumberFormat="1" applyFont="1" applyFill="1" applyBorder="1" applyAlignment="1">
      <alignment horizontal="center" vertical="center" wrapText="1"/>
    </xf>
    <xf numFmtId="2" fontId="1" fillId="22" borderId="58" xfId="0" applyNumberFormat="1" applyFont="1" applyFill="1" applyBorder="1" applyAlignment="1">
      <alignment horizontal="center" vertical="center" wrapText="1"/>
    </xf>
    <xf numFmtId="2" fontId="1" fillId="22" borderId="59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wrapText="1"/>
    </xf>
    <xf numFmtId="4" fontId="1" fillId="0" borderId="68" xfId="0" applyNumberFormat="1" applyFont="1" applyFill="1" applyBorder="1" applyAlignment="1">
      <alignment horizontal="center" vertical="center" wrapText="1"/>
    </xf>
    <xf numFmtId="4" fontId="1" fillId="22" borderId="40" xfId="0" applyNumberFormat="1" applyFont="1" applyFill="1" applyBorder="1" applyAlignment="1">
      <alignment horizontal="center" vertical="center" wrapText="1"/>
    </xf>
    <xf numFmtId="4" fontId="1" fillId="22" borderId="69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22" borderId="66" xfId="0" applyNumberFormat="1" applyFont="1" applyFill="1" applyBorder="1" applyAlignment="1">
      <alignment horizontal="center" vertical="center" wrapText="1"/>
    </xf>
    <xf numFmtId="2" fontId="1" fillId="22" borderId="70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textRotation="90"/>
    </xf>
    <xf numFmtId="0" fontId="1" fillId="3" borderId="66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0;&#1086;&#1084;&#1084;&#1091;&#1085;&#1072;&#1083;&#1100;&#1085;&#1072;&#1103;,%208%20&#1089;%202010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9;&#1074;&#1072;&#1083;&#1100;&#1085;&#1072;&#1103;,%208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F46">
            <v>0</v>
          </cell>
          <cell r="AY46">
            <v>0</v>
          </cell>
          <cell r="AZ46">
            <v>0</v>
          </cell>
          <cell r="BA46">
            <v>0</v>
          </cell>
          <cell r="BC4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O44">
            <v>0</v>
          </cell>
          <cell r="AP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."/>
      <sheetName val="2011 печать"/>
      <sheetName val="Лист3"/>
    </sheetNames>
    <sheetDataSet>
      <sheetData sheetId="0">
        <row r="9">
          <cell r="AX9">
            <v>100.70592</v>
          </cell>
        </row>
        <row r="10">
          <cell r="AX10">
            <v>80.68368</v>
          </cell>
        </row>
        <row r="11">
          <cell r="AX11">
            <v>75.92592</v>
          </cell>
        </row>
        <row r="12">
          <cell r="AX12">
            <v>60.85968</v>
          </cell>
        </row>
        <row r="13">
          <cell r="AX13">
            <v>52.137119999999996</v>
          </cell>
        </row>
        <row r="14">
          <cell r="AX14">
            <v>46.189919999999994</v>
          </cell>
        </row>
        <row r="15">
          <cell r="AX15">
            <v>49.16352</v>
          </cell>
        </row>
        <row r="16">
          <cell r="AX16">
            <v>58.08431999999999</v>
          </cell>
        </row>
        <row r="17">
          <cell r="AX17">
            <v>69.18576</v>
          </cell>
        </row>
        <row r="18">
          <cell r="AX18">
            <v>84.252</v>
          </cell>
        </row>
        <row r="19">
          <cell r="AX19">
            <v>93.17280000000001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4" ySplit="2" topLeftCell="AS2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V38" sqref="AV38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9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0.375" style="2" customWidth="1"/>
    <col min="55" max="56" width="10.75390625" style="2" customWidth="1"/>
    <col min="57" max="57" width="14.00390625" style="2" customWidth="1"/>
    <col min="58" max="16384" width="9.125" style="2" customWidth="1"/>
  </cols>
  <sheetData>
    <row r="1" spans="1:18" ht="21.75" customHeight="1">
      <c r="A1" s="292" t="s">
        <v>86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93" t="s">
        <v>0</v>
      </c>
      <c r="B3" s="296" t="s">
        <v>1</v>
      </c>
      <c r="C3" s="296" t="s">
        <v>2</v>
      </c>
      <c r="D3" s="296" t="s">
        <v>3</v>
      </c>
      <c r="E3" s="299" t="s">
        <v>4</v>
      </c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301" t="s">
        <v>5</v>
      </c>
      <c r="T3" s="301"/>
      <c r="U3" s="302" t="s">
        <v>6</v>
      </c>
      <c r="V3" s="302"/>
      <c r="W3" s="302"/>
      <c r="X3" s="302"/>
      <c r="Y3" s="302"/>
      <c r="Z3" s="302"/>
      <c r="AA3" s="302"/>
      <c r="AB3" s="302"/>
      <c r="AC3" s="304" t="s">
        <v>7</v>
      </c>
      <c r="AD3" s="304" t="s">
        <v>8</v>
      </c>
      <c r="AE3" s="304" t="s">
        <v>9</v>
      </c>
      <c r="AF3" s="114"/>
      <c r="AG3" s="319" t="s">
        <v>10</v>
      </c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3" t="s">
        <v>87</v>
      </c>
      <c r="BD3" s="289" t="s">
        <v>11</v>
      </c>
      <c r="BE3" s="316" t="s">
        <v>12</v>
      </c>
    </row>
    <row r="4" spans="1:57" ht="36" customHeight="1" thickBot="1">
      <c r="A4" s="294"/>
      <c r="B4" s="297"/>
      <c r="C4" s="297"/>
      <c r="D4" s="297"/>
      <c r="E4" s="300" t="s">
        <v>13</v>
      </c>
      <c r="F4" s="300"/>
      <c r="G4" s="300" t="s">
        <v>14</v>
      </c>
      <c r="H4" s="300"/>
      <c r="I4" s="300" t="s">
        <v>15</v>
      </c>
      <c r="J4" s="300"/>
      <c r="K4" s="300" t="s">
        <v>16</v>
      </c>
      <c r="L4" s="300"/>
      <c r="M4" s="300" t="s">
        <v>17</v>
      </c>
      <c r="N4" s="300"/>
      <c r="O4" s="300" t="s">
        <v>18</v>
      </c>
      <c r="P4" s="300"/>
      <c r="Q4" s="300" t="s">
        <v>19</v>
      </c>
      <c r="R4" s="300"/>
      <c r="S4" s="300"/>
      <c r="T4" s="300"/>
      <c r="U4" s="303"/>
      <c r="V4" s="303"/>
      <c r="W4" s="303"/>
      <c r="X4" s="303"/>
      <c r="Y4" s="303"/>
      <c r="Z4" s="303"/>
      <c r="AA4" s="303"/>
      <c r="AB4" s="303"/>
      <c r="AC4" s="305"/>
      <c r="AD4" s="305"/>
      <c r="AE4" s="305"/>
      <c r="AF4" s="112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14"/>
      <c r="BD4" s="290"/>
      <c r="BE4" s="317"/>
    </row>
    <row r="5" spans="1:57" ht="29.25" customHeight="1" thickBot="1">
      <c r="A5" s="294"/>
      <c r="B5" s="297"/>
      <c r="C5" s="297"/>
      <c r="D5" s="297"/>
      <c r="E5" s="307" t="s">
        <v>20</v>
      </c>
      <c r="F5" s="307" t="s">
        <v>21</v>
      </c>
      <c r="G5" s="307" t="s">
        <v>20</v>
      </c>
      <c r="H5" s="307" t="s">
        <v>21</v>
      </c>
      <c r="I5" s="307" t="s">
        <v>20</v>
      </c>
      <c r="J5" s="307" t="s">
        <v>21</v>
      </c>
      <c r="K5" s="307" t="s">
        <v>20</v>
      </c>
      <c r="L5" s="307" t="s">
        <v>21</v>
      </c>
      <c r="M5" s="307" t="s">
        <v>20</v>
      </c>
      <c r="N5" s="307" t="s">
        <v>21</v>
      </c>
      <c r="O5" s="307" t="s">
        <v>20</v>
      </c>
      <c r="P5" s="307" t="s">
        <v>21</v>
      </c>
      <c r="Q5" s="307" t="s">
        <v>20</v>
      </c>
      <c r="R5" s="307" t="s">
        <v>21</v>
      </c>
      <c r="S5" s="307" t="s">
        <v>20</v>
      </c>
      <c r="T5" s="307" t="s">
        <v>21</v>
      </c>
      <c r="U5" s="305" t="s">
        <v>22</v>
      </c>
      <c r="V5" s="305" t="s">
        <v>23</v>
      </c>
      <c r="W5" s="305" t="s">
        <v>24</v>
      </c>
      <c r="X5" s="305" t="s">
        <v>25</v>
      </c>
      <c r="Y5" s="305" t="s">
        <v>26</v>
      </c>
      <c r="Z5" s="305" t="s">
        <v>27</v>
      </c>
      <c r="AA5" s="305" t="s">
        <v>28</v>
      </c>
      <c r="AB5" s="305" t="s">
        <v>29</v>
      </c>
      <c r="AC5" s="305"/>
      <c r="AD5" s="305"/>
      <c r="AE5" s="305"/>
      <c r="AF5" s="112"/>
      <c r="AG5" s="309" t="s">
        <v>30</v>
      </c>
      <c r="AH5" s="309" t="s">
        <v>31</v>
      </c>
      <c r="AI5" s="309" t="s">
        <v>32</v>
      </c>
      <c r="AJ5" s="309" t="s">
        <v>33</v>
      </c>
      <c r="AK5" s="309" t="s">
        <v>34</v>
      </c>
      <c r="AL5" s="309" t="s">
        <v>33</v>
      </c>
      <c r="AM5" s="309" t="s">
        <v>35</v>
      </c>
      <c r="AN5" s="309" t="s">
        <v>33</v>
      </c>
      <c r="AO5" s="309" t="s">
        <v>36</v>
      </c>
      <c r="AP5" s="309" t="s">
        <v>33</v>
      </c>
      <c r="AQ5" s="322" t="s">
        <v>77</v>
      </c>
      <c r="AR5" s="311" t="s">
        <v>33</v>
      </c>
      <c r="AS5" s="320" t="s">
        <v>83</v>
      </c>
      <c r="AT5" s="327" t="s">
        <v>82</v>
      </c>
      <c r="AU5" s="327" t="s">
        <v>33</v>
      </c>
      <c r="AV5" s="324" t="s">
        <v>78</v>
      </c>
      <c r="AW5" s="325"/>
      <c r="AX5" s="326"/>
      <c r="AY5" s="309" t="s">
        <v>19</v>
      </c>
      <c r="AZ5" s="309" t="s">
        <v>38</v>
      </c>
      <c r="BA5" s="309" t="s">
        <v>33</v>
      </c>
      <c r="BB5" s="309" t="s">
        <v>39</v>
      </c>
      <c r="BC5" s="314"/>
      <c r="BD5" s="290"/>
      <c r="BE5" s="317"/>
    </row>
    <row r="6" spans="1:57" ht="54" customHeight="1" thickBot="1">
      <c r="A6" s="295"/>
      <c r="B6" s="298"/>
      <c r="C6" s="298"/>
      <c r="D6" s="29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113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23"/>
      <c r="AR6" s="312"/>
      <c r="AS6" s="321"/>
      <c r="AT6" s="328"/>
      <c r="AU6" s="328"/>
      <c r="AV6" s="125" t="s">
        <v>79</v>
      </c>
      <c r="AW6" s="125" t="s">
        <v>80</v>
      </c>
      <c r="AX6" s="125" t="s">
        <v>81</v>
      </c>
      <c r="AY6" s="310"/>
      <c r="AZ6" s="310"/>
      <c r="BA6" s="310"/>
      <c r="BB6" s="310"/>
      <c r="BC6" s="315"/>
      <c r="BD6" s="291"/>
      <c r="BE6" s="318"/>
    </row>
    <row r="7" spans="1:57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9">
        <v>56</v>
      </c>
      <c r="BE7" s="9">
        <v>56</v>
      </c>
    </row>
    <row r="8" spans="1:57" ht="12.75">
      <c r="A8" s="5" t="s">
        <v>40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6"/>
      <c r="AU8" s="6"/>
      <c r="AV8" s="7"/>
      <c r="AW8" s="7"/>
      <c r="AX8" s="7"/>
      <c r="AY8" s="7"/>
      <c r="AZ8" s="7"/>
      <c r="BA8" s="7"/>
      <c r="BB8" s="7"/>
      <c r="BC8" s="7"/>
      <c r="BD8" s="7"/>
      <c r="BE8" s="12"/>
    </row>
    <row r="9" spans="1:57" ht="12.75">
      <c r="A9" s="13" t="s">
        <v>41</v>
      </c>
      <c r="B9" s="98">
        <v>752</v>
      </c>
      <c r="C9" s="115">
        <f>B9*8.65</f>
        <v>6504.8</v>
      </c>
      <c r="D9" s="116">
        <f>C9*0.24088</f>
        <v>1566.876224</v>
      </c>
      <c r="E9" s="99">
        <v>555.44</v>
      </c>
      <c r="F9" s="99">
        <v>60.22</v>
      </c>
      <c r="G9" s="99">
        <v>749.86</v>
      </c>
      <c r="H9" s="99">
        <v>81.29</v>
      </c>
      <c r="I9" s="99">
        <v>1805.18</v>
      </c>
      <c r="J9" s="99">
        <v>195.72</v>
      </c>
      <c r="K9" s="99">
        <v>1249.74</v>
      </c>
      <c r="L9" s="99">
        <v>135.5</v>
      </c>
      <c r="M9" s="97">
        <v>444.32</v>
      </c>
      <c r="N9" s="97">
        <v>48.18</v>
      </c>
      <c r="O9" s="99">
        <v>0</v>
      </c>
      <c r="P9" s="99">
        <v>0</v>
      </c>
      <c r="Q9" s="99">
        <v>0</v>
      </c>
      <c r="R9" s="99">
        <v>0</v>
      </c>
      <c r="S9" s="99">
        <f>E9+G9+I9+K9+M9+O9+Q9</f>
        <v>4804.54</v>
      </c>
      <c r="T9" s="117">
        <f>P9+N9+L9+J9+H9+F9+R9</f>
        <v>520.91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105">
        <v>0</v>
      </c>
      <c r="AA9" s="105">
        <v>0</v>
      </c>
      <c r="AB9" s="105">
        <f>SUM(U9:AA9)</f>
        <v>0</v>
      </c>
      <c r="AC9" s="136">
        <f>D9+T9+AB9</f>
        <v>2087.786224</v>
      </c>
      <c r="AD9" s="137">
        <f>P9+Z9</f>
        <v>0</v>
      </c>
      <c r="AE9" s="121">
        <f>R9+AA9</f>
        <v>0</v>
      </c>
      <c r="AF9" s="121"/>
      <c r="AG9" s="31">
        <f>0.6*B9</f>
        <v>451.2</v>
      </c>
      <c r="AH9" s="31">
        <f>B9*0.2*1.05826</f>
        <v>159.162304</v>
      </c>
      <c r="AI9" s="31">
        <f>0.8518*B9</f>
        <v>640.5536</v>
      </c>
      <c r="AJ9" s="31">
        <f>AI9*0.18</f>
        <v>115.29964799999999</v>
      </c>
      <c r="AK9" s="31">
        <f>1.04*B9*0.9531</f>
        <v>745.400448</v>
      </c>
      <c r="AL9" s="31">
        <f>AK9*0.18</f>
        <v>134.17208064</v>
      </c>
      <c r="AM9" s="31">
        <f>(1.91)*B9*0.9531</f>
        <v>1368.9565919999998</v>
      </c>
      <c r="AN9" s="31">
        <f>AM9*0.18</f>
        <v>246.41218655999995</v>
      </c>
      <c r="AO9" s="31"/>
      <c r="AP9" s="31">
        <f>AO9*0.18</f>
        <v>0</v>
      </c>
      <c r="AQ9" s="126"/>
      <c r="AR9" s="126"/>
      <c r="AS9" s="103"/>
      <c r="AT9" s="103"/>
      <c r="AU9" s="103">
        <f>(AS9+AT9)*0.18</f>
        <v>0</v>
      </c>
      <c r="AV9" s="127"/>
      <c r="AW9" s="128"/>
      <c r="AX9" s="31">
        <f>AV9*AW9*1.12*1.18</f>
        <v>0</v>
      </c>
      <c r="AY9" s="129"/>
      <c r="AZ9" s="131"/>
      <c r="BA9" s="131">
        <f>AZ9*0.18</f>
        <v>0</v>
      </c>
      <c r="BB9" s="131">
        <f>SUM(AG9:BA9)-AV9-AW9</f>
        <v>3861.1568591999994</v>
      </c>
      <c r="BC9" s="138"/>
      <c r="BD9" s="19">
        <f>AC9-BB9</f>
        <v>-1773.3706351999995</v>
      </c>
      <c r="BE9" s="21">
        <f>AB9-S9</f>
        <v>-4804.54</v>
      </c>
    </row>
    <row r="10" spans="1:57" ht="12.75">
      <c r="A10" s="13" t="s">
        <v>42</v>
      </c>
      <c r="B10" s="98">
        <v>752</v>
      </c>
      <c r="C10" s="115">
        <f>B10*8.65</f>
        <v>6504.8</v>
      </c>
      <c r="D10" s="116">
        <f>C10*0.24088</f>
        <v>1566.876224</v>
      </c>
      <c r="E10" s="99">
        <v>555.44</v>
      </c>
      <c r="F10" s="99">
        <v>60.22</v>
      </c>
      <c r="G10" s="99">
        <v>749.86</v>
      </c>
      <c r="H10" s="99">
        <v>0</v>
      </c>
      <c r="I10" s="99">
        <v>1805.18</v>
      </c>
      <c r="J10" s="99">
        <v>195.72</v>
      </c>
      <c r="K10" s="99">
        <v>1249.74</v>
      </c>
      <c r="L10" s="99">
        <v>135.5</v>
      </c>
      <c r="M10" s="97">
        <v>444.32</v>
      </c>
      <c r="N10" s="97">
        <v>48.18</v>
      </c>
      <c r="O10" s="99">
        <v>0</v>
      </c>
      <c r="P10" s="99">
        <v>0</v>
      </c>
      <c r="Q10" s="99">
        <v>0</v>
      </c>
      <c r="R10" s="99">
        <v>0</v>
      </c>
      <c r="S10" s="99">
        <f>E10+G10+I10+K10+M10+O10+Q10</f>
        <v>4804.54</v>
      </c>
      <c r="T10" s="117">
        <f>P10+N10+L10+J10+H10+F10+R10</f>
        <v>439.62</v>
      </c>
      <c r="U10" s="99">
        <v>180.74</v>
      </c>
      <c r="V10" s="99">
        <v>244.01</v>
      </c>
      <c r="W10" s="99">
        <v>587.41</v>
      </c>
      <c r="X10" s="99">
        <v>406.67</v>
      </c>
      <c r="Y10" s="99">
        <v>144.56</v>
      </c>
      <c r="Z10" s="99">
        <v>0</v>
      </c>
      <c r="AA10" s="105">
        <v>0</v>
      </c>
      <c r="AB10" s="122">
        <f>SUM(U10:AA10)</f>
        <v>1563.3899999999999</v>
      </c>
      <c r="AC10" s="120">
        <f>D10+T10+AB10</f>
        <v>3569.886224</v>
      </c>
      <c r="AD10" s="121">
        <f>P10+Z10</f>
        <v>0</v>
      </c>
      <c r="AE10" s="121">
        <f>R10+AA10</f>
        <v>0</v>
      </c>
      <c r="AF10" s="121"/>
      <c r="AG10" s="31">
        <f>0.6*B10</f>
        <v>451.2</v>
      </c>
      <c r="AH10" s="31">
        <f>B10*0.201</f>
        <v>151.15200000000002</v>
      </c>
      <c r="AI10" s="31">
        <f>0.8518*B10</f>
        <v>640.5536</v>
      </c>
      <c r="AJ10" s="31">
        <f>AI10*0.18</f>
        <v>115.29964799999999</v>
      </c>
      <c r="AK10" s="31">
        <f>1.04*B10*0.9531</f>
        <v>745.400448</v>
      </c>
      <c r="AL10" s="31">
        <f>AK10*0.18</f>
        <v>134.17208064</v>
      </c>
      <c r="AM10" s="31">
        <f>(1.91)*B10*0.9531</f>
        <v>1368.9565919999998</v>
      </c>
      <c r="AN10" s="31">
        <f>AM10*0.18</f>
        <v>246.41218655999995</v>
      </c>
      <c r="AO10" s="31"/>
      <c r="AP10" s="31">
        <f>AO10*0.18</f>
        <v>0</v>
      </c>
      <c r="AQ10" s="126"/>
      <c r="AR10" s="126"/>
      <c r="AS10" s="103"/>
      <c r="AT10" s="103"/>
      <c r="AU10" s="103">
        <f>(AS10+AT10)*0.18</f>
        <v>0</v>
      </c>
      <c r="AV10" s="127"/>
      <c r="AW10" s="128"/>
      <c r="AX10" s="31">
        <f>AV10*AW10*1.12*1.18</f>
        <v>0</v>
      </c>
      <c r="AY10" s="129"/>
      <c r="AZ10" s="131"/>
      <c r="BA10" s="131">
        <f>AZ10*0.18</f>
        <v>0</v>
      </c>
      <c r="BB10" s="131">
        <f>SUM(AG10:BA10)-AV10-AW10</f>
        <v>3853.1465552</v>
      </c>
      <c r="BC10" s="138"/>
      <c r="BD10" s="19">
        <f>AC10-BB10</f>
        <v>-283.2603312000001</v>
      </c>
      <c r="BE10" s="21">
        <f>AB10-S10</f>
        <v>-3241.15</v>
      </c>
    </row>
    <row r="11" spans="1:57" ht="12.75">
      <c r="A11" s="13" t="s">
        <v>43</v>
      </c>
      <c r="B11" s="98">
        <v>752</v>
      </c>
      <c r="C11" s="115">
        <f>B11*8.65</f>
        <v>6504.8</v>
      </c>
      <c r="D11" s="116">
        <f>C11*0.24035</f>
        <v>1563.42868</v>
      </c>
      <c r="E11" s="99">
        <v>588.59</v>
      </c>
      <c r="F11" s="99">
        <v>27.07</v>
      </c>
      <c r="G11" s="99">
        <v>794.61</v>
      </c>
      <c r="H11" s="99">
        <v>36.55</v>
      </c>
      <c r="I11" s="99">
        <v>1912.9</v>
      </c>
      <c r="J11" s="99">
        <v>88</v>
      </c>
      <c r="K11" s="99">
        <v>1324.32</v>
      </c>
      <c r="L11" s="99">
        <v>60.92</v>
      </c>
      <c r="M11" s="97">
        <v>470.85</v>
      </c>
      <c r="N11" s="139">
        <v>21.65</v>
      </c>
      <c r="O11" s="105">
        <v>0</v>
      </c>
      <c r="P11" s="105">
        <v>0</v>
      </c>
      <c r="Q11" s="105">
        <v>0</v>
      </c>
      <c r="R11" s="105">
        <v>0</v>
      </c>
      <c r="S11" s="99">
        <f>E11+G11+I11+K11+M11+O11+Q11</f>
        <v>5091.27</v>
      </c>
      <c r="T11" s="117">
        <f>P11+N11+L11+J11+H11+F11+R11</f>
        <v>234.19</v>
      </c>
      <c r="U11" s="99">
        <v>283.79</v>
      </c>
      <c r="V11" s="99">
        <v>383.09</v>
      </c>
      <c r="W11" s="99">
        <v>922.28</v>
      </c>
      <c r="X11" s="99">
        <v>638.49</v>
      </c>
      <c r="Y11" s="99">
        <v>227</v>
      </c>
      <c r="Z11" s="99">
        <v>0</v>
      </c>
      <c r="AA11" s="105">
        <v>0</v>
      </c>
      <c r="AB11" s="122">
        <f>SUM(U11:AA11)</f>
        <v>2454.6499999999996</v>
      </c>
      <c r="AC11" s="120">
        <f>D11+T11+AB11</f>
        <v>4252.268679999999</v>
      </c>
      <c r="AD11" s="121">
        <f>P11+Z11</f>
        <v>0</v>
      </c>
      <c r="AE11" s="121">
        <f>R11+AA11</f>
        <v>0</v>
      </c>
      <c r="AF11" s="121"/>
      <c r="AG11" s="31">
        <f>0.6*B11</f>
        <v>451.2</v>
      </c>
      <c r="AH11" s="31">
        <f>B11*0.2*1.02524</f>
        <v>154.19609599999998</v>
      </c>
      <c r="AI11" s="31">
        <f>0.84932*B11</f>
        <v>638.68864</v>
      </c>
      <c r="AJ11" s="31">
        <f>AI11*0.18</f>
        <v>114.96395519999999</v>
      </c>
      <c r="AK11" s="31">
        <f>1.04*B11*0.95033</f>
        <v>743.2340864</v>
      </c>
      <c r="AL11" s="31">
        <f>AK11*0.18</f>
        <v>133.782135552</v>
      </c>
      <c r="AM11" s="31">
        <f>(1.91)*B11*0.95033</f>
        <v>1364.9779856</v>
      </c>
      <c r="AN11" s="31">
        <f>AM11*0.18</f>
        <v>245.696037408</v>
      </c>
      <c r="AO11" s="31"/>
      <c r="AP11" s="31">
        <f>AO11*0.18</f>
        <v>0</v>
      </c>
      <c r="AQ11" s="126"/>
      <c r="AR11" s="126"/>
      <c r="AS11" s="103"/>
      <c r="AT11" s="103"/>
      <c r="AU11" s="103">
        <f>(AS11+AT11)*0.18</f>
        <v>0</v>
      </c>
      <c r="AV11" s="127"/>
      <c r="AW11" s="128"/>
      <c r="AX11" s="31">
        <f>AV11*AW11*1.12*1.18</f>
        <v>0</v>
      </c>
      <c r="AY11" s="129"/>
      <c r="AZ11" s="131"/>
      <c r="BA11" s="131">
        <f>AZ11*0.18</f>
        <v>0</v>
      </c>
      <c r="BB11" s="131">
        <f>SUM(AG11:BA11)-AV11-AW11</f>
        <v>3846.7389361599994</v>
      </c>
      <c r="BC11" s="138"/>
      <c r="BD11" s="19">
        <f>AC11-BB11</f>
        <v>405.5297438399998</v>
      </c>
      <c r="BE11" s="21">
        <f>AB11-S11</f>
        <v>-2636.620000000001</v>
      </c>
    </row>
    <row r="12" spans="1:57" s="28" customFormat="1" ht="15" customHeight="1">
      <c r="A12" s="22" t="s">
        <v>5</v>
      </c>
      <c r="B12" s="23"/>
      <c r="C12" s="23">
        <f aca="true" t="shared" si="0" ref="C12:BE12">SUM(C9:C11)</f>
        <v>19514.4</v>
      </c>
      <c r="D12" s="23">
        <f t="shared" si="0"/>
        <v>4697.181128</v>
      </c>
      <c r="E12" s="23">
        <f aca="true" t="shared" si="1" ref="E12:R12">SUM(E9:E11)</f>
        <v>1699.4700000000003</v>
      </c>
      <c r="F12" s="23">
        <f t="shared" si="1"/>
        <v>147.51</v>
      </c>
      <c r="G12" s="23">
        <f t="shared" si="1"/>
        <v>2294.33</v>
      </c>
      <c r="H12" s="23">
        <f t="shared" si="1"/>
        <v>117.84</v>
      </c>
      <c r="I12" s="23">
        <f t="shared" si="1"/>
        <v>5523.26</v>
      </c>
      <c r="J12" s="23">
        <f t="shared" si="1"/>
        <v>479.44</v>
      </c>
      <c r="K12" s="23">
        <f t="shared" si="1"/>
        <v>3823.8</v>
      </c>
      <c r="L12" s="23">
        <f t="shared" si="1"/>
        <v>331.92</v>
      </c>
      <c r="M12" s="23">
        <f t="shared" si="1"/>
        <v>1359.49</v>
      </c>
      <c r="N12" s="23">
        <f t="shared" si="1"/>
        <v>118.00999999999999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4">
        <f t="shared" si="0"/>
        <v>14700.35</v>
      </c>
      <c r="T12" s="24">
        <f t="shared" si="0"/>
        <v>1194.72</v>
      </c>
      <c r="U12" s="25">
        <f t="shared" si="0"/>
        <v>464.53000000000003</v>
      </c>
      <c r="V12" s="25">
        <f t="shared" si="0"/>
        <v>627.0999999999999</v>
      </c>
      <c r="W12" s="25">
        <f t="shared" si="0"/>
        <v>1509.69</v>
      </c>
      <c r="X12" s="25">
        <f t="shared" si="0"/>
        <v>1045.16</v>
      </c>
      <c r="Y12" s="25">
        <f t="shared" si="0"/>
        <v>371.56</v>
      </c>
      <c r="Z12" s="25">
        <f t="shared" si="0"/>
        <v>0</v>
      </c>
      <c r="AA12" s="25">
        <f t="shared" si="0"/>
        <v>0</v>
      </c>
      <c r="AB12" s="25">
        <f t="shared" si="0"/>
        <v>4018.0399999999995</v>
      </c>
      <c r="AC12" s="25">
        <f t="shared" si="0"/>
        <v>9909.941127999999</v>
      </c>
      <c r="AD12" s="110">
        <f t="shared" si="0"/>
        <v>0</v>
      </c>
      <c r="AE12" s="110">
        <f t="shared" si="0"/>
        <v>0</v>
      </c>
      <c r="AF12" s="110"/>
      <c r="AG12" s="26">
        <f t="shared" si="0"/>
        <v>1353.6</v>
      </c>
      <c r="AH12" s="26">
        <f t="shared" si="0"/>
        <v>464.5104</v>
      </c>
      <c r="AI12" s="26">
        <f t="shared" si="0"/>
        <v>1919.7958399999998</v>
      </c>
      <c r="AJ12" s="26">
        <f t="shared" si="0"/>
        <v>345.56325119999997</v>
      </c>
      <c r="AK12" s="26">
        <f t="shared" si="0"/>
        <v>2234.0349824</v>
      </c>
      <c r="AL12" s="26">
        <f t="shared" si="0"/>
        <v>402.126296832</v>
      </c>
      <c r="AM12" s="26">
        <f>SUM(AM9:AM11)</f>
        <v>4102.8911696</v>
      </c>
      <c r="AN12" s="26">
        <f>SUM(AN9:AN11)</f>
        <v>738.520410528</v>
      </c>
      <c r="AO12" s="26">
        <f t="shared" si="0"/>
        <v>0</v>
      </c>
      <c r="AP12" s="26">
        <f t="shared" si="0"/>
        <v>0</v>
      </c>
      <c r="AQ12" s="26"/>
      <c r="AR12" s="26"/>
      <c r="AS12" s="93">
        <f t="shared" si="0"/>
        <v>0</v>
      </c>
      <c r="AT12" s="93"/>
      <c r="AU12" s="93">
        <f t="shared" si="0"/>
        <v>0</v>
      </c>
      <c r="AV12" s="26"/>
      <c r="AW12" s="26"/>
      <c r="AX12" s="26">
        <f t="shared" si="0"/>
        <v>0</v>
      </c>
      <c r="AY12" s="26">
        <f t="shared" si="0"/>
        <v>0</v>
      </c>
      <c r="AZ12" s="26">
        <f t="shared" si="0"/>
        <v>0</v>
      </c>
      <c r="BA12" s="26">
        <f t="shared" si="0"/>
        <v>0</v>
      </c>
      <c r="BB12" s="26">
        <f t="shared" si="0"/>
        <v>11561.04235056</v>
      </c>
      <c r="BC12" s="26">
        <f t="shared" si="0"/>
        <v>0</v>
      </c>
      <c r="BD12" s="26">
        <f t="shared" si="0"/>
        <v>-1651.1012225599998</v>
      </c>
      <c r="BE12" s="27">
        <f t="shared" si="0"/>
        <v>-10682.310000000001</v>
      </c>
    </row>
    <row r="13" spans="1:57" ht="15" customHeight="1">
      <c r="A13" s="5" t="s">
        <v>44</v>
      </c>
      <c r="B13" s="91"/>
      <c r="C13" s="15"/>
      <c r="D13" s="15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2"/>
      <c r="P13" s="17"/>
      <c r="Q13" s="16"/>
      <c r="R13" s="16"/>
      <c r="S13" s="16"/>
      <c r="T13" s="16"/>
      <c r="U13" s="29"/>
      <c r="V13" s="29"/>
      <c r="W13" s="29"/>
      <c r="X13" s="29"/>
      <c r="Y13" s="29"/>
      <c r="Z13" s="29"/>
      <c r="AA13" s="18"/>
      <c r="AB13" s="18"/>
      <c r="AC13" s="108"/>
      <c r="AD13" s="109"/>
      <c r="AE13" s="109"/>
      <c r="AF13" s="109"/>
      <c r="AG13" s="19"/>
      <c r="AH13" s="19"/>
      <c r="AI13" s="19"/>
      <c r="AJ13" s="19"/>
      <c r="AK13" s="19"/>
      <c r="AL13" s="19"/>
      <c r="AM13" s="19"/>
      <c r="AN13" s="19"/>
      <c r="AO13" s="20"/>
      <c r="AP13" s="20"/>
      <c r="AQ13" s="20"/>
      <c r="AR13" s="20"/>
      <c r="AS13" s="102"/>
      <c r="AT13" s="102"/>
      <c r="AU13" s="30"/>
      <c r="AV13" s="19"/>
      <c r="AW13" s="19"/>
      <c r="AX13" s="20"/>
      <c r="AY13" s="20"/>
      <c r="AZ13" s="20"/>
      <c r="BA13" s="19"/>
      <c r="BB13" s="19"/>
      <c r="BC13" s="19"/>
      <c r="BD13" s="19"/>
      <c r="BE13" s="21"/>
    </row>
    <row r="14" spans="1:57" ht="12.75">
      <c r="A14" s="13" t="s">
        <v>45</v>
      </c>
      <c r="B14" s="118">
        <v>752</v>
      </c>
      <c r="C14" s="115">
        <f aca="true" t="shared" si="2" ref="C14:C25">B14*8.65</f>
        <v>6504.8</v>
      </c>
      <c r="D14" s="116">
        <f>C14*0.125</f>
        <v>813.1</v>
      </c>
      <c r="E14" s="99">
        <v>553.19</v>
      </c>
      <c r="F14" s="99">
        <v>55.95</v>
      </c>
      <c r="G14" s="99">
        <v>746.84</v>
      </c>
      <c r="H14" s="99">
        <v>75.51</v>
      </c>
      <c r="I14" s="99">
        <v>1797.9</v>
      </c>
      <c r="J14" s="99">
        <v>181.82</v>
      </c>
      <c r="K14" s="99">
        <v>1244.7</v>
      </c>
      <c r="L14" s="99">
        <v>125.87</v>
      </c>
      <c r="M14" s="97">
        <v>442.55</v>
      </c>
      <c r="N14" s="139">
        <v>44.75</v>
      </c>
      <c r="O14" s="105">
        <v>0</v>
      </c>
      <c r="P14" s="105">
        <v>0</v>
      </c>
      <c r="Q14" s="99">
        <v>0</v>
      </c>
      <c r="R14" s="105">
        <v>0</v>
      </c>
      <c r="S14" s="99">
        <f aca="true" t="shared" si="3" ref="S14:S25">E14+G14+I14+K14+M14+O14+Q14</f>
        <v>4785.18</v>
      </c>
      <c r="T14" s="117">
        <f aca="true" t="shared" si="4" ref="T14:T25">P14+N14+L14+J14+H14+F14+R14</f>
        <v>483.9</v>
      </c>
      <c r="U14" s="99">
        <v>98.93</v>
      </c>
      <c r="V14" s="99">
        <v>133.57</v>
      </c>
      <c r="W14" s="99">
        <v>321.5</v>
      </c>
      <c r="X14" s="99">
        <v>222.58</v>
      </c>
      <c r="Y14" s="99">
        <v>79.15</v>
      </c>
      <c r="Z14" s="99">
        <v>0</v>
      </c>
      <c r="AA14" s="105">
        <v>0</v>
      </c>
      <c r="AB14" s="119">
        <f aca="true" t="shared" si="5" ref="AB14:AB22">SUM(U14:AA14)</f>
        <v>855.73</v>
      </c>
      <c r="AC14" s="120">
        <f aca="true" t="shared" si="6" ref="AC14:AC22">D14+T14+AB14</f>
        <v>2152.73</v>
      </c>
      <c r="AD14" s="121">
        <f aca="true" t="shared" si="7" ref="AD14:AD25">P14+Z14</f>
        <v>0</v>
      </c>
      <c r="AE14" s="121">
        <f aca="true" t="shared" si="8" ref="AE14:AE25">R14+AA14</f>
        <v>0</v>
      </c>
      <c r="AF14" s="121"/>
      <c r="AG14" s="31">
        <f>0.6*B14*0.9</f>
        <v>406.08</v>
      </c>
      <c r="AH14" s="31">
        <f>B14*0.2*0.891</f>
        <v>134.0064</v>
      </c>
      <c r="AI14" s="31">
        <f>0.85*B14*0.867-0.02</f>
        <v>554.1664</v>
      </c>
      <c r="AJ14" s="31">
        <f aca="true" t="shared" si="9" ref="AJ14:AJ25">AI14*0.18</f>
        <v>99.749952</v>
      </c>
      <c r="AK14" s="31">
        <f>0.83*B14*0.8686</f>
        <v>542.1453759999999</v>
      </c>
      <c r="AL14" s="31">
        <f aca="true" t="shared" si="10" ref="AL14:AL25">AK14*0.18</f>
        <v>97.58616767999999</v>
      </c>
      <c r="AM14" s="31">
        <f>1.91*B14*0.8686</f>
        <v>1247.587552</v>
      </c>
      <c r="AN14" s="31">
        <f aca="true" t="shared" si="11" ref="AN14:AN25">AM14*0.18</f>
        <v>224.56575936</v>
      </c>
      <c r="AO14" s="31"/>
      <c r="AP14" s="31">
        <f aca="true" t="shared" si="12" ref="AP14:AP25">AO14*0.18</f>
        <v>0</v>
      </c>
      <c r="AQ14" s="126"/>
      <c r="AR14" s="126">
        <f aca="true" t="shared" si="13" ref="AR14:AR25">AQ14*0.18</f>
        <v>0</v>
      </c>
      <c r="AS14" s="103">
        <v>269</v>
      </c>
      <c r="AT14" s="103"/>
      <c r="AU14" s="103">
        <f>(AS14+AT14)*0.18+0.01</f>
        <v>48.43</v>
      </c>
      <c r="AV14" s="127">
        <v>508</v>
      </c>
      <c r="AW14" s="128">
        <v>0.3</v>
      </c>
      <c r="AX14" s="31">
        <f aca="true" t="shared" si="14" ref="AX14:AX25">AV14*AW14*1.12*1.18</f>
        <v>201.41184</v>
      </c>
      <c r="AY14" s="129"/>
      <c r="AZ14" s="131"/>
      <c r="BA14" s="131">
        <f aca="true" t="shared" si="15" ref="BA14:BA25">AZ14*0.18</f>
        <v>0</v>
      </c>
      <c r="BB14" s="131">
        <f>SUM(AG14:AU14)</f>
        <v>3623.3176070399995</v>
      </c>
      <c r="BC14" s="138"/>
      <c r="BD14" s="19">
        <f>AC14+AF14-BB14-BC14</f>
        <v>-1470.5876070399995</v>
      </c>
      <c r="BE14" s="21">
        <f aca="true" t="shared" si="16" ref="BE14:BE25">AB14-S14</f>
        <v>-3929.4500000000003</v>
      </c>
    </row>
    <row r="15" spans="1:57" ht="12.75">
      <c r="A15" s="13" t="s">
        <v>46</v>
      </c>
      <c r="B15" s="118">
        <v>752</v>
      </c>
      <c r="C15" s="115">
        <f t="shared" si="2"/>
        <v>6504.8</v>
      </c>
      <c r="D15" s="116">
        <f>C15*0.125</f>
        <v>813.1</v>
      </c>
      <c r="E15" s="99">
        <v>545.07</v>
      </c>
      <c r="F15" s="99">
        <v>62.62</v>
      </c>
      <c r="G15" s="99">
        <v>735.85</v>
      </c>
      <c r="H15" s="99">
        <v>84.53</v>
      </c>
      <c r="I15" s="99">
        <v>1771.47</v>
      </c>
      <c r="J15" s="99">
        <v>203.52</v>
      </c>
      <c r="K15" s="99">
        <v>1226.4</v>
      </c>
      <c r="L15" s="99">
        <v>140.9</v>
      </c>
      <c r="M15" s="97">
        <v>436.03</v>
      </c>
      <c r="N15" s="139">
        <v>50.1</v>
      </c>
      <c r="O15" s="105">
        <v>0</v>
      </c>
      <c r="P15" s="105">
        <v>0</v>
      </c>
      <c r="Q15" s="99">
        <v>0</v>
      </c>
      <c r="R15" s="105">
        <v>0</v>
      </c>
      <c r="S15" s="99">
        <f t="shared" si="3"/>
        <v>4714.820000000001</v>
      </c>
      <c r="T15" s="117">
        <f t="shared" si="4"/>
        <v>541.67</v>
      </c>
      <c r="U15" s="99">
        <v>211.6</v>
      </c>
      <c r="V15" s="99">
        <v>285.67</v>
      </c>
      <c r="W15" s="99">
        <v>687.76</v>
      </c>
      <c r="X15" s="99">
        <v>476.16</v>
      </c>
      <c r="Y15" s="99">
        <v>169.28</v>
      </c>
      <c r="Z15" s="99">
        <v>0</v>
      </c>
      <c r="AA15" s="105">
        <v>0</v>
      </c>
      <c r="AB15" s="122">
        <f t="shared" si="5"/>
        <v>1830.47</v>
      </c>
      <c r="AC15" s="120">
        <f t="shared" si="6"/>
        <v>3185.24</v>
      </c>
      <c r="AD15" s="121">
        <f t="shared" si="7"/>
        <v>0</v>
      </c>
      <c r="AE15" s="121">
        <f t="shared" si="8"/>
        <v>0</v>
      </c>
      <c r="AF15" s="121"/>
      <c r="AG15" s="31">
        <f>0.6*B15*0.9</f>
        <v>406.08</v>
      </c>
      <c r="AH15" s="31">
        <f>B15*0.2*0.9153</f>
        <v>137.66112</v>
      </c>
      <c r="AI15" s="31">
        <f>0.85*B15*0.867</f>
        <v>554.1863999999999</v>
      </c>
      <c r="AJ15" s="31">
        <f t="shared" si="9"/>
        <v>99.75355199999998</v>
      </c>
      <c r="AK15" s="31">
        <f>0.83*B15*0.8684</f>
        <v>542.020544</v>
      </c>
      <c r="AL15" s="31">
        <f t="shared" si="10"/>
        <v>97.56369792</v>
      </c>
      <c r="AM15" s="31">
        <f>(1.91)*B15*0.8684</f>
        <v>1247.300288</v>
      </c>
      <c r="AN15" s="31">
        <f t="shared" si="11"/>
        <v>224.51405183999998</v>
      </c>
      <c r="AO15" s="31"/>
      <c r="AP15" s="31">
        <f t="shared" si="12"/>
        <v>0</v>
      </c>
      <c r="AQ15" s="126"/>
      <c r="AR15" s="126">
        <f t="shared" si="13"/>
        <v>0</v>
      </c>
      <c r="AS15" s="103"/>
      <c r="AT15" s="103"/>
      <c r="AU15" s="103">
        <f aca="true" t="shared" si="17" ref="AU15:AU25">(AS15+AT15)*0.18</f>
        <v>0</v>
      </c>
      <c r="AV15" s="127">
        <v>407</v>
      </c>
      <c r="AW15" s="128">
        <v>0.3</v>
      </c>
      <c r="AX15" s="31">
        <f t="shared" si="14"/>
        <v>161.36736</v>
      </c>
      <c r="AY15" s="129"/>
      <c r="AZ15" s="131"/>
      <c r="BA15" s="131">
        <f t="shared" si="15"/>
        <v>0</v>
      </c>
      <c r="BB15" s="131">
        <f>SUM(AG15:AU15)+AY15</f>
        <v>3309.0796537599995</v>
      </c>
      <c r="BC15" s="140"/>
      <c r="BD15" s="19">
        <f aca="true" t="shared" si="18" ref="BD15:BD22">AC15+AF15-BB15-BC15</f>
        <v>-123.83965375999969</v>
      </c>
      <c r="BE15" s="21">
        <f t="shared" si="16"/>
        <v>-2884.3500000000004</v>
      </c>
    </row>
    <row r="16" spans="1:57" ht="12.75">
      <c r="A16" s="13" t="s">
        <v>47</v>
      </c>
      <c r="B16" s="141">
        <v>752</v>
      </c>
      <c r="C16" s="115">
        <f t="shared" si="2"/>
        <v>6504.8</v>
      </c>
      <c r="D16" s="116">
        <f>C16*0.125</f>
        <v>813.1</v>
      </c>
      <c r="E16" s="99">
        <v>545.08</v>
      </c>
      <c r="F16" s="99">
        <v>62.62</v>
      </c>
      <c r="G16" s="99">
        <v>735.87</v>
      </c>
      <c r="H16" s="99">
        <v>84.53</v>
      </c>
      <c r="I16" s="99">
        <v>1771.51</v>
      </c>
      <c r="J16" s="99">
        <v>203.52</v>
      </c>
      <c r="K16" s="99">
        <v>1226.43</v>
      </c>
      <c r="L16" s="99">
        <v>140.9</v>
      </c>
      <c r="M16" s="97">
        <v>436.03</v>
      </c>
      <c r="N16" s="139">
        <v>50.1</v>
      </c>
      <c r="O16" s="105">
        <v>0</v>
      </c>
      <c r="P16" s="105">
        <v>0</v>
      </c>
      <c r="Q16" s="99">
        <v>0</v>
      </c>
      <c r="R16" s="105">
        <v>0</v>
      </c>
      <c r="S16" s="99">
        <f t="shared" si="3"/>
        <v>4714.92</v>
      </c>
      <c r="T16" s="117">
        <f t="shared" si="4"/>
        <v>541.67</v>
      </c>
      <c r="U16" s="100">
        <v>237.85</v>
      </c>
      <c r="V16" s="100">
        <v>321.07</v>
      </c>
      <c r="W16" s="100">
        <v>772.98</v>
      </c>
      <c r="X16" s="100">
        <v>535.14</v>
      </c>
      <c r="Y16" s="100">
        <v>190.25</v>
      </c>
      <c r="Z16" s="100">
        <v>0</v>
      </c>
      <c r="AA16" s="123">
        <v>0</v>
      </c>
      <c r="AB16" s="119">
        <f t="shared" si="5"/>
        <v>2057.29</v>
      </c>
      <c r="AC16" s="120">
        <f t="shared" si="6"/>
        <v>3412.06</v>
      </c>
      <c r="AD16" s="121">
        <f t="shared" si="7"/>
        <v>0</v>
      </c>
      <c r="AE16" s="121">
        <f t="shared" si="8"/>
        <v>0</v>
      </c>
      <c r="AF16" s="121"/>
      <c r="AG16" s="31">
        <f>0.6*B16*0.9</f>
        <v>406.08</v>
      </c>
      <c r="AH16" s="124">
        <f>B16*0.2*0.9082</f>
        <v>136.59328</v>
      </c>
      <c r="AI16" s="31">
        <f>0.85*B16*0.8675</f>
        <v>554.506</v>
      </c>
      <c r="AJ16" s="31">
        <f t="shared" si="9"/>
        <v>99.81107999999999</v>
      </c>
      <c r="AK16" s="124">
        <f>0.83*B16*0.838</f>
        <v>523.04608</v>
      </c>
      <c r="AL16" s="31">
        <f t="shared" si="10"/>
        <v>94.14829439999998</v>
      </c>
      <c r="AM16" s="31">
        <f>1.91*B16*0.8381</f>
        <v>1203.7797919999998</v>
      </c>
      <c r="AN16" s="31">
        <f t="shared" si="11"/>
        <v>216.68036255999996</v>
      </c>
      <c r="AO16" s="31"/>
      <c r="AP16" s="31">
        <f t="shared" si="12"/>
        <v>0</v>
      </c>
      <c r="AQ16" s="126"/>
      <c r="AR16" s="126">
        <f t="shared" si="13"/>
        <v>0</v>
      </c>
      <c r="AS16" s="103">
        <v>277</v>
      </c>
      <c r="AT16" s="103"/>
      <c r="AU16" s="103">
        <f t="shared" si="17"/>
        <v>49.86</v>
      </c>
      <c r="AV16" s="127">
        <v>383</v>
      </c>
      <c r="AW16" s="128">
        <v>0.3</v>
      </c>
      <c r="AX16" s="31">
        <f t="shared" si="14"/>
        <v>151.85184</v>
      </c>
      <c r="AY16" s="129"/>
      <c r="AZ16" s="131"/>
      <c r="BA16" s="131">
        <f t="shared" si="15"/>
        <v>0</v>
      </c>
      <c r="BB16" s="131">
        <f>SUM(AG16:AU16)</f>
        <v>3561.50488896</v>
      </c>
      <c r="BC16" s="140"/>
      <c r="BD16" s="19">
        <f t="shared" si="18"/>
        <v>-149.44488895999984</v>
      </c>
      <c r="BE16" s="21">
        <f t="shared" si="16"/>
        <v>-2657.63</v>
      </c>
    </row>
    <row r="17" spans="1:57" ht="12.75">
      <c r="A17" s="13" t="s">
        <v>48</v>
      </c>
      <c r="B17" s="142">
        <v>752</v>
      </c>
      <c r="C17" s="115">
        <f t="shared" si="2"/>
        <v>6504.8</v>
      </c>
      <c r="D17" s="116">
        <f>C17*0.125</f>
        <v>813.1</v>
      </c>
      <c r="E17" s="100">
        <v>550.32</v>
      </c>
      <c r="F17" s="100">
        <v>62.62</v>
      </c>
      <c r="G17" s="100">
        <v>742.96</v>
      </c>
      <c r="H17" s="100">
        <v>84.53</v>
      </c>
      <c r="I17" s="100">
        <v>1788.56</v>
      </c>
      <c r="J17" s="100">
        <v>203.52</v>
      </c>
      <c r="K17" s="100">
        <v>1235.24</v>
      </c>
      <c r="L17" s="100">
        <v>140.9</v>
      </c>
      <c r="M17" s="101">
        <v>440.24</v>
      </c>
      <c r="N17" s="143">
        <v>50.1</v>
      </c>
      <c r="O17" s="123">
        <v>0</v>
      </c>
      <c r="P17" s="123">
        <v>0</v>
      </c>
      <c r="Q17" s="100">
        <v>0</v>
      </c>
      <c r="R17" s="123">
        <v>0</v>
      </c>
      <c r="S17" s="99">
        <f t="shared" si="3"/>
        <v>4757.32</v>
      </c>
      <c r="T17" s="117">
        <f t="shared" si="4"/>
        <v>541.67</v>
      </c>
      <c r="U17" s="99">
        <v>285.72</v>
      </c>
      <c r="V17" s="99">
        <v>385.75</v>
      </c>
      <c r="W17" s="99">
        <v>928.59</v>
      </c>
      <c r="X17" s="99">
        <v>642.88</v>
      </c>
      <c r="Y17" s="99">
        <v>228.55</v>
      </c>
      <c r="Z17" s="99">
        <v>0</v>
      </c>
      <c r="AA17" s="99">
        <v>0</v>
      </c>
      <c r="AB17" s="119">
        <f t="shared" si="5"/>
        <v>2471.4900000000002</v>
      </c>
      <c r="AC17" s="120">
        <f t="shared" si="6"/>
        <v>3826.26</v>
      </c>
      <c r="AD17" s="121">
        <f t="shared" si="7"/>
        <v>0</v>
      </c>
      <c r="AE17" s="121">
        <f t="shared" si="8"/>
        <v>0</v>
      </c>
      <c r="AF17" s="121"/>
      <c r="AG17" s="31">
        <f>0.6*B17*0.9</f>
        <v>406.08</v>
      </c>
      <c r="AH17" s="124">
        <f>B17*0.2*0.9234</f>
        <v>138.87936</v>
      </c>
      <c r="AI17" s="31">
        <f>0.85*B17*0.8934</f>
        <v>571.0612799999999</v>
      </c>
      <c r="AJ17" s="31">
        <f t="shared" si="9"/>
        <v>102.79103039999998</v>
      </c>
      <c r="AK17" s="31">
        <f>0.83*B17*0.8498</f>
        <v>530.411168</v>
      </c>
      <c r="AL17" s="31">
        <f t="shared" si="10"/>
        <v>95.47401024</v>
      </c>
      <c r="AM17" s="31">
        <f>(1.91)*B17*0.8498</f>
        <v>1220.584736</v>
      </c>
      <c r="AN17" s="31">
        <f t="shared" si="11"/>
        <v>219.70525247999998</v>
      </c>
      <c r="AO17" s="31"/>
      <c r="AP17" s="31">
        <f t="shared" si="12"/>
        <v>0</v>
      </c>
      <c r="AQ17" s="126"/>
      <c r="AR17" s="126">
        <f t="shared" si="13"/>
        <v>0</v>
      </c>
      <c r="AS17" s="103">
        <v>310</v>
      </c>
      <c r="AT17" s="103"/>
      <c r="AU17" s="103">
        <f t="shared" si="17"/>
        <v>55.8</v>
      </c>
      <c r="AV17" s="127">
        <v>307</v>
      </c>
      <c r="AW17" s="128">
        <v>0.3</v>
      </c>
      <c r="AX17" s="31">
        <f t="shared" si="14"/>
        <v>121.71936</v>
      </c>
      <c r="AY17" s="135"/>
      <c r="AZ17" s="129"/>
      <c r="BA17" s="131">
        <f t="shared" si="15"/>
        <v>0</v>
      </c>
      <c r="BB17" s="19">
        <f>SUM(AG17:BA17)-AV17-AW17+AX14+AX15+AX16</f>
        <v>4287.1372371200005</v>
      </c>
      <c r="BC17" s="140"/>
      <c r="BD17" s="19">
        <f>AC17+AF17-BB17-BC17</f>
        <v>-460.87723712000025</v>
      </c>
      <c r="BE17" s="21">
        <f t="shared" si="16"/>
        <v>-2285.8299999999995</v>
      </c>
    </row>
    <row r="18" spans="1:57" ht="12.75">
      <c r="A18" s="13" t="s">
        <v>49</v>
      </c>
      <c r="B18" s="141">
        <v>752</v>
      </c>
      <c r="C18" s="115">
        <f t="shared" si="2"/>
        <v>6504.8</v>
      </c>
      <c r="D18" s="132">
        <f aca="true" t="shared" si="19" ref="D18:D25">C18-E18-F18-G18-H18-I18-J18-K18-L18-M18-N18</f>
        <v>604.1399999999992</v>
      </c>
      <c r="E18" s="100">
        <v>610.46</v>
      </c>
      <c r="F18" s="100">
        <v>70.47</v>
      </c>
      <c r="G18" s="100">
        <v>827.31</v>
      </c>
      <c r="H18" s="100">
        <v>95.5</v>
      </c>
      <c r="I18" s="100">
        <v>1987.21</v>
      </c>
      <c r="J18" s="100">
        <v>229.34</v>
      </c>
      <c r="K18" s="100">
        <v>1376.73</v>
      </c>
      <c r="L18" s="100">
        <v>158.91</v>
      </c>
      <c r="M18" s="101">
        <v>488.38</v>
      </c>
      <c r="N18" s="143">
        <v>56.35</v>
      </c>
      <c r="O18" s="123">
        <v>0</v>
      </c>
      <c r="P18" s="123">
        <v>0</v>
      </c>
      <c r="Q18" s="100">
        <v>0</v>
      </c>
      <c r="R18" s="123">
        <v>0</v>
      </c>
      <c r="S18" s="99">
        <f t="shared" si="3"/>
        <v>5290.09</v>
      </c>
      <c r="T18" s="117">
        <f t="shared" si="4"/>
        <v>610.57</v>
      </c>
      <c r="U18" s="100">
        <v>373.94</v>
      </c>
      <c r="V18" s="100">
        <v>504.8</v>
      </c>
      <c r="W18" s="100">
        <v>1215.31</v>
      </c>
      <c r="X18" s="100">
        <v>841.36</v>
      </c>
      <c r="Y18" s="100">
        <v>299.12</v>
      </c>
      <c r="Z18" s="100">
        <v>0</v>
      </c>
      <c r="AA18" s="123">
        <v>0</v>
      </c>
      <c r="AB18" s="119">
        <f t="shared" si="5"/>
        <v>3234.53</v>
      </c>
      <c r="AC18" s="120">
        <f t="shared" si="6"/>
        <v>4449.24</v>
      </c>
      <c r="AD18" s="121">
        <f t="shared" si="7"/>
        <v>0</v>
      </c>
      <c r="AE18" s="121">
        <f t="shared" si="8"/>
        <v>0</v>
      </c>
      <c r="AF18" s="121"/>
      <c r="AG18" s="31">
        <f aca="true" t="shared" si="20" ref="AG18:AG25">0.6*B18</f>
        <v>451.2</v>
      </c>
      <c r="AH18" s="31">
        <f>B18*0.2*1.01</f>
        <v>151.904</v>
      </c>
      <c r="AI18" s="31">
        <f>0.85*B18</f>
        <v>639.1999999999999</v>
      </c>
      <c r="AJ18" s="31">
        <f t="shared" si="9"/>
        <v>115.05599999999998</v>
      </c>
      <c r="AK18" s="31">
        <f>0.83*B18</f>
        <v>624.16</v>
      </c>
      <c r="AL18" s="31">
        <f t="shared" si="10"/>
        <v>112.3488</v>
      </c>
      <c r="AM18" s="31">
        <f>(1.91)*B18</f>
        <v>1436.32</v>
      </c>
      <c r="AN18" s="31">
        <f t="shared" si="11"/>
        <v>258.5376</v>
      </c>
      <c r="AO18" s="31"/>
      <c r="AP18" s="31">
        <f t="shared" si="12"/>
        <v>0</v>
      </c>
      <c r="AQ18" s="126"/>
      <c r="AR18" s="126">
        <f t="shared" si="13"/>
        <v>0</v>
      </c>
      <c r="AS18" s="103">
        <v>0</v>
      </c>
      <c r="AT18" s="103"/>
      <c r="AU18" s="103">
        <f t="shared" si="17"/>
        <v>0</v>
      </c>
      <c r="AV18" s="127">
        <v>263</v>
      </c>
      <c r="AW18" s="128">
        <v>0.3</v>
      </c>
      <c r="AX18" s="31">
        <f t="shared" si="14"/>
        <v>104.27423999999999</v>
      </c>
      <c r="AY18" s="129"/>
      <c r="AZ18" s="131"/>
      <c r="BA18" s="131">
        <f t="shared" si="15"/>
        <v>0</v>
      </c>
      <c r="BB18" s="131">
        <f>SUM(AG18:BA18)-AV18-AW18</f>
        <v>3893.00064</v>
      </c>
      <c r="BC18" s="140"/>
      <c r="BD18" s="19">
        <f t="shared" si="18"/>
        <v>556.2393599999996</v>
      </c>
      <c r="BE18" s="21">
        <f t="shared" si="16"/>
        <v>-2055.56</v>
      </c>
    </row>
    <row r="19" spans="1:57" ht="12.75">
      <c r="A19" s="13" t="s">
        <v>50</v>
      </c>
      <c r="B19" s="141">
        <v>752</v>
      </c>
      <c r="C19" s="115">
        <f t="shared" si="2"/>
        <v>6504.8</v>
      </c>
      <c r="D19" s="132">
        <f t="shared" si="19"/>
        <v>604.1500000000003</v>
      </c>
      <c r="E19" s="100">
        <v>606.24</v>
      </c>
      <c r="F19" s="100">
        <v>74.69</v>
      </c>
      <c r="G19" s="100">
        <v>821.59</v>
      </c>
      <c r="H19" s="100">
        <v>101.22</v>
      </c>
      <c r="I19" s="100">
        <v>1973.46</v>
      </c>
      <c r="J19" s="100">
        <v>243.08</v>
      </c>
      <c r="K19" s="100">
        <v>1367.21</v>
      </c>
      <c r="L19" s="100">
        <v>168.43</v>
      </c>
      <c r="M19" s="101">
        <v>485</v>
      </c>
      <c r="N19" s="143">
        <v>59.73</v>
      </c>
      <c r="O19" s="123">
        <v>0</v>
      </c>
      <c r="P19" s="123">
        <v>0</v>
      </c>
      <c r="Q19" s="100">
        <v>0</v>
      </c>
      <c r="R19" s="123">
        <v>0</v>
      </c>
      <c r="S19" s="99">
        <f t="shared" si="3"/>
        <v>5253.5</v>
      </c>
      <c r="T19" s="117">
        <f t="shared" si="4"/>
        <v>647.1500000000001</v>
      </c>
      <c r="U19" s="100">
        <v>259.96</v>
      </c>
      <c r="V19" s="100">
        <v>351.73</v>
      </c>
      <c r="W19" s="100">
        <v>845.61</v>
      </c>
      <c r="X19" s="100">
        <v>585.6</v>
      </c>
      <c r="Y19" s="100">
        <v>207.98</v>
      </c>
      <c r="Z19" s="100">
        <v>0</v>
      </c>
      <c r="AA19" s="123">
        <v>0</v>
      </c>
      <c r="AB19" s="119">
        <f t="shared" si="5"/>
        <v>2250.88</v>
      </c>
      <c r="AC19" s="120">
        <f t="shared" si="6"/>
        <v>3502.1800000000003</v>
      </c>
      <c r="AD19" s="121">
        <f t="shared" si="7"/>
        <v>0</v>
      </c>
      <c r="AE19" s="121">
        <f t="shared" si="8"/>
        <v>0</v>
      </c>
      <c r="AF19" s="121"/>
      <c r="AG19" s="31">
        <f t="shared" si="20"/>
        <v>451.2</v>
      </c>
      <c r="AH19" s="31">
        <f>B19*0.2*1.01045</f>
        <v>151.97168000000002</v>
      </c>
      <c r="AI19" s="31">
        <f>0.85*B19</f>
        <v>639.1999999999999</v>
      </c>
      <c r="AJ19" s="31">
        <f t="shared" si="9"/>
        <v>115.05599999999998</v>
      </c>
      <c r="AK19" s="31">
        <f>0.83*B19</f>
        <v>624.16</v>
      </c>
      <c r="AL19" s="31">
        <f t="shared" si="10"/>
        <v>112.3488</v>
      </c>
      <c r="AM19" s="31">
        <f>(1.91)*B19</f>
        <v>1436.32</v>
      </c>
      <c r="AN19" s="31">
        <f t="shared" si="11"/>
        <v>258.5376</v>
      </c>
      <c r="AO19" s="31"/>
      <c r="AP19" s="31">
        <f t="shared" si="12"/>
        <v>0</v>
      </c>
      <c r="AQ19" s="126"/>
      <c r="AR19" s="126">
        <f t="shared" si="13"/>
        <v>0</v>
      </c>
      <c r="AS19" s="103">
        <v>1026.05</v>
      </c>
      <c r="AT19" s="103"/>
      <c r="AU19" s="103">
        <f t="shared" si="17"/>
        <v>184.689</v>
      </c>
      <c r="AV19" s="127">
        <v>233</v>
      </c>
      <c r="AW19" s="128">
        <v>0.3</v>
      </c>
      <c r="AX19" s="31">
        <f t="shared" si="14"/>
        <v>92.37983999999999</v>
      </c>
      <c r="AY19" s="129"/>
      <c r="AZ19" s="131"/>
      <c r="BA19" s="131">
        <f t="shared" si="15"/>
        <v>0</v>
      </c>
      <c r="BB19" s="131">
        <f>SUM(AG19:BA19)-AV19-AW19</f>
        <v>5091.91292</v>
      </c>
      <c r="BC19" s="140"/>
      <c r="BD19" s="19">
        <f t="shared" si="18"/>
        <v>-1589.7329199999995</v>
      </c>
      <c r="BE19" s="21">
        <f t="shared" si="16"/>
        <v>-3002.62</v>
      </c>
    </row>
    <row r="20" spans="1:57" ht="12.75">
      <c r="A20" s="13" t="s">
        <v>51</v>
      </c>
      <c r="B20" s="118">
        <v>750.4</v>
      </c>
      <c r="C20" s="115">
        <f t="shared" si="2"/>
        <v>6490.96</v>
      </c>
      <c r="D20" s="132">
        <f t="shared" si="19"/>
        <v>603.4699999999998</v>
      </c>
      <c r="E20" s="100">
        <v>603.27</v>
      </c>
      <c r="F20" s="100">
        <v>76.14</v>
      </c>
      <c r="G20" s="100">
        <v>817.57</v>
      </c>
      <c r="H20" s="100">
        <v>103.18</v>
      </c>
      <c r="I20" s="100">
        <v>1963.8</v>
      </c>
      <c r="J20" s="100">
        <v>247.8</v>
      </c>
      <c r="K20" s="100">
        <v>1360.52</v>
      </c>
      <c r="L20" s="100">
        <v>171.69</v>
      </c>
      <c r="M20" s="101">
        <v>482.64</v>
      </c>
      <c r="N20" s="143">
        <v>60.88</v>
      </c>
      <c r="O20" s="123">
        <v>0</v>
      </c>
      <c r="P20" s="123">
        <v>0</v>
      </c>
      <c r="Q20" s="100">
        <v>0</v>
      </c>
      <c r="R20" s="123">
        <v>0</v>
      </c>
      <c r="S20" s="99">
        <f t="shared" si="3"/>
        <v>5227.8</v>
      </c>
      <c r="T20" s="117">
        <f t="shared" si="4"/>
        <v>659.6899999999999</v>
      </c>
      <c r="U20" s="100">
        <v>406.1</v>
      </c>
      <c r="V20" s="100">
        <v>549.73</v>
      </c>
      <c r="W20" s="100">
        <v>1321.39</v>
      </c>
      <c r="X20" s="100">
        <v>915.19</v>
      </c>
      <c r="Y20" s="100">
        <v>324.91</v>
      </c>
      <c r="Z20" s="100">
        <v>0</v>
      </c>
      <c r="AA20" s="123">
        <v>0</v>
      </c>
      <c r="AB20" s="119">
        <f t="shared" si="5"/>
        <v>3517.32</v>
      </c>
      <c r="AC20" s="120">
        <f t="shared" si="6"/>
        <v>4780.48</v>
      </c>
      <c r="AD20" s="121">
        <f t="shared" si="7"/>
        <v>0</v>
      </c>
      <c r="AE20" s="121">
        <f t="shared" si="8"/>
        <v>0</v>
      </c>
      <c r="AF20" s="121"/>
      <c r="AG20" s="31">
        <f t="shared" si="20"/>
        <v>450.23999999999995</v>
      </c>
      <c r="AH20" s="31">
        <f>B20*0.2*0.99426</f>
        <v>149.21854080000003</v>
      </c>
      <c r="AI20" s="31">
        <f>0.85*B20*0.9857</f>
        <v>628.7188879999999</v>
      </c>
      <c r="AJ20" s="31">
        <f t="shared" si="9"/>
        <v>113.16939983999997</v>
      </c>
      <c r="AK20" s="31">
        <f>0.83*B20*0.9905</f>
        <v>616.9150960000001</v>
      </c>
      <c r="AL20" s="31">
        <f t="shared" si="10"/>
        <v>111.04471728</v>
      </c>
      <c r="AM20" s="31">
        <f>(1.91)*B20*0.9905</f>
        <v>1419.647992</v>
      </c>
      <c r="AN20" s="31">
        <f t="shared" si="11"/>
        <v>255.53663855999997</v>
      </c>
      <c r="AO20" s="31"/>
      <c r="AP20" s="31">
        <f t="shared" si="12"/>
        <v>0</v>
      </c>
      <c r="AQ20" s="126"/>
      <c r="AR20" s="126">
        <f t="shared" si="13"/>
        <v>0</v>
      </c>
      <c r="AS20" s="103">
        <v>270.76</v>
      </c>
      <c r="AT20" s="103"/>
      <c r="AU20" s="103">
        <f t="shared" si="17"/>
        <v>48.736799999999995</v>
      </c>
      <c r="AV20" s="127">
        <v>248</v>
      </c>
      <c r="AW20" s="128">
        <v>0.3</v>
      </c>
      <c r="AX20" s="31">
        <f t="shared" si="14"/>
        <v>98.32704</v>
      </c>
      <c r="AY20" s="129"/>
      <c r="AZ20" s="131"/>
      <c r="BA20" s="131">
        <f t="shared" si="15"/>
        <v>0</v>
      </c>
      <c r="BB20" s="131">
        <f>SUM(AG20:BA20)-AV20-AW20</f>
        <v>4162.315112480001</v>
      </c>
      <c r="BC20" s="140"/>
      <c r="BD20" s="19">
        <f t="shared" si="18"/>
        <v>618.164887519999</v>
      </c>
      <c r="BE20" s="21">
        <f t="shared" si="16"/>
        <v>-1710.48</v>
      </c>
    </row>
    <row r="21" spans="1:57" ht="12.75">
      <c r="A21" s="13" t="s">
        <v>52</v>
      </c>
      <c r="B21" s="98">
        <v>750.4</v>
      </c>
      <c r="C21" s="115">
        <f t="shared" si="2"/>
        <v>6490.96</v>
      </c>
      <c r="D21" s="132">
        <f t="shared" si="19"/>
        <v>603.47</v>
      </c>
      <c r="E21" s="100">
        <v>609.3</v>
      </c>
      <c r="F21" s="100">
        <v>70.11</v>
      </c>
      <c r="G21" s="100">
        <v>825.74</v>
      </c>
      <c r="H21" s="100">
        <v>95.01</v>
      </c>
      <c r="I21" s="100">
        <v>1983.43</v>
      </c>
      <c r="J21" s="100">
        <v>228.17</v>
      </c>
      <c r="K21" s="100">
        <v>1374.12</v>
      </c>
      <c r="L21" s="100">
        <v>158.09</v>
      </c>
      <c r="M21" s="101">
        <v>487.46</v>
      </c>
      <c r="N21" s="143">
        <v>56.06</v>
      </c>
      <c r="O21" s="123">
        <v>0</v>
      </c>
      <c r="P21" s="123">
        <v>0</v>
      </c>
      <c r="Q21" s="100">
        <v>0</v>
      </c>
      <c r="R21" s="100">
        <v>0</v>
      </c>
      <c r="S21" s="99">
        <f t="shared" si="3"/>
        <v>5280.05</v>
      </c>
      <c r="T21" s="117">
        <f t="shared" si="4"/>
        <v>607.44</v>
      </c>
      <c r="U21" s="100">
        <v>376.98</v>
      </c>
      <c r="V21" s="100">
        <v>510.46</v>
      </c>
      <c r="W21" s="100">
        <v>1226.69</v>
      </c>
      <c r="X21" s="100">
        <v>849.72</v>
      </c>
      <c r="Y21" s="100">
        <v>301.6</v>
      </c>
      <c r="Z21" s="100">
        <v>0</v>
      </c>
      <c r="AA21" s="123">
        <v>0</v>
      </c>
      <c r="AB21" s="119">
        <f t="shared" si="5"/>
        <v>3265.4500000000003</v>
      </c>
      <c r="AC21" s="120">
        <f t="shared" si="6"/>
        <v>4476.360000000001</v>
      </c>
      <c r="AD21" s="121">
        <f t="shared" si="7"/>
        <v>0</v>
      </c>
      <c r="AE21" s="121">
        <f t="shared" si="8"/>
        <v>0</v>
      </c>
      <c r="AF21" s="121"/>
      <c r="AG21" s="31">
        <f t="shared" si="20"/>
        <v>450.23999999999995</v>
      </c>
      <c r="AH21" s="31">
        <f>B21*0.2*0.99875</f>
        <v>149.8924</v>
      </c>
      <c r="AI21" s="31">
        <f>0.85*B21*0.98526</f>
        <v>628.4382383999999</v>
      </c>
      <c r="AJ21" s="31">
        <f t="shared" si="9"/>
        <v>113.11888291199999</v>
      </c>
      <c r="AK21" s="31">
        <f>0.83*B21*0.99</f>
        <v>616.6036799999999</v>
      </c>
      <c r="AL21" s="31">
        <f t="shared" si="10"/>
        <v>110.98866239999998</v>
      </c>
      <c r="AM21" s="31">
        <f>(1.91)*B21*0.99</f>
        <v>1418.9313599999998</v>
      </c>
      <c r="AN21" s="31">
        <f t="shared" si="11"/>
        <v>255.40764479999996</v>
      </c>
      <c r="AO21" s="31"/>
      <c r="AP21" s="31">
        <f t="shared" si="12"/>
        <v>0</v>
      </c>
      <c r="AQ21" s="126"/>
      <c r="AR21" s="126">
        <f t="shared" si="13"/>
        <v>0</v>
      </c>
      <c r="AS21" s="103"/>
      <c r="AT21" s="103"/>
      <c r="AU21" s="103">
        <f t="shared" si="17"/>
        <v>0</v>
      </c>
      <c r="AV21" s="127">
        <v>293</v>
      </c>
      <c r="AW21" s="128">
        <v>0.3</v>
      </c>
      <c r="AX21" s="31">
        <f t="shared" si="14"/>
        <v>116.16863999999998</v>
      </c>
      <c r="AY21" s="129"/>
      <c r="AZ21" s="131"/>
      <c r="BA21" s="131">
        <f t="shared" si="15"/>
        <v>0</v>
      </c>
      <c r="BB21" s="131">
        <f>SUM(AG21:BA21)-AV21-AW21</f>
        <v>3859.789508512</v>
      </c>
      <c r="BC21" s="140"/>
      <c r="BD21" s="19">
        <f t="shared" si="18"/>
        <v>616.5704914880007</v>
      </c>
      <c r="BE21" s="21">
        <f t="shared" si="16"/>
        <v>-2014.6</v>
      </c>
    </row>
    <row r="22" spans="1:57" ht="12.75">
      <c r="A22" s="13" t="s">
        <v>53</v>
      </c>
      <c r="B22" s="98">
        <v>750.4</v>
      </c>
      <c r="C22" s="115">
        <f t="shared" si="2"/>
        <v>6490.96</v>
      </c>
      <c r="D22" s="132">
        <f t="shared" si="19"/>
        <v>603.47</v>
      </c>
      <c r="E22" s="99">
        <v>609.3</v>
      </c>
      <c r="F22" s="99">
        <v>70.11</v>
      </c>
      <c r="G22" s="99">
        <v>825.74</v>
      </c>
      <c r="H22" s="99">
        <v>95.01</v>
      </c>
      <c r="I22" s="99">
        <v>1983.43</v>
      </c>
      <c r="J22" s="99">
        <v>228.17</v>
      </c>
      <c r="K22" s="99">
        <v>1374.12</v>
      </c>
      <c r="L22" s="99">
        <v>158.09</v>
      </c>
      <c r="M22" s="97">
        <v>487.46</v>
      </c>
      <c r="N22" s="139">
        <v>56.06</v>
      </c>
      <c r="O22" s="105">
        <v>0</v>
      </c>
      <c r="P22" s="105">
        <v>0</v>
      </c>
      <c r="Q22" s="105">
        <v>0</v>
      </c>
      <c r="R22" s="105">
        <v>0</v>
      </c>
      <c r="S22" s="99">
        <f t="shared" si="3"/>
        <v>5280.05</v>
      </c>
      <c r="T22" s="117">
        <f t="shared" si="4"/>
        <v>607.44</v>
      </c>
      <c r="U22" s="99">
        <v>372.84</v>
      </c>
      <c r="V22" s="99">
        <v>504.73</v>
      </c>
      <c r="W22" s="99">
        <v>1213.11</v>
      </c>
      <c r="X22" s="99">
        <v>840.25</v>
      </c>
      <c r="Y22" s="99">
        <v>298.26</v>
      </c>
      <c r="Z22" s="99">
        <v>0</v>
      </c>
      <c r="AA22" s="105">
        <v>0</v>
      </c>
      <c r="AB22" s="119">
        <f t="shared" si="5"/>
        <v>3229.1899999999996</v>
      </c>
      <c r="AC22" s="120">
        <f t="shared" si="6"/>
        <v>4440.099999999999</v>
      </c>
      <c r="AD22" s="121">
        <f t="shared" si="7"/>
        <v>0</v>
      </c>
      <c r="AE22" s="121">
        <f t="shared" si="8"/>
        <v>0</v>
      </c>
      <c r="AF22" s="121"/>
      <c r="AG22" s="31">
        <f t="shared" si="20"/>
        <v>450.23999999999995</v>
      </c>
      <c r="AH22" s="31">
        <f>B22*0.2*0.9997</f>
        <v>150.03497600000003</v>
      </c>
      <c r="AI22" s="31">
        <f>0.85*B22*0.98509</f>
        <v>628.3298056</v>
      </c>
      <c r="AJ22" s="31">
        <f t="shared" si="9"/>
        <v>113.09936500799999</v>
      </c>
      <c r="AK22" s="31">
        <f>0.83*B22*0.98981</f>
        <v>616.48534192</v>
      </c>
      <c r="AL22" s="31">
        <f t="shared" si="10"/>
        <v>110.9673615456</v>
      </c>
      <c r="AM22" s="31">
        <f>(1.91)*B22*0.9898</f>
        <v>1418.6447071999999</v>
      </c>
      <c r="AN22" s="31">
        <f t="shared" si="11"/>
        <v>255.35604729599996</v>
      </c>
      <c r="AO22" s="31"/>
      <c r="AP22" s="31">
        <f t="shared" si="12"/>
        <v>0</v>
      </c>
      <c r="AQ22" s="126"/>
      <c r="AR22" s="126">
        <f t="shared" si="13"/>
        <v>0</v>
      </c>
      <c r="AS22" s="103"/>
      <c r="AT22" s="103"/>
      <c r="AU22" s="103">
        <f t="shared" si="17"/>
        <v>0</v>
      </c>
      <c r="AV22" s="127">
        <v>349</v>
      </c>
      <c r="AW22" s="128">
        <v>0.3</v>
      </c>
      <c r="AX22" s="31">
        <f t="shared" si="14"/>
        <v>138.37152</v>
      </c>
      <c r="AY22" s="129"/>
      <c r="AZ22" s="131"/>
      <c r="BA22" s="131">
        <f t="shared" si="15"/>
        <v>0</v>
      </c>
      <c r="BB22" s="131">
        <f>SUM(AG22:BA22)-AV22-AW22</f>
        <v>3881.529124569599</v>
      </c>
      <c r="BC22" s="140"/>
      <c r="BD22" s="19">
        <f t="shared" si="18"/>
        <v>558.5708754304005</v>
      </c>
      <c r="BE22" s="21">
        <f t="shared" si="16"/>
        <v>-2050.8600000000006</v>
      </c>
    </row>
    <row r="23" spans="1:57" ht="12.75">
      <c r="A23" s="32" t="s">
        <v>41</v>
      </c>
      <c r="B23" s="98">
        <v>750.4</v>
      </c>
      <c r="C23" s="133">
        <f t="shared" si="2"/>
        <v>6490.96</v>
      </c>
      <c r="D23" s="132">
        <f t="shared" si="19"/>
        <v>603.47</v>
      </c>
      <c r="E23" s="104">
        <v>609.3</v>
      </c>
      <c r="F23" s="99">
        <v>70.11</v>
      </c>
      <c r="G23" s="99">
        <v>825.74</v>
      </c>
      <c r="H23" s="99">
        <v>95.01</v>
      </c>
      <c r="I23" s="99">
        <v>1983.43</v>
      </c>
      <c r="J23" s="99">
        <v>228.17</v>
      </c>
      <c r="K23" s="99">
        <v>1374.12</v>
      </c>
      <c r="L23" s="99">
        <v>158.09</v>
      </c>
      <c r="M23" s="99">
        <v>487.46</v>
      </c>
      <c r="N23" s="105">
        <v>56.06</v>
      </c>
      <c r="O23" s="105">
        <v>0</v>
      </c>
      <c r="P23" s="105">
        <v>0</v>
      </c>
      <c r="Q23" s="99">
        <v>0</v>
      </c>
      <c r="R23" s="99">
        <v>0</v>
      </c>
      <c r="S23" s="99">
        <f t="shared" si="3"/>
        <v>5280.05</v>
      </c>
      <c r="T23" s="117">
        <f t="shared" si="4"/>
        <v>607.44</v>
      </c>
      <c r="U23" s="106">
        <f>391.38+536.54</f>
        <v>927.92</v>
      </c>
      <c r="V23" s="99">
        <f>529.96+725.83</f>
        <v>1255.79</v>
      </c>
      <c r="W23" s="99">
        <f>1273.63+1745.29</f>
        <v>3018.92</v>
      </c>
      <c r="X23" s="99">
        <f>882.17+1208.73</f>
        <v>2090.9</v>
      </c>
      <c r="Y23" s="99">
        <f>313.18+429.25</f>
        <v>742.4300000000001</v>
      </c>
      <c r="Z23" s="99">
        <v>0</v>
      </c>
      <c r="AA23" s="105">
        <v>0</v>
      </c>
      <c r="AB23" s="105">
        <f>SUM(U23:AA23)</f>
        <v>8035.960000000001</v>
      </c>
      <c r="AC23" s="120">
        <f>AB23+T23+D23</f>
        <v>9246.87</v>
      </c>
      <c r="AD23" s="121">
        <f t="shared" si="7"/>
        <v>0</v>
      </c>
      <c r="AE23" s="121">
        <f t="shared" si="8"/>
        <v>0</v>
      </c>
      <c r="AF23" s="121"/>
      <c r="AG23" s="31">
        <f t="shared" si="20"/>
        <v>450.23999999999995</v>
      </c>
      <c r="AH23" s="31">
        <f>B23*0.2</f>
        <v>150.08</v>
      </c>
      <c r="AI23" s="31">
        <f>0.847*B23</f>
        <v>635.5888</v>
      </c>
      <c r="AJ23" s="31">
        <f t="shared" si="9"/>
        <v>114.40598399999999</v>
      </c>
      <c r="AK23" s="31">
        <f>(0.83*B23)</f>
        <v>622.832</v>
      </c>
      <c r="AL23" s="31">
        <f t="shared" si="10"/>
        <v>112.10976</v>
      </c>
      <c r="AM23" s="31">
        <f>(2.25/1.18)*B23</f>
        <v>1430.8474576271187</v>
      </c>
      <c r="AN23" s="31">
        <f t="shared" si="11"/>
        <v>257.55254237288136</v>
      </c>
      <c r="AO23" s="31"/>
      <c r="AP23" s="31">
        <f t="shared" si="12"/>
        <v>0</v>
      </c>
      <c r="AQ23" s="126"/>
      <c r="AR23" s="126">
        <f t="shared" si="13"/>
        <v>0</v>
      </c>
      <c r="AS23" s="103">
        <v>0</v>
      </c>
      <c r="AT23" s="103"/>
      <c r="AU23" s="103">
        <f t="shared" si="17"/>
        <v>0</v>
      </c>
      <c r="AV23" s="127">
        <v>425</v>
      </c>
      <c r="AW23" s="128">
        <v>0.3</v>
      </c>
      <c r="AX23" s="31">
        <f t="shared" si="14"/>
        <v>168.504</v>
      </c>
      <c r="AY23" s="129"/>
      <c r="AZ23" s="130"/>
      <c r="BA23" s="131">
        <f t="shared" si="15"/>
        <v>0</v>
      </c>
      <c r="BB23" s="131">
        <f>SUM(AG23:AU23)+AX23+AY23+AZ23+BA23</f>
        <v>3942.160544</v>
      </c>
      <c r="BC23" s="140"/>
      <c r="BD23" s="19">
        <f>AC23+AF23-BB23-BC23</f>
        <v>5304.7094560000005</v>
      </c>
      <c r="BE23" s="21">
        <f t="shared" si="16"/>
        <v>2755.9100000000008</v>
      </c>
    </row>
    <row r="24" spans="1:57" ht="12.75">
      <c r="A24" s="13" t="s">
        <v>42</v>
      </c>
      <c r="B24" s="118">
        <v>750.4</v>
      </c>
      <c r="C24" s="133">
        <f t="shared" si="2"/>
        <v>6490.96</v>
      </c>
      <c r="D24" s="132">
        <f t="shared" si="19"/>
        <v>597.6900000000004</v>
      </c>
      <c r="E24" s="99">
        <v>613.05</v>
      </c>
      <c r="F24" s="99">
        <v>67.04</v>
      </c>
      <c r="G24" s="99">
        <v>830.78</v>
      </c>
      <c r="H24" s="99">
        <v>90.86</v>
      </c>
      <c r="I24" s="99">
        <v>1995.55</v>
      </c>
      <c r="J24" s="99">
        <v>218.22</v>
      </c>
      <c r="K24" s="99">
        <v>1382.51</v>
      </c>
      <c r="L24" s="99">
        <v>151.19</v>
      </c>
      <c r="M24" s="97">
        <v>490.45</v>
      </c>
      <c r="N24" s="139">
        <v>53.62</v>
      </c>
      <c r="O24" s="105">
        <v>0</v>
      </c>
      <c r="P24" s="105">
        <v>0</v>
      </c>
      <c r="Q24" s="105">
        <v>0</v>
      </c>
      <c r="R24" s="105">
        <v>0</v>
      </c>
      <c r="S24" s="99">
        <f t="shared" si="3"/>
        <v>5312.34</v>
      </c>
      <c r="T24" s="117">
        <f t="shared" si="4"/>
        <v>580.93</v>
      </c>
      <c r="U24" s="99">
        <v>638.32</v>
      </c>
      <c r="V24" s="99">
        <v>864.07</v>
      </c>
      <c r="W24" s="99">
        <v>2076.85</v>
      </c>
      <c r="X24" s="99">
        <v>1438.45</v>
      </c>
      <c r="Y24" s="99">
        <v>510.7</v>
      </c>
      <c r="Z24" s="99">
        <v>0</v>
      </c>
      <c r="AA24" s="105">
        <v>0</v>
      </c>
      <c r="AB24" s="105">
        <f>SUM(U24:AA24)</f>
        <v>5528.389999999999</v>
      </c>
      <c r="AC24" s="120">
        <f>D24+T24+AB24</f>
        <v>6707.01</v>
      </c>
      <c r="AD24" s="121">
        <f t="shared" si="7"/>
        <v>0</v>
      </c>
      <c r="AE24" s="121">
        <f t="shared" si="8"/>
        <v>0</v>
      </c>
      <c r="AF24" s="121"/>
      <c r="AG24" s="31">
        <f t="shared" si="20"/>
        <v>450.23999999999995</v>
      </c>
      <c r="AH24" s="31">
        <f>B24*0.2</f>
        <v>150.08</v>
      </c>
      <c r="AI24" s="31">
        <f>0.85*B24</f>
        <v>637.8399999999999</v>
      </c>
      <c r="AJ24" s="31">
        <f t="shared" si="9"/>
        <v>114.81119999999999</v>
      </c>
      <c r="AK24" s="31">
        <f>(0.83*B24)</f>
        <v>622.832</v>
      </c>
      <c r="AL24" s="31">
        <f t="shared" si="10"/>
        <v>112.10976</v>
      </c>
      <c r="AM24" s="31">
        <f>(1.91)*B24</f>
        <v>1433.264</v>
      </c>
      <c r="AN24" s="31">
        <f t="shared" si="11"/>
        <v>257.98751999999996</v>
      </c>
      <c r="AO24" s="31"/>
      <c r="AP24" s="31">
        <f t="shared" si="12"/>
        <v>0</v>
      </c>
      <c r="AQ24" s="126"/>
      <c r="AR24" s="126">
        <f t="shared" si="13"/>
        <v>0</v>
      </c>
      <c r="AS24" s="103">
        <v>0</v>
      </c>
      <c r="AT24" s="103"/>
      <c r="AU24" s="103">
        <f t="shared" si="17"/>
        <v>0</v>
      </c>
      <c r="AV24" s="127">
        <v>470</v>
      </c>
      <c r="AW24" s="128">
        <v>0.3</v>
      </c>
      <c r="AX24" s="31">
        <f t="shared" si="14"/>
        <v>186.34560000000002</v>
      </c>
      <c r="AY24" s="129"/>
      <c r="AZ24" s="131"/>
      <c r="BA24" s="131">
        <f t="shared" si="15"/>
        <v>0</v>
      </c>
      <c r="BB24" s="131">
        <f>SUM(AG24:AU24)+AX24+AY24+AZ24+BA24</f>
        <v>3965.51008</v>
      </c>
      <c r="BC24" s="138"/>
      <c r="BD24" s="19">
        <f>AC24+AF24-BB24-BC24</f>
        <v>2741.49992</v>
      </c>
      <c r="BE24" s="21">
        <f t="shared" si="16"/>
        <v>216.04999999999927</v>
      </c>
    </row>
    <row r="25" spans="1:57" ht="12.75">
      <c r="A25" s="13" t="s">
        <v>43</v>
      </c>
      <c r="B25" s="98">
        <v>750.4</v>
      </c>
      <c r="C25" s="133">
        <f t="shared" si="2"/>
        <v>6490.96</v>
      </c>
      <c r="D25" s="132">
        <f t="shared" si="19"/>
        <v>790.0400000000006</v>
      </c>
      <c r="E25" s="99">
        <v>598.15</v>
      </c>
      <c r="F25" s="99">
        <v>59.78</v>
      </c>
      <c r="G25" s="99">
        <v>810.49</v>
      </c>
      <c r="H25" s="99">
        <v>81.01</v>
      </c>
      <c r="I25" s="99">
        <v>1946.96</v>
      </c>
      <c r="J25" s="99">
        <v>194.57</v>
      </c>
      <c r="K25" s="99">
        <v>1348.81</v>
      </c>
      <c r="L25" s="99">
        <v>134.81</v>
      </c>
      <c r="M25" s="97">
        <v>478.54</v>
      </c>
      <c r="N25" s="139">
        <v>47.8</v>
      </c>
      <c r="O25" s="105">
        <v>0</v>
      </c>
      <c r="P25" s="105">
        <v>0</v>
      </c>
      <c r="Q25" s="105"/>
      <c r="R25" s="105"/>
      <c r="S25" s="99">
        <f t="shared" si="3"/>
        <v>5182.95</v>
      </c>
      <c r="T25" s="117">
        <f t="shared" si="4"/>
        <v>517.97</v>
      </c>
      <c r="U25" s="99">
        <v>467.91</v>
      </c>
      <c r="V25" s="99">
        <v>633.86</v>
      </c>
      <c r="W25" s="99">
        <v>1522.76</v>
      </c>
      <c r="X25" s="99">
        <v>1054.98</v>
      </c>
      <c r="Y25" s="99">
        <v>374.32</v>
      </c>
      <c r="Z25" s="99">
        <v>0</v>
      </c>
      <c r="AA25" s="105">
        <v>0</v>
      </c>
      <c r="AB25" s="105">
        <f>SUM(U25:AA25)</f>
        <v>4053.83</v>
      </c>
      <c r="AC25" s="120">
        <f>D25+T25+AB25</f>
        <v>5361.84</v>
      </c>
      <c r="AD25" s="121">
        <f t="shared" si="7"/>
        <v>0</v>
      </c>
      <c r="AE25" s="121">
        <f t="shared" si="8"/>
        <v>0</v>
      </c>
      <c r="AF25" s="121"/>
      <c r="AG25" s="31">
        <f t="shared" si="20"/>
        <v>450.23999999999995</v>
      </c>
      <c r="AH25" s="31">
        <f>B25*0.2</f>
        <v>150.08</v>
      </c>
      <c r="AI25" s="31">
        <f>0.85*B25</f>
        <v>637.8399999999999</v>
      </c>
      <c r="AJ25" s="31">
        <f t="shared" si="9"/>
        <v>114.81119999999999</v>
      </c>
      <c r="AK25" s="31">
        <f>(0.83*B25)</f>
        <v>622.832</v>
      </c>
      <c r="AL25" s="31">
        <f t="shared" si="10"/>
        <v>112.10976</v>
      </c>
      <c r="AM25" s="31">
        <f>(1.91)*B25</f>
        <v>1433.264</v>
      </c>
      <c r="AN25" s="31">
        <f t="shared" si="11"/>
        <v>257.98751999999996</v>
      </c>
      <c r="AO25" s="31"/>
      <c r="AP25" s="31">
        <f t="shared" si="12"/>
        <v>0</v>
      </c>
      <c r="AQ25" s="126"/>
      <c r="AR25" s="126">
        <f t="shared" si="13"/>
        <v>0</v>
      </c>
      <c r="AS25" s="103">
        <v>0</v>
      </c>
      <c r="AT25" s="103"/>
      <c r="AU25" s="103">
        <f t="shared" si="17"/>
        <v>0</v>
      </c>
      <c r="AV25" s="127">
        <v>514</v>
      </c>
      <c r="AW25" s="128">
        <v>0.3</v>
      </c>
      <c r="AX25" s="31">
        <f t="shared" si="14"/>
        <v>203.79072</v>
      </c>
      <c r="AY25" s="129"/>
      <c r="AZ25" s="131"/>
      <c r="BA25" s="131">
        <f t="shared" si="15"/>
        <v>0</v>
      </c>
      <c r="BB25" s="131">
        <f>SUM(AG25:BA25)-AV25-AW25</f>
        <v>3982.9551999999994</v>
      </c>
      <c r="BC25" s="138"/>
      <c r="BD25" s="19">
        <f>AC25+AF25-BB25-BC25</f>
        <v>1378.8848000000007</v>
      </c>
      <c r="BE25" s="21">
        <f t="shared" si="16"/>
        <v>-1129.12</v>
      </c>
    </row>
    <row r="26" spans="1:57" s="28" customFormat="1" ht="12.75">
      <c r="A26" s="22" t="s">
        <v>5</v>
      </c>
      <c r="B26" s="23"/>
      <c r="C26" s="23">
        <f aca="true" t="shared" si="21" ref="C26:BB26">SUM(C14:C25)</f>
        <v>77974.56000000001</v>
      </c>
      <c r="D26" s="23">
        <f t="shared" si="21"/>
        <v>8262.300000000001</v>
      </c>
      <c r="E26" s="24">
        <f t="shared" si="21"/>
        <v>7052.7300000000005</v>
      </c>
      <c r="F26" s="24">
        <f t="shared" si="21"/>
        <v>802.2599999999999</v>
      </c>
      <c r="G26" s="24">
        <f t="shared" si="21"/>
        <v>9546.48</v>
      </c>
      <c r="H26" s="24">
        <f t="shared" si="21"/>
        <v>1085.9</v>
      </c>
      <c r="I26" s="24">
        <f t="shared" si="21"/>
        <v>22946.71</v>
      </c>
      <c r="J26" s="24">
        <f t="shared" si="21"/>
        <v>2609.9</v>
      </c>
      <c r="K26" s="24">
        <f t="shared" si="21"/>
        <v>15890.909999999996</v>
      </c>
      <c r="L26" s="24">
        <f t="shared" si="21"/>
        <v>1807.8699999999997</v>
      </c>
      <c r="M26" s="24">
        <f t="shared" si="21"/>
        <v>5642.24</v>
      </c>
      <c r="N26" s="24">
        <f t="shared" si="21"/>
        <v>641.61</v>
      </c>
      <c r="O26" s="24">
        <f t="shared" si="21"/>
        <v>0</v>
      </c>
      <c r="P26" s="24">
        <f t="shared" si="21"/>
        <v>0</v>
      </c>
      <c r="Q26" s="24">
        <f t="shared" si="21"/>
        <v>0</v>
      </c>
      <c r="R26" s="24">
        <f t="shared" si="21"/>
        <v>0</v>
      </c>
      <c r="S26" s="24">
        <f t="shared" si="21"/>
        <v>61079.07000000001</v>
      </c>
      <c r="T26" s="24">
        <f t="shared" si="21"/>
        <v>6947.540000000002</v>
      </c>
      <c r="U26" s="25">
        <f t="shared" si="21"/>
        <v>4658.07</v>
      </c>
      <c r="V26" s="25">
        <f t="shared" si="21"/>
        <v>6301.229999999999</v>
      </c>
      <c r="W26" s="25">
        <f t="shared" si="21"/>
        <v>15151.470000000001</v>
      </c>
      <c r="X26" s="25">
        <f t="shared" si="21"/>
        <v>10493.210000000001</v>
      </c>
      <c r="Y26" s="25">
        <f t="shared" si="21"/>
        <v>3726.5500000000006</v>
      </c>
      <c r="Z26" s="25">
        <f t="shared" si="21"/>
        <v>0</v>
      </c>
      <c r="AA26" s="25">
        <f t="shared" si="21"/>
        <v>0</v>
      </c>
      <c r="AB26" s="25">
        <f t="shared" si="21"/>
        <v>40330.53</v>
      </c>
      <c r="AC26" s="25">
        <f t="shared" si="21"/>
        <v>55540.37000000001</v>
      </c>
      <c r="AD26" s="110">
        <f t="shared" si="21"/>
        <v>0</v>
      </c>
      <c r="AE26" s="110">
        <f t="shared" si="21"/>
        <v>0</v>
      </c>
      <c r="AF26" s="110"/>
      <c r="AG26" s="26">
        <f t="shared" si="21"/>
        <v>5228.159999999999</v>
      </c>
      <c r="AH26" s="26">
        <f t="shared" si="21"/>
        <v>1750.4017568</v>
      </c>
      <c r="AI26" s="26">
        <f t="shared" si="21"/>
        <v>7309.075811999999</v>
      </c>
      <c r="AJ26" s="26">
        <f t="shared" si="21"/>
        <v>1315.63364616</v>
      </c>
      <c r="AK26" s="26">
        <f t="shared" si="21"/>
        <v>7104.443285920001</v>
      </c>
      <c r="AL26" s="26">
        <f t="shared" si="21"/>
        <v>1278.7997914656</v>
      </c>
      <c r="AM26" s="26">
        <f t="shared" si="21"/>
        <v>16346.491884827115</v>
      </c>
      <c r="AN26" s="26">
        <f t="shared" si="21"/>
        <v>2942.3685392688817</v>
      </c>
      <c r="AO26" s="26">
        <f t="shared" si="21"/>
        <v>0</v>
      </c>
      <c r="AP26" s="26">
        <f t="shared" si="21"/>
        <v>0</v>
      </c>
      <c r="AQ26" s="26"/>
      <c r="AR26" s="26"/>
      <c r="AS26" s="93">
        <f t="shared" si="21"/>
        <v>2152.81</v>
      </c>
      <c r="AT26" s="93"/>
      <c r="AU26" s="93">
        <f t="shared" si="21"/>
        <v>387.5158</v>
      </c>
      <c r="AV26" s="26"/>
      <c r="AW26" s="26"/>
      <c r="AX26" s="26">
        <f t="shared" si="21"/>
        <v>1744.512</v>
      </c>
      <c r="AY26" s="26">
        <f t="shared" si="21"/>
        <v>0</v>
      </c>
      <c r="AZ26" s="26">
        <f t="shared" si="21"/>
        <v>0</v>
      </c>
      <c r="BA26" s="26">
        <f t="shared" si="21"/>
        <v>0</v>
      </c>
      <c r="BB26" s="26">
        <f t="shared" si="21"/>
        <v>47560.2125164416</v>
      </c>
      <c r="BC26" s="26">
        <f>SUM(BC14:BC25)</f>
        <v>0</v>
      </c>
      <c r="BD26" s="26">
        <f>SUM(BD14:BD25)</f>
        <v>7980.157483558402</v>
      </c>
      <c r="BE26" s="27">
        <f>SUM(BE14:BE25)</f>
        <v>-20748.539999999997</v>
      </c>
    </row>
    <row r="27" spans="1:57" ht="15" customHeight="1">
      <c r="A27" s="5" t="s">
        <v>89</v>
      </c>
      <c r="B27" s="91"/>
      <c r="C27" s="15"/>
      <c r="D27" s="15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2"/>
      <c r="P27" s="17"/>
      <c r="Q27" s="16"/>
      <c r="R27" s="16"/>
      <c r="S27" s="16"/>
      <c r="T27" s="16"/>
      <c r="U27" s="29"/>
      <c r="V27" s="29"/>
      <c r="W27" s="29"/>
      <c r="X27" s="29"/>
      <c r="Y27" s="29"/>
      <c r="Z27" s="29"/>
      <c r="AA27" s="18"/>
      <c r="AB27" s="18"/>
      <c r="AC27" s="108"/>
      <c r="AD27" s="109"/>
      <c r="AE27" s="109"/>
      <c r="AF27" s="109"/>
      <c r="AG27" s="19"/>
      <c r="AH27" s="19"/>
      <c r="AI27" s="19"/>
      <c r="AJ27" s="19"/>
      <c r="AK27" s="19"/>
      <c r="AL27" s="19"/>
      <c r="AM27" s="19"/>
      <c r="AN27" s="19"/>
      <c r="AO27" s="20"/>
      <c r="AP27" s="20"/>
      <c r="AQ27" s="20"/>
      <c r="AR27" s="20"/>
      <c r="AS27" s="102"/>
      <c r="AT27" s="102"/>
      <c r="AU27" s="30"/>
      <c r="AV27" s="19"/>
      <c r="AW27" s="19"/>
      <c r="AX27" s="20"/>
      <c r="AY27" s="20"/>
      <c r="AZ27" s="20"/>
      <c r="BA27" s="19"/>
      <c r="BB27" s="19"/>
      <c r="BC27" s="19"/>
      <c r="BD27" s="19"/>
      <c r="BE27" s="21"/>
    </row>
    <row r="28" spans="1:57" ht="12.75">
      <c r="A28" s="13" t="s">
        <v>45</v>
      </c>
      <c r="B28" s="98">
        <v>750.4</v>
      </c>
      <c r="C28" s="133">
        <f>B28*8.65</f>
        <v>6490.96</v>
      </c>
      <c r="D28" s="132">
        <f>C28-E28-F28-G28-H28-I28-J28-K28-L28-M28-N28</f>
        <v>597.6900000000004</v>
      </c>
      <c r="E28" s="99">
        <v>613.05</v>
      </c>
      <c r="F28" s="99">
        <v>67.04</v>
      </c>
      <c r="G28" s="99">
        <v>830.78</v>
      </c>
      <c r="H28" s="99">
        <v>90.86</v>
      </c>
      <c r="I28" s="99">
        <v>1995.55</v>
      </c>
      <c r="J28" s="99">
        <v>218.22</v>
      </c>
      <c r="K28" s="99">
        <v>1382.51</v>
      </c>
      <c r="L28" s="99">
        <v>151.19</v>
      </c>
      <c r="M28" s="97">
        <v>490.45</v>
      </c>
      <c r="N28" s="139">
        <v>53.62</v>
      </c>
      <c r="O28" s="105">
        <v>0</v>
      </c>
      <c r="P28" s="105">
        <v>0</v>
      </c>
      <c r="Q28" s="105"/>
      <c r="R28" s="105"/>
      <c r="S28" s="99">
        <f>E28+G28+I28+K28+M28+O28+Q28</f>
        <v>5312.34</v>
      </c>
      <c r="T28" s="117">
        <f>P28+N28+L28+J28+H28+F28+R28</f>
        <v>580.93</v>
      </c>
      <c r="U28" s="99">
        <v>268.38</v>
      </c>
      <c r="V28" s="99">
        <v>363.4</v>
      </c>
      <c r="W28" s="99">
        <v>873.31</v>
      </c>
      <c r="X28" s="99">
        <v>604.93</v>
      </c>
      <c r="Y28" s="99">
        <v>214.7</v>
      </c>
      <c r="Z28" s="99">
        <v>0</v>
      </c>
      <c r="AA28" s="105">
        <v>0</v>
      </c>
      <c r="AB28" s="105">
        <f>SUM(U28:AA28)</f>
        <v>2324.72</v>
      </c>
      <c r="AC28" s="120">
        <f>D28+T28+AB28</f>
        <v>3503.34</v>
      </c>
      <c r="AD28" s="121">
        <f>P28+Z28</f>
        <v>0</v>
      </c>
      <c r="AE28" s="121">
        <f>R28+AA28</f>
        <v>0</v>
      </c>
      <c r="AF28" s="121"/>
      <c r="AG28" s="31">
        <f>0.6*B28</f>
        <v>450.23999999999995</v>
      </c>
      <c r="AH28" s="31">
        <f>B28*0.2</f>
        <v>150.08</v>
      </c>
      <c r="AI28" s="31">
        <f>1*B28</f>
        <v>750.4</v>
      </c>
      <c r="AJ28" s="31">
        <v>0</v>
      </c>
      <c r="AK28" s="31">
        <f>0.98*B28</f>
        <v>735.3919999999999</v>
      </c>
      <c r="AL28" s="31">
        <v>0</v>
      </c>
      <c r="AM28" s="31">
        <f>2.25*B28</f>
        <v>1688.3999999999999</v>
      </c>
      <c r="AN28" s="31">
        <v>0</v>
      </c>
      <c r="AO28" s="31"/>
      <c r="AP28" s="31">
        <v>0</v>
      </c>
      <c r="AQ28" s="126"/>
      <c r="AR28" s="126"/>
      <c r="AS28" s="103">
        <v>0</v>
      </c>
      <c r="AT28" s="103"/>
      <c r="AU28" s="103">
        <f>AT28*0.18</f>
        <v>0</v>
      </c>
      <c r="AV28" s="127">
        <v>508</v>
      </c>
      <c r="AW28" s="128">
        <v>0.3</v>
      </c>
      <c r="AX28" s="31">
        <f>AV28*AW28*1.4</f>
        <v>213.35999999999999</v>
      </c>
      <c r="AY28" s="129"/>
      <c r="AZ28" s="131"/>
      <c r="BA28" s="131">
        <f>AZ28*0.18</f>
        <v>0</v>
      </c>
      <c r="BB28" s="131">
        <f>SUM(AG28:BA28)-AV28-AW28</f>
        <v>3987.8719999999994</v>
      </c>
      <c r="BC28" s="138"/>
      <c r="BD28" s="19">
        <f aca="true" t="shared" si="22" ref="BD28:BD39">AC28+AF28-BB28-BC28</f>
        <v>-484.53199999999924</v>
      </c>
      <c r="BE28" s="21">
        <f aca="true" t="shared" si="23" ref="BE28:BE39">AB28-S28</f>
        <v>-2987.6200000000003</v>
      </c>
    </row>
    <row r="29" spans="1:57" ht="12.75">
      <c r="A29" s="13" t="s">
        <v>46</v>
      </c>
      <c r="B29" s="118">
        <v>750.4</v>
      </c>
      <c r="C29" s="133">
        <f>B29*8.65</f>
        <v>6490.96</v>
      </c>
      <c r="D29" s="132">
        <f>C29-E29-F29-G29-H29-I29-J29-K29-L29-M29-N29</f>
        <v>597.6900000000004</v>
      </c>
      <c r="E29" s="104">
        <v>613.05</v>
      </c>
      <c r="F29" s="99">
        <v>67.04</v>
      </c>
      <c r="G29" s="99">
        <v>830.78</v>
      </c>
      <c r="H29" s="99">
        <v>90.86</v>
      </c>
      <c r="I29" s="99">
        <v>1995.55</v>
      </c>
      <c r="J29" s="99">
        <v>218.22</v>
      </c>
      <c r="K29" s="99">
        <v>1382.51</v>
      </c>
      <c r="L29" s="99">
        <v>151.19</v>
      </c>
      <c r="M29" s="97">
        <v>490.45</v>
      </c>
      <c r="N29" s="139">
        <v>53.62</v>
      </c>
      <c r="O29" s="105">
        <v>0</v>
      </c>
      <c r="P29" s="105">
        <v>0</v>
      </c>
      <c r="Q29" s="105">
        <v>0</v>
      </c>
      <c r="R29" s="105">
        <v>0</v>
      </c>
      <c r="S29" s="99">
        <f>E29+G29+I29+K29+M29+O29+Q29</f>
        <v>5312.34</v>
      </c>
      <c r="T29" s="117">
        <f>P29+N29+L29+J29+H29+F29+R29</f>
        <v>580.93</v>
      </c>
      <c r="U29" s="99">
        <v>280.48</v>
      </c>
      <c r="V29" s="99">
        <v>379.84</v>
      </c>
      <c r="W29" s="99">
        <v>912.73</v>
      </c>
      <c r="X29" s="99">
        <v>632.18</v>
      </c>
      <c r="Y29" s="99">
        <v>224.4</v>
      </c>
      <c r="Z29" s="99">
        <v>0</v>
      </c>
      <c r="AA29" s="105">
        <v>0</v>
      </c>
      <c r="AB29" s="105">
        <f>SUM(U29:AA29)</f>
        <v>2429.63</v>
      </c>
      <c r="AC29" s="120">
        <f>D29+T29+AB29</f>
        <v>3608.2500000000005</v>
      </c>
      <c r="AD29" s="121">
        <f>P29+Z29</f>
        <v>0</v>
      </c>
      <c r="AE29" s="121">
        <f>R29+AA29</f>
        <v>0</v>
      </c>
      <c r="AF29" s="121"/>
      <c r="AG29" s="31">
        <f>0.6*B29</f>
        <v>450.23999999999995</v>
      </c>
      <c r="AH29" s="31">
        <f>B29*0.2</f>
        <v>150.08</v>
      </c>
      <c r="AI29" s="31">
        <f>1*B29</f>
        <v>750.4</v>
      </c>
      <c r="AJ29" s="31">
        <v>0</v>
      </c>
      <c r="AK29" s="31">
        <f>0.98*B29</f>
        <v>735.3919999999999</v>
      </c>
      <c r="AL29" s="31">
        <v>0</v>
      </c>
      <c r="AM29" s="31">
        <f>2.25*B29</f>
        <v>1688.3999999999999</v>
      </c>
      <c r="AN29" s="31">
        <v>0</v>
      </c>
      <c r="AO29" s="31"/>
      <c r="AP29" s="31"/>
      <c r="AQ29" s="126"/>
      <c r="AR29" s="126"/>
      <c r="AS29" s="103"/>
      <c r="AT29" s="103"/>
      <c r="AU29" s="103">
        <f>AT29*0.18</f>
        <v>0</v>
      </c>
      <c r="AV29" s="127">
        <v>407</v>
      </c>
      <c r="AW29" s="128">
        <v>0.3</v>
      </c>
      <c r="AX29" s="31">
        <f>AV29*AW29*1.4</f>
        <v>170.93999999999997</v>
      </c>
      <c r="AY29" s="129"/>
      <c r="AZ29" s="131"/>
      <c r="BA29" s="131">
        <f>AZ29*0.18</f>
        <v>0</v>
      </c>
      <c r="BB29" s="131">
        <f>SUM(AG29:BA29)-AV29-AW29</f>
        <v>3945.4519999999993</v>
      </c>
      <c r="BC29" s="138"/>
      <c r="BD29" s="19">
        <f t="shared" si="22"/>
        <v>-337.20199999999886</v>
      </c>
      <c r="BE29" s="21">
        <f t="shared" si="23"/>
        <v>-2882.71</v>
      </c>
    </row>
    <row r="30" spans="1:57" ht="12.75">
      <c r="A30" s="13" t="s">
        <v>47</v>
      </c>
      <c r="B30" s="98">
        <v>750.4</v>
      </c>
      <c r="C30" s="133">
        <f>B30*8.65</f>
        <v>6490.96</v>
      </c>
      <c r="D30" s="132">
        <f>C30-E30-F30-G30-H30-I30-J30-K30-L30-M30-N30</f>
        <v>597.6900000000004</v>
      </c>
      <c r="E30" s="99">
        <v>613.05</v>
      </c>
      <c r="F30" s="99">
        <v>67.04</v>
      </c>
      <c r="G30" s="99">
        <v>830.78</v>
      </c>
      <c r="H30" s="99">
        <v>90.86</v>
      </c>
      <c r="I30" s="99">
        <v>1995.55</v>
      </c>
      <c r="J30" s="99">
        <v>218.22</v>
      </c>
      <c r="K30" s="99">
        <v>1382.51</v>
      </c>
      <c r="L30" s="99">
        <v>151.19</v>
      </c>
      <c r="M30" s="97">
        <v>490.45</v>
      </c>
      <c r="N30" s="139">
        <v>53.62</v>
      </c>
      <c r="O30" s="105">
        <v>0</v>
      </c>
      <c r="P30" s="105">
        <v>0</v>
      </c>
      <c r="Q30" s="105">
        <v>0</v>
      </c>
      <c r="R30" s="105">
        <v>0</v>
      </c>
      <c r="S30" s="99">
        <f>E30+G30+I30+K30+M30+O30+Q30</f>
        <v>5312.34</v>
      </c>
      <c r="T30" s="117">
        <f>P30+N30+L30+J30+H30+F30+R30</f>
        <v>580.93</v>
      </c>
      <c r="U30" s="99">
        <v>442.38</v>
      </c>
      <c r="V30" s="99">
        <v>599.29</v>
      </c>
      <c r="W30" s="99">
        <v>1439.79</v>
      </c>
      <c r="X30" s="99">
        <v>997.41</v>
      </c>
      <c r="Y30" s="99">
        <v>353.93</v>
      </c>
      <c r="Z30" s="99">
        <v>0</v>
      </c>
      <c r="AA30" s="105">
        <v>0</v>
      </c>
      <c r="AB30" s="105">
        <f>SUM(U30:AA30)</f>
        <v>3832.7999999999997</v>
      </c>
      <c r="AC30" s="120">
        <f>D30+T30+AB30</f>
        <v>5011.42</v>
      </c>
      <c r="AD30" s="121">
        <f>P30+Z30</f>
        <v>0</v>
      </c>
      <c r="AE30" s="121">
        <f>R30+AA30</f>
        <v>0</v>
      </c>
      <c r="AF30" s="121"/>
      <c r="AG30" s="31">
        <f>0.6*B30</f>
        <v>450.23999999999995</v>
      </c>
      <c r="AH30" s="31">
        <f>B30*0.2</f>
        <v>150.08</v>
      </c>
      <c r="AI30" s="31">
        <f>1*B30</f>
        <v>750.4</v>
      </c>
      <c r="AJ30" s="31">
        <v>0</v>
      </c>
      <c r="AK30" s="31">
        <f>0.98*B30</f>
        <v>735.3919999999999</v>
      </c>
      <c r="AL30" s="31">
        <v>0</v>
      </c>
      <c r="AM30" s="31">
        <f>2.25*B30</f>
        <v>1688.3999999999999</v>
      </c>
      <c r="AN30" s="31">
        <v>0</v>
      </c>
      <c r="AO30" s="31"/>
      <c r="AP30" s="31"/>
      <c r="AQ30" s="126"/>
      <c r="AR30" s="126"/>
      <c r="AS30" s="103">
        <v>109</v>
      </c>
      <c r="AT30" s="103"/>
      <c r="AU30" s="103">
        <f>AT30*0.18</f>
        <v>0</v>
      </c>
      <c r="AV30" s="127">
        <v>383</v>
      </c>
      <c r="AW30" s="128">
        <v>0.3</v>
      </c>
      <c r="AX30" s="31">
        <f>AV30*AW30*1.4</f>
        <v>160.85999999999999</v>
      </c>
      <c r="AY30" s="129"/>
      <c r="AZ30" s="131"/>
      <c r="BA30" s="131">
        <f>AZ30*0.18</f>
        <v>0</v>
      </c>
      <c r="BB30" s="131">
        <f>SUM(AG30:BA30)-AV30-AW30</f>
        <v>4044.3719999999994</v>
      </c>
      <c r="BC30" s="138"/>
      <c r="BD30" s="19">
        <f t="shared" si="22"/>
        <v>967.0480000000007</v>
      </c>
      <c r="BE30" s="21">
        <f t="shared" si="23"/>
        <v>-1479.5400000000004</v>
      </c>
    </row>
    <row r="31" spans="1:57" ht="12.75">
      <c r="A31" s="13" t="s">
        <v>48</v>
      </c>
      <c r="B31" s="98">
        <v>750.4</v>
      </c>
      <c r="C31" s="133">
        <f>B31*8.65</f>
        <v>6490.96</v>
      </c>
      <c r="D31" s="116">
        <f>C31-E31-F31-G31-H31-I31-J31-K31-L31-M31-N31</f>
        <v>597.6900000000004</v>
      </c>
      <c r="E31" s="99">
        <v>613.05</v>
      </c>
      <c r="F31" s="99">
        <v>67.04</v>
      </c>
      <c r="G31" s="99">
        <v>830.78</v>
      </c>
      <c r="H31" s="99">
        <v>90.86</v>
      </c>
      <c r="I31" s="99">
        <v>1995.55</v>
      </c>
      <c r="J31" s="99">
        <v>218.22</v>
      </c>
      <c r="K31" s="99">
        <v>1382.51</v>
      </c>
      <c r="L31" s="99">
        <v>151.19</v>
      </c>
      <c r="M31" s="97">
        <v>490.45</v>
      </c>
      <c r="N31" s="139">
        <v>53.62</v>
      </c>
      <c r="O31" s="105">
        <v>0</v>
      </c>
      <c r="P31" s="105">
        <v>0</v>
      </c>
      <c r="Q31" s="105"/>
      <c r="R31" s="105"/>
      <c r="S31" s="99">
        <f>E31+G31+I31+K31+M31+O31+Q31</f>
        <v>5312.34</v>
      </c>
      <c r="T31" s="117">
        <f>P31+N31+L31+J31+H31+F31+R31</f>
        <v>580.93</v>
      </c>
      <c r="U31" s="99">
        <v>285.72</v>
      </c>
      <c r="V31" s="99">
        <v>385.75</v>
      </c>
      <c r="W31" s="99">
        <v>928.59</v>
      </c>
      <c r="X31" s="99">
        <v>642.88</v>
      </c>
      <c r="Y31" s="99">
        <v>228.55</v>
      </c>
      <c r="Z31" s="99">
        <v>0</v>
      </c>
      <c r="AA31" s="105">
        <v>0</v>
      </c>
      <c r="AB31" s="105">
        <f>SUM(U31:AA31)</f>
        <v>2471.4900000000002</v>
      </c>
      <c r="AC31" s="120">
        <f>D31+T31+AB31</f>
        <v>3650.1100000000006</v>
      </c>
      <c r="AD31" s="121">
        <f>P31+Z31</f>
        <v>0</v>
      </c>
      <c r="AE31" s="121">
        <f>R31+AA31</f>
        <v>0</v>
      </c>
      <c r="AF31" s="121"/>
      <c r="AG31" s="31">
        <f>0.6*B31</f>
        <v>450.23999999999995</v>
      </c>
      <c r="AH31" s="31">
        <f>B31*0.2</f>
        <v>150.08</v>
      </c>
      <c r="AI31" s="31">
        <f>1*B31</f>
        <v>750.4</v>
      </c>
      <c r="AJ31" s="31">
        <v>0</v>
      </c>
      <c r="AK31" s="31">
        <f>0.98*B31</f>
        <v>735.3919999999999</v>
      </c>
      <c r="AL31" s="31">
        <v>0</v>
      </c>
      <c r="AM31" s="31">
        <f>2.25*B31</f>
        <v>1688.3999999999999</v>
      </c>
      <c r="AN31" s="31">
        <v>0</v>
      </c>
      <c r="AO31" s="31"/>
      <c r="AP31" s="31"/>
      <c r="AQ31" s="126"/>
      <c r="AR31" s="126"/>
      <c r="AS31" s="103">
        <v>475</v>
      </c>
      <c r="AT31" s="103"/>
      <c r="AU31" s="103">
        <f>AT31*0.18</f>
        <v>0</v>
      </c>
      <c r="AV31" s="127">
        <v>307</v>
      </c>
      <c r="AW31" s="128">
        <v>0.3</v>
      </c>
      <c r="AX31" s="31">
        <f>AV31*AW31*1.4</f>
        <v>128.94</v>
      </c>
      <c r="AY31" s="129"/>
      <c r="AZ31" s="131"/>
      <c r="BA31" s="131">
        <f>AZ31*0.18</f>
        <v>0</v>
      </c>
      <c r="BB31" s="131">
        <f>SUM(AG31:BA31)-AV31-AW31</f>
        <v>4378.451999999999</v>
      </c>
      <c r="BC31" s="138"/>
      <c r="BD31" s="19">
        <f t="shared" si="22"/>
        <v>-728.3419999999987</v>
      </c>
      <c r="BE31" s="21">
        <f t="shared" si="23"/>
        <v>-2840.85</v>
      </c>
    </row>
    <row r="32" spans="1:57" ht="12.75">
      <c r="A32" s="13" t="s">
        <v>49</v>
      </c>
      <c r="B32" s="98">
        <v>750.4</v>
      </c>
      <c r="C32" s="133">
        <f>B32*8.65</f>
        <v>6490.96</v>
      </c>
      <c r="D32" s="132">
        <f>C32-E32-F32-G32-H32-I32-J32-K32-L32-M32-N32</f>
        <v>597.7100000000006</v>
      </c>
      <c r="E32" s="99">
        <v>613.04</v>
      </c>
      <c r="F32" s="99">
        <v>67.04</v>
      </c>
      <c r="G32" s="99">
        <v>830.78</v>
      </c>
      <c r="H32" s="99">
        <v>90.86</v>
      </c>
      <c r="I32" s="99">
        <v>1995.55</v>
      </c>
      <c r="J32" s="99">
        <v>218.22</v>
      </c>
      <c r="K32" s="99">
        <v>1382.5</v>
      </c>
      <c r="L32" s="99">
        <v>151.19</v>
      </c>
      <c r="M32" s="97">
        <v>490.45</v>
      </c>
      <c r="N32" s="139">
        <v>53.62</v>
      </c>
      <c r="O32" s="105">
        <v>0</v>
      </c>
      <c r="P32" s="105">
        <v>0</v>
      </c>
      <c r="Q32" s="105"/>
      <c r="R32" s="105"/>
      <c r="S32" s="99">
        <f>E32+G32+I32+K32+M32+O32+Q32</f>
        <v>5312.32</v>
      </c>
      <c r="T32" s="117">
        <f>P32+N32+L32+J32+H32+F32+R32</f>
        <v>580.93</v>
      </c>
      <c r="U32" s="144">
        <v>820.79</v>
      </c>
      <c r="V32" s="144">
        <v>1111.63</v>
      </c>
      <c r="W32" s="144">
        <v>2671.09</v>
      </c>
      <c r="X32" s="144">
        <v>1850.33</v>
      </c>
      <c r="Y32" s="144">
        <v>656.59</v>
      </c>
      <c r="Z32" s="144">
        <v>0</v>
      </c>
      <c r="AA32" s="145">
        <v>0</v>
      </c>
      <c r="AB32" s="105">
        <f>SUM(U32:AA32)</f>
        <v>7110.43</v>
      </c>
      <c r="AC32" s="120">
        <f>D32+T32+AB32</f>
        <v>8289.070000000002</v>
      </c>
      <c r="AD32" s="121">
        <f>P32+Z32</f>
        <v>0</v>
      </c>
      <c r="AE32" s="121">
        <f>R32+AA32</f>
        <v>0</v>
      </c>
      <c r="AF32" s="121"/>
      <c r="AG32" s="31">
        <f>0.6*B32</f>
        <v>450.23999999999995</v>
      </c>
      <c r="AH32" s="31">
        <f>B32*0.2</f>
        <v>150.08</v>
      </c>
      <c r="AI32" s="31">
        <f>1*B32</f>
        <v>750.4</v>
      </c>
      <c r="AJ32" s="31">
        <v>0</v>
      </c>
      <c r="AK32" s="31">
        <f>0.98*B32</f>
        <v>735.3919999999999</v>
      </c>
      <c r="AL32" s="31">
        <v>0</v>
      </c>
      <c r="AM32" s="31">
        <f>2.25*B32</f>
        <v>1688.3999999999999</v>
      </c>
      <c r="AN32" s="31">
        <v>0</v>
      </c>
      <c r="AO32" s="31"/>
      <c r="AP32" s="31"/>
      <c r="AQ32" s="126"/>
      <c r="AR32" s="126"/>
      <c r="AS32" s="103"/>
      <c r="AT32" s="103"/>
      <c r="AU32" s="103">
        <f>AT32*0.18</f>
        <v>0</v>
      </c>
      <c r="AV32" s="127">
        <v>263</v>
      </c>
      <c r="AW32" s="128">
        <v>0.3</v>
      </c>
      <c r="AX32" s="31">
        <f>AV32*AW32*1.4</f>
        <v>110.45999999999998</v>
      </c>
      <c r="AY32" s="129"/>
      <c r="AZ32" s="131"/>
      <c r="BA32" s="131">
        <f>AZ32*0.18</f>
        <v>0</v>
      </c>
      <c r="BB32" s="131">
        <f>SUM(AG32:BA32)-AV32-AW32</f>
        <v>3884.9719999999998</v>
      </c>
      <c r="BC32" s="138"/>
      <c r="BD32" s="19">
        <f t="shared" si="22"/>
        <v>4404.098000000002</v>
      </c>
      <c r="BE32" s="21">
        <f t="shared" si="23"/>
        <v>1798.1100000000006</v>
      </c>
    </row>
    <row r="33" spans="1:57" ht="12.75">
      <c r="A33" s="13" t="s">
        <v>50</v>
      </c>
      <c r="B33" s="98">
        <v>750.4</v>
      </c>
      <c r="C33" s="133">
        <f aca="true" t="shared" si="24" ref="C33:C39">B33*8.65</f>
        <v>6490.96</v>
      </c>
      <c r="D33" s="116">
        <f aca="true" t="shared" si="25" ref="D33:D38">C33-E33-F33-G33-H33-I33-J33-K33-L33-M33-N33</f>
        <v>597.7100000000006</v>
      </c>
      <c r="E33" s="99">
        <v>613.04</v>
      </c>
      <c r="F33" s="99">
        <v>67.04</v>
      </c>
      <c r="G33" s="99">
        <v>830.78</v>
      </c>
      <c r="H33" s="99">
        <v>90.86</v>
      </c>
      <c r="I33" s="99">
        <v>1995.55</v>
      </c>
      <c r="J33" s="99">
        <v>218.22</v>
      </c>
      <c r="K33" s="99">
        <v>1382.5</v>
      </c>
      <c r="L33" s="99">
        <v>151.19</v>
      </c>
      <c r="M33" s="97">
        <v>490.45</v>
      </c>
      <c r="N33" s="139">
        <v>53.62</v>
      </c>
      <c r="O33" s="105">
        <v>0</v>
      </c>
      <c r="P33" s="105">
        <v>0</v>
      </c>
      <c r="Q33" s="105">
        <v>0</v>
      </c>
      <c r="R33" s="105">
        <v>0</v>
      </c>
      <c r="S33" s="99">
        <f aca="true" t="shared" si="26" ref="S33:S39">E33+G33+I33+K33+M33+O33+Q33</f>
        <v>5312.32</v>
      </c>
      <c r="T33" s="117">
        <f aca="true" t="shared" si="27" ref="T33:T39">P33+N33+L33+J33+H33+F33+R33</f>
        <v>580.93</v>
      </c>
      <c r="U33" s="99">
        <v>280.92</v>
      </c>
      <c r="V33" s="99">
        <v>380.63</v>
      </c>
      <c r="W33" s="99">
        <v>914.34</v>
      </c>
      <c r="X33" s="99">
        <v>633.42</v>
      </c>
      <c r="Y33" s="99">
        <v>224.74</v>
      </c>
      <c r="Z33" s="99">
        <v>0</v>
      </c>
      <c r="AA33" s="105">
        <v>0</v>
      </c>
      <c r="AB33" s="105">
        <f aca="true" t="shared" si="28" ref="AB33:AB39">SUM(U33:AA33)</f>
        <v>2434.05</v>
      </c>
      <c r="AC33" s="120">
        <f aca="true" t="shared" si="29" ref="AC33:AC39">D33+T33+AB33</f>
        <v>3612.6900000000005</v>
      </c>
      <c r="AD33" s="121">
        <f aca="true" t="shared" si="30" ref="AD33:AD39">P33+Z33</f>
        <v>0</v>
      </c>
      <c r="AE33" s="121">
        <f aca="true" t="shared" si="31" ref="AE33:AE39">R33+AA33</f>
        <v>0</v>
      </c>
      <c r="AF33" s="121"/>
      <c r="AG33" s="31">
        <f aca="true" t="shared" si="32" ref="AG33:AG39">0.6*B33</f>
        <v>450.23999999999995</v>
      </c>
      <c r="AH33" s="31">
        <f aca="true" t="shared" si="33" ref="AH33:AH39">B33*0.2</f>
        <v>150.08</v>
      </c>
      <c r="AI33" s="31">
        <f aca="true" t="shared" si="34" ref="AI33:AI39">1*B33</f>
        <v>750.4</v>
      </c>
      <c r="AJ33" s="31">
        <v>0</v>
      </c>
      <c r="AK33" s="31">
        <f aca="true" t="shared" si="35" ref="AK33:AK39">0.98*B33</f>
        <v>735.3919999999999</v>
      </c>
      <c r="AL33" s="31">
        <v>0</v>
      </c>
      <c r="AM33" s="31">
        <f aca="true" t="shared" si="36" ref="AM33:AM39">2.25*B33</f>
        <v>1688.3999999999999</v>
      </c>
      <c r="AN33" s="31">
        <v>0</v>
      </c>
      <c r="AO33" s="31"/>
      <c r="AP33" s="31"/>
      <c r="AQ33" s="126"/>
      <c r="AR33" s="126"/>
      <c r="AS33" s="103"/>
      <c r="AT33" s="103"/>
      <c r="AU33" s="103">
        <f aca="true" t="shared" si="37" ref="AU33:AU38">AT33*0.18</f>
        <v>0</v>
      </c>
      <c r="AV33" s="127">
        <v>233</v>
      </c>
      <c r="AW33" s="128">
        <v>0.3</v>
      </c>
      <c r="AX33" s="31">
        <f aca="true" t="shared" si="38" ref="AX33:AX39">AV33*AW33*1.4</f>
        <v>97.85999999999999</v>
      </c>
      <c r="AY33" s="129"/>
      <c r="AZ33" s="131"/>
      <c r="BA33" s="131">
        <f aca="true" t="shared" si="39" ref="BA33:BA39">AZ33*0.18</f>
        <v>0</v>
      </c>
      <c r="BB33" s="131">
        <f aca="true" t="shared" si="40" ref="BB33:BB39">SUM(AG33:BA33)-AV33-AW33</f>
        <v>3872.3719999999994</v>
      </c>
      <c r="BC33" s="138"/>
      <c r="BD33" s="19">
        <f t="shared" si="22"/>
        <v>-259.6819999999989</v>
      </c>
      <c r="BE33" s="21">
        <f t="shared" si="23"/>
        <v>-2878.2699999999995</v>
      </c>
    </row>
    <row r="34" spans="1:57" ht="12.75">
      <c r="A34" s="13" t="s">
        <v>51</v>
      </c>
      <c r="B34" s="98">
        <v>750.4</v>
      </c>
      <c r="C34" s="133">
        <f t="shared" si="24"/>
        <v>6490.96</v>
      </c>
      <c r="D34" s="116">
        <f t="shared" si="25"/>
        <v>596.6000000000005</v>
      </c>
      <c r="E34" s="104">
        <v>680.21</v>
      </c>
      <c r="F34" s="99">
        <v>0</v>
      </c>
      <c r="G34" s="99">
        <v>921.81</v>
      </c>
      <c r="H34" s="99">
        <v>0</v>
      </c>
      <c r="I34" s="99">
        <v>2214.19</v>
      </c>
      <c r="J34" s="99">
        <v>0</v>
      </c>
      <c r="K34" s="99">
        <v>1533.98</v>
      </c>
      <c r="L34" s="99">
        <v>0</v>
      </c>
      <c r="M34" s="97">
        <v>544.17</v>
      </c>
      <c r="N34" s="139">
        <v>0</v>
      </c>
      <c r="O34" s="105">
        <v>0</v>
      </c>
      <c r="P34" s="105">
        <v>0</v>
      </c>
      <c r="Q34" s="105"/>
      <c r="R34" s="105"/>
      <c r="S34" s="99">
        <f t="shared" si="26"/>
        <v>5894.360000000001</v>
      </c>
      <c r="T34" s="117">
        <f t="shared" si="27"/>
        <v>0</v>
      </c>
      <c r="U34" s="104">
        <v>274.57</v>
      </c>
      <c r="V34" s="99">
        <v>372</v>
      </c>
      <c r="W34" s="99">
        <v>893.66</v>
      </c>
      <c r="X34" s="99">
        <v>619.1</v>
      </c>
      <c r="Y34" s="99">
        <v>219.66</v>
      </c>
      <c r="Z34" s="99">
        <v>0</v>
      </c>
      <c r="AA34" s="105">
        <v>0</v>
      </c>
      <c r="AB34" s="105">
        <f t="shared" si="28"/>
        <v>2378.99</v>
      </c>
      <c r="AC34" s="120">
        <f t="shared" si="29"/>
        <v>2975.59</v>
      </c>
      <c r="AD34" s="121">
        <f t="shared" si="30"/>
        <v>0</v>
      </c>
      <c r="AE34" s="121">
        <f t="shared" si="31"/>
        <v>0</v>
      </c>
      <c r="AF34" s="121"/>
      <c r="AG34" s="31">
        <f t="shared" si="32"/>
        <v>450.23999999999995</v>
      </c>
      <c r="AH34" s="31">
        <f t="shared" si="33"/>
        <v>150.08</v>
      </c>
      <c r="AI34" s="31">
        <f t="shared" si="34"/>
        <v>750.4</v>
      </c>
      <c r="AJ34" s="31">
        <v>0</v>
      </c>
      <c r="AK34" s="31">
        <f t="shared" si="35"/>
        <v>735.3919999999999</v>
      </c>
      <c r="AL34" s="31">
        <v>0</v>
      </c>
      <c r="AM34" s="31">
        <f t="shared" si="36"/>
        <v>1688.3999999999999</v>
      </c>
      <c r="AN34" s="31">
        <v>0</v>
      </c>
      <c r="AO34" s="31"/>
      <c r="AP34" s="31"/>
      <c r="AQ34" s="126"/>
      <c r="AR34" s="126"/>
      <c r="AS34" s="103"/>
      <c r="AT34" s="103">
        <f>145.76</f>
        <v>145.76</v>
      </c>
      <c r="AU34" s="103">
        <f t="shared" si="37"/>
        <v>26.2368</v>
      </c>
      <c r="AV34" s="127">
        <v>248</v>
      </c>
      <c r="AW34" s="128">
        <v>0.3</v>
      </c>
      <c r="AX34" s="31">
        <f t="shared" si="38"/>
        <v>104.15999999999998</v>
      </c>
      <c r="AY34" s="129"/>
      <c r="AZ34" s="131"/>
      <c r="BA34" s="131">
        <f t="shared" si="39"/>
        <v>0</v>
      </c>
      <c r="BB34" s="131">
        <f t="shared" si="40"/>
        <v>4050.6687999999995</v>
      </c>
      <c r="BC34" s="138"/>
      <c r="BD34" s="19">
        <f t="shared" si="22"/>
        <v>-1075.0787999999993</v>
      </c>
      <c r="BE34" s="21">
        <f t="shared" si="23"/>
        <v>-3515.370000000001</v>
      </c>
    </row>
    <row r="35" spans="1:57" ht="12.75">
      <c r="A35" s="13" t="s">
        <v>52</v>
      </c>
      <c r="B35" s="98">
        <v>750.4</v>
      </c>
      <c r="C35" s="133">
        <f t="shared" si="24"/>
        <v>6490.96</v>
      </c>
      <c r="D35" s="116">
        <f t="shared" si="25"/>
        <v>596.6000000000005</v>
      </c>
      <c r="E35" s="104">
        <v>680.21</v>
      </c>
      <c r="F35" s="99">
        <v>0</v>
      </c>
      <c r="G35" s="99">
        <v>921.81</v>
      </c>
      <c r="H35" s="99">
        <v>0</v>
      </c>
      <c r="I35" s="99">
        <v>2214.19</v>
      </c>
      <c r="J35" s="99">
        <v>0</v>
      </c>
      <c r="K35" s="99">
        <v>1533.98</v>
      </c>
      <c r="L35" s="99">
        <v>0</v>
      </c>
      <c r="M35" s="97">
        <v>544.17</v>
      </c>
      <c r="N35" s="139">
        <v>0</v>
      </c>
      <c r="O35" s="105">
        <v>0</v>
      </c>
      <c r="P35" s="105">
        <v>0</v>
      </c>
      <c r="Q35" s="105"/>
      <c r="R35" s="105"/>
      <c r="S35" s="99">
        <f t="shared" si="26"/>
        <v>5894.360000000001</v>
      </c>
      <c r="T35" s="117">
        <f t="shared" si="27"/>
        <v>0</v>
      </c>
      <c r="U35" s="144">
        <v>408.69</v>
      </c>
      <c r="V35" s="144">
        <v>553.85</v>
      </c>
      <c r="W35" s="144">
        <v>1330.35</v>
      </c>
      <c r="X35" s="144">
        <v>921.64</v>
      </c>
      <c r="Y35" s="144">
        <v>326.96</v>
      </c>
      <c r="Z35" s="144">
        <v>0</v>
      </c>
      <c r="AA35" s="145">
        <v>0</v>
      </c>
      <c r="AB35" s="105">
        <f t="shared" si="28"/>
        <v>3541.49</v>
      </c>
      <c r="AC35" s="120">
        <f t="shared" si="29"/>
        <v>4138.09</v>
      </c>
      <c r="AD35" s="121">
        <f t="shared" si="30"/>
        <v>0</v>
      </c>
      <c r="AE35" s="121">
        <f t="shared" si="31"/>
        <v>0</v>
      </c>
      <c r="AF35" s="121"/>
      <c r="AG35" s="31">
        <f t="shared" si="32"/>
        <v>450.23999999999995</v>
      </c>
      <c r="AH35" s="31">
        <f t="shared" si="33"/>
        <v>150.08</v>
      </c>
      <c r="AI35" s="31">
        <f t="shared" si="34"/>
        <v>750.4</v>
      </c>
      <c r="AJ35" s="31">
        <v>0</v>
      </c>
      <c r="AK35" s="31">
        <f t="shared" si="35"/>
        <v>735.3919999999999</v>
      </c>
      <c r="AL35" s="31">
        <v>0</v>
      </c>
      <c r="AM35" s="31">
        <f t="shared" si="36"/>
        <v>1688.3999999999999</v>
      </c>
      <c r="AN35" s="31">
        <v>0</v>
      </c>
      <c r="AO35" s="31"/>
      <c r="AP35" s="31"/>
      <c r="AQ35" s="126"/>
      <c r="AR35" s="126"/>
      <c r="AS35" s="103"/>
      <c r="AT35" s="103">
        <f>47.8</f>
        <v>47.8</v>
      </c>
      <c r="AU35" s="103">
        <v>0</v>
      </c>
      <c r="AV35" s="127">
        <v>293</v>
      </c>
      <c r="AW35" s="128">
        <v>0.3</v>
      </c>
      <c r="AX35" s="31">
        <f t="shared" si="38"/>
        <v>123.05999999999997</v>
      </c>
      <c r="AY35" s="129"/>
      <c r="AZ35" s="131"/>
      <c r="BA35" s="131">
        <f t="shared" si="39"/>
        <v>0</v>
      </c>
      <c r="BB35" s="131">
        <f t="shared" si="40"/>
        <v>3945.3720000000003</v>
      </c>
      <c r="BC35" s="138"/>
      <c r="BD35" s="19">
        <f t="shared" si="22"/>
        <v>192.71799999999985</v>
      </c>
      <c r="BE35" s="21">
        <f t="shared" si="23"/>
        <v>-2352.870000000001</v>
      </c>
    </row>
    <row r="36" spans="1:57" ht="12.75">
      <c r="A36" s="13" t="s">
        <v>53</v>
      </c>
      <c r="B36" s="98">
        <v>750.4</v>
      </c>
      <c r="C36" s="133">
        <f t="shared" si="24"/>
        <v>6490.96</v>
      </c>
      <c r="D36" s="116">
        <f t="shared" si="25"/>
        <v>596.6000000000005</v>
      </c>
      <c r="E36" s="99">
        <v>680.21</v>
      </c>
      <c r="F36" s="99">
        <v>0</v>
      </c>
      <c r="G36" s="99">
        <v>921.81</v>
      </c>
      <c r="H36" s="99">
        <v>0</v>
      </c>
      <c r="I36" s="99">
        <v>2214.19</v>
      </c>
      <c r="J36" s="99">
        <v>0</v>
      </c>
      <c r="K36" s="99">
        <v>1533.98</v>
      </c>
      <c r="L36" s="99">
        <v>0</v>
      </c>
      <c r="M36" s="97">
        <v>544.17</v>
      </c>
      <c r="N36" s="139">
        <v>0</v>
      </c>
      <c r="O36" s="105">
        <v>0</v>
      </c>
      <c r="P36" s="105">
        <v>0</v>
      </c>
      <c r="Q36" s="105"/>
      <c r="R36" s="105"/>
      <c r="S36" s="99">
        <f t="shared" si="26"/>
        <v>5894.360000000001</v>
      </c>
      <c r="T36" s="117">
        <f t="shared" si="27"/>
        <v>0</v>
      </c>
      <c r="U36" s="99">
        <v>444.32</v>
      </c>
      <c r="V36" s="99">
        <v>601.98</v>
      </c>
      <c r="W36" s="99">
        <v>1446.14</v>
      </c>
      <c r="X36" s="99">
        <v>1001.88</v>
      </c>
      <c r="Y36" s="99">
        <v>355.45</v>
      </c>
      <c r="Z36" s="99">
        <v>0</v>
      </c>
      <c r="AA36" s="105">
        <v>0</v>
      </c>
      <c r="AB36" s="105">
        <f t="shared" si="28"/>
        <v>3849.77</v>
      </c>
      <c r="AC36" s="120">
        <f t="shared" si="29"/>
        <v>4446.370000000001</v>
      </c>
      <c r="AD36" s="121">
        <f t="shared" si="30"/>
        <v>0</v>
      </c>
      <c r="AE36" s="121">
        <f t="shared" si="31"/>
        <v>0</v>
      </c>
      <c r="AF36" s="121"/>
      <c r="AG36" s="31">
        <f t="shared" si="32"/>
        <v>450.23999999999995</v>
      </c>
      <c r="AH36" s="31">
        <f t="shared" si="33"/>
        <v>150.08</v>
      </c>
      <c r="AI36" s="31">
        <f t="shared" si="34"/>
        <v>750.4</v>
      </c>
      <c r="AJ36" s="31">
        <v>0</v>
      </c>
      <c r="AK36" s="31">
        <f t="shared" si="35"/>
        <v>735.3919999999999</v>
      </c>
      <c r="AL36" s="31">
        <v>0</v>
      </c>
      <c r="AM36" s="31">
        <f t="shared" si="36"/>
        <v>1688.3999999999999</v>
      </c>
      <c r="AN36" s="31">
        <v>0</v>
      </c>
      <c r="AO36" s="31"/>
      <c r="AP36" s="31"/>
      <c r="AQ36" s="126"/>
      <c r="AR36" s="126"/>
      <c r="AS36" s="103"/>
      <c r="AT36" s="103"/>
      <c r="AU36" s="146">
        <f t="shared" si="37"/>
        <v>0</v>
      </c>
      <c r="AV36" s="127">
        <v>349</v>
      </c>
      <c r="AW36" s="128">
        <v>0.3</v>
      </c>
      <c r="AX36" s="31">
        <f t="shared" si="38"/>
        <v>146.57999999999998</v>
      </c>
      <c r="AY36" s="129"/>
      <c r="AZ36" s="131"/>
      <c r="BA36" s="131">
        <f t="shared" si="39"/>
        <v>0</v>
      </c>
      <c r="BB36" s="131">
        <f t="shared" si="40"/>
        <v>3921.0919999999996</v>
      </c>
      <c r="BC36" s="138"/>
      <c r="BD36" s="19">
        <f t="shared" si="22"/>
        <v>525.2780000000012</v>
      </c>
      <c r="BE36" s="21">
        <f t="shared" si="23"/>
        <v>-2044.5900000000006</v>
      </c>
    </row>
    <row r="37" spans="1:57" ht="12.75">
      <c r="A37" s="32" t="s">
        <v>41</v>
      </c>
      <c r="B37" s="98">
        <v>750.4</v>
      </c>
      <c r="C37" s="133">
        <f t="shared" si="24"/>
        <v>6490.96</v>
      </c>
      <c r="D37" s="116">
        <f t="shared" si="25"/>
        <v>596.5900000000003</v>
      </c>
      <c r="E37" s="100">
        <v>680.21</v>
      </c>
      <c r="F37" s="100">
        <v>0</v>
      </c>
      <c r="G37" s="100">
        <v>921.82</v>
      </c>
      <c r="H37" s="100">
        <v>0</v>
      </c>
      <c r="I37" s="100">
        <v>2214.19</v>
      </c>
      <c r="J37" s="100">
        <v>0</v>
      </c>
      <c r="K37" s="100">
        <v>1533.98</v>
      </c>
      <c r="L37" s="100">
        <v>0</v>
      </c>
      <c r="M37" s="101">
        <v>544.17</v>
      </c>
      <c r="N37" s="143">
        <v>0</v>
      </c>
      <c r="O37" s="123">
        <v>0</v>
      </c>
      <c r="P37" s="123">
        <v>0</v>
      </c>
      <c r="Q37" s="123"/>
      <c r="R37" s="123"/>
      <c r="S37" s="99">
        <f t="shared" si="26"/>
        <v>5894.370000000001</v>
      </c>
      <c r="T37" s="117">
        <f t="shared" si="27"/>
        <v>0</v>
      </c>
      <c r="U37" s="99">
        <v>460.57</v>
      </c>
      <c r="V37" s="99">
        <v>624.1</v>
      </c>
      <c r="W37" s="99">
        <v>1499.19</v>
      </c>
      <c r="X37" s="99">
        <v>1038.57</v>
      </c>
      <c r="Y37" s="99">
        <v>368.48</v>
      </c>
      <c r="Z37" s="99">
        <v>0</v>
      </c>
      <c r="AA37" s="105">
        <v>0</v>
      </c>
      <c r="AB37" s="105">
        <f t="shared" si="28"/>
        <v>3990.9100000000003</v>
      </c>
      <c r="AC37" s="120">
        <f t="shared" si="29"/>
        <v>4587.500000000001</v>
      </c>
      <c r="AD37" s="121">
        <f t="shared" si="30"/>
        <v>0</v>
      </c>
      <c r="AE37" s="121">
        <f t="shared" si="31"/>
        <v>0</v>
      </c>
      <c r="AF37" s="121"/>
      <c r="AG37" s="31">
        <f t="shared" si="32"/>
        <v>450.23999999999995</v>
      </c>
      <c r="AH37" s="31">
        <f t="shared" si="33"/>
        <v>150.08</v>
      </c>
      <c r="AI37" s="31">
        <f t="shared" si="34"/>
        <v>750.4</v>
      </c>
      <c r="AJ37" s="31">
        <v>0</v>
      </c>
      <c r="AK37" s="31">
        <f t="shared" si="35"/>
        <v>735.3919999999999</v>
      </c>
      <c r="AL37" s="31">
        <v>0</v>
      </c>
      <c r="AM37" s="31">
        <f t="shared" si="36"/>
        <v>1688.3999999999999</v>
      </c>
      <c r="AN37" s="31">
        <v>0</v>
      </c>
      <c r="AO37" s="31"/>
      <c r="AP37" s="31"/>
      <c r="AQ37" s="126"/>
      <c r="AR37" s="126"/>
      <c r="AS37" s="103"/>
      <c r="AT37" s="103"/>
      <c r="AU37" s="103">
        <f t="shared" si="37"/>
        <v>0</v>
      </c>
      <c r="AV37" s="127">
        <v>425</v>
      </c>
      <c r="AW37" s="128">
        <v>0.3</v>
      </c>
      <c r="AX37" s="31">
        <f t="shared" si="38"/>
        <v>178.5</v>
      </c>
      <c r="AY37" s="129"/>
      <c r="AZ37" s="131"/>
      <c r="BA37" s="131">
        <f t="shared" si="39"/>
        <v>0</v>
      </c>
      <c r="BB37" s="131">
        <f t="shared" si="40"/>
        <v>3953.0119999999997</v>
      </c>
      <c r="BC37" s="138"/>
      <c r="BD37" s="19">
        <f t="shared" si="22"/>
        <v>634.4880000000012</v>
      </c>
      <c r="BE37" s="21">
        <f t="shared" si="23"/>
        <v>-1903.4600000000005</v>
      </c>
    </row>
    <row r="38" spans="1:57" ht="12.75">
      <c r="A38" s="13" t="s">
        <v>42</v>
      </c>
      <c r="B38" s="98">
        <v>750.4</v>
      </c>
      <c r="C38" s="133">
        <f t="shared" si="24"/>
        <v>6490.96</v>
      </c>
      <c r="D38" s="116">
        <f t="shared" si="25"/>
        <v>585.3100000000002</v>
      </c>
      <c r="E38" s="99">
        <v>681.54</v>
      </c>
      <c r="F38" s="99">
        <v>0</v>
      </c>
      <c r="G38" s="99">
        <v>923.53</v>
      </c>
      <c r="H38" s="99">
        <v>0</v>
      </c>
      <c r="I38" s="99">
        <v>2218.44</v>
      </c>
      <c r="J38" s="99">
        <v>0</v>
      </c>
      <c r="K38" s="99">
        <v>1536.91</v>
      </c>
      <c r="L38" s="99">
        <v>0</v>
      </c>
      <c r="M38" s="97">
        <v>545.23</v>
      </c>
      <c r="N38" s="139">
        <v>0</v>
      </c>
      <c r="O38" s="105">
        <v>0</v>
      </c>
      <c r="P38" s="105">
        <v>0</v>
      </c>
      <c r="Q38" s="105"/>
      <c r="R38" s="105"/>
      <c r="S38" s="99">
        <f t="shared" si="26"/>
        <v>5905.65</v>
      </c>
      <c r="T38" s="117">
        <f t="shared" si="27"/>
        <v>0</v>
      </c>
      <c r="U38" s="104">
        <v>498.34</v>
      </c>
      <c r="V38" s="99">
        <v>675.31</v>
      </c>
      <c r="W38" s="99">
        <v>1622.1</v>
      </c>
      <c r="X38" s="99">
        <v>1123.79</v>
      </c>
      <c r="Y38" s="99">
        <v>398.68</v>
      </c>
      <c r="Z38" s="99">
        <v>0</v>
      </c>
      <c r="AA38" s="105">
        <v>0</v>
      </c>
      <c r="AB38" s="105">
        <f t="shared" si="28"/>
        <v>4318.22</v>
      </c>
      <c r="AC38" s="120">
        <f t="shared" si="29"/>
        <v>4903.530000000001</v>
      </c>
      <c r="AD38" s="121">
        <f t="shared" si="30"/>
        <v>0</v>
      </c>
      <c r="AE38" s="121">
        <f t="shared" si="31"/>
        <v>0</v>
      </c>
      <c r="AF38" s="121"/>
      <c r="AG38" s="31">
        <f t="shared" si="32"/>
        <v>450.23999999999995</v>
      </c>
      <c r="AH38" s="31">
        <f t="shared" si="33"/>
        <v>150.08</v>
      </c>
      <c r="AI38" s="31">
        <f t="shared" si="34"/>
        <v>750.4</v>
      </c>
      <c r="AJ38" s="31">
        <v>0</v>
      </c>
      <c r="AK38" s="31">
        <f t="shared" si="35"/>
        <v>735.3919999999999</v>
      </c>
      <c r="AL38" s="31">
        <v>0</v>
      </c>
      <c r="AM38" s="31">
        <f t="shared" si="36"/>
        <v>1688.3999999999999</v>
      </c>
      <c r="AN38" s="31">
        <v>0</v>
      </c>
      <c r="AO38" s="31"/>
      <c r="AP38" s="31"/>
      <c r="AQ38" s="126"/>
      <c r="AR38" s="126"/>
      <c r="AS38" s="103"/>
      <c r="AT38" s="103"/>
      <c r="AU38" s="103">
        <f t="shared" si="37"/>
        <v>0</v>
      </c>
      <c r="AV38" s="127">
        <v>470</v>
      </c>
      <c r="AW38" s="128">
        <v>0.3</v>
      </c>
      <c r="AX38" s="31">
        <f t="shared" si="38"/>
        <v>197.39999999999998</v>
      </c>
      <c r="AY38" s="129"/>
      <c r="AZ38" s="131"/>
      <c r="BA38" s="131">
        <f t="shared" si="39"/>
        <v>0</v>
      </c>
      <c r="BB38" s="131">
        <f t="shared" si="40"/>
        <v>3971.9119999999994</v>
      </c>
      <c r="BC38" s="138"/>
      <c r="BD38" s="19">
        <f t="shared" si="22"/>
        <v>931.6180000000013</v>
      </c>
      <c r="BE38" s="21">
        <f t="shared" si="23"/>
        <v>-1587.4299999999994</v>
      </c>
    </row>
    <row r="39" spans="1:57" ht="12.75">
      <c r="A39" s="13" t="s">
        <v>43</v>
      </c>
      <c r="B39" s="98">
        <v>750.4</v>
      </c>
      <c r="C39" s="133">
        <f t="shared" si="24"/>
        <v>6490.96</v>
      </c>
      <c r="D39" s="147">
        <f>C39-E39-F39-G39-H39-I39-J39-K39-L39-M39-N39+50000</f>
        <v>50571.61</v>
      </c>
      <c r="E39" s="99">
        <v>683.15</v>
      </c>
      <c r="F39" s="99">
        <v>0</v>
      </c>
      <c r="G39" s="99">
        <v>925.62</v>
      </c>
      <c r="H39" s="99">
        <v>0</v>
      </c>
      <c r="I39" s="99">
        <v>2223.6</v>
      </c>
      <c r="J39" s="99">
        <v>0</v>
      </c>
      <c r="K39" s="99">
        <v>1540.46</v>
      </c>
      <c r="L39" s="99">
        <v>0</v>
      </c>
      <c r="M39" s="97">
        <v>546.52</v>
      </c>
      <c r="N39" s="139">
        <v>0</v>
      </c>
      <c r="O39" s="105">
        <v>0</v>
      </c>
      <c r="P39" s="105">
        <v>0</v>
      </c>
      <c r="Q39" s="105"/>
      <c r="R39" s="105"/>
      <c r="S39" s="99">
        <f t="shared" si="26"/>
        <v>5919.35</v>
      </c>
      <c r="T39" s="117">
        <f t="shared" si="27"/>
        <v>0</v>
      </c>
      <c r="U39" s="99">
        <v>670.42</v>
      </c>
      <c r="V39" s="99">
        <v>908.23</v>
      </c>
      <c r="W39" s="99">
        <v>2182</v>
      </c>
      <c r="X39" s="99">
        <v>1511.64</v>
      </c>
      <c r="Y39" s="99">
        <v>536.33</v>
      </c>
      <c r="Z39" s="99">
        <v>0</v>
      </c>
      <c r="AA39" s="105">
        <v>0</v>
      </c>
      <c r="AB39" s="105">
        <f t="shared" si="28"/>
        <v>5808.62</v>
      </c>
      <c r="AC39" s="120">
        <f t="shared" si="29"/>
        <v>56380.23</v>
      </c>
      <c r="AD39" s="121">
        <f t="shared" si="30"/>
        <v>0</v>
      </c>
      <c r="AE39" s="121">
        <f t="shared" si="31"/>
        <v>0</v>
      </c>
      <c r="AF39" s="121"/>
      <c r="AG39" s="31">
        <f t="shared" si="32"/>
        <v>450.23999999999995</v>
      </c>
      <c r="AH39" s="31">
        <f t="shared" si="33"/>
        <v>150.08</v>
      </c>
      <c r="AI39" s="31">
        <f t="shared" si="34"/>
        <v>750.4</v>
      </c>
      <c r="AJ39" s="31">
        <v>0</v>
      </c>
      <c r="AK39" s="31">
        <f t="shared" si="35"/>
        <v>735.3919999999999</v>
      </c>
      <c r="AL39" s="31">
        <v>0</v>
      </c>
      <c r="AM39" s="31">
        <f t="shared" si="36"/>
        <v>1688.3999999999999</v>
      </c>
      <c r="AN39" s="31">
        <v>0</v>
      </c>
      <c r="AO39" s="31"/>
      <c r="AP39" s="31"/>
      <c r="AQ39" s="126"/>
      <c r="AR39" s="126"/>
      <c r="AS39" s="103"/>
      <c r="AT39" s="103">
        <v>50000</v>
      </c>
      <c r="AU39" s="103">
        <f>0*0.18</f>
        <v>0</v>
      </c>
      <c r="AV39" s="127">
        <v>514</v>
      </c>
      <c r="AW39" s="128">
        <v>0.3</v>
      </c>
      <c r="AX39" s="31">
        <f t="shared" si="38"/>
        <v>215.87999999999997</v>
      </c>
      <c r="AY39" s="129"/>
      <c r="AZ39" s="131"/>
      <c r="BA39" s="131">
        <f t="shared" si="39"/>
        <v>0</v>
      </c>
      <c r="BB39" s="131">
        <f t="shared" si="40"/>
        <v>53990.392</v>
      </c>
      <c r="BC39" s="138"/>
      <c r="BD39" s="19">
        <f t="shared" si="22"/>
        <v>2389.8380000000034</v>
      </c>
      <c r="BE39" s="21">
        <f t="shared" si="23"/>
        <v>-110.73000000000047</v>
      </c>
    </row>
    <row r="40" spans="1:57" s="28" customFormat="1" ht="12.75">
      <c r="A40" s="22" t="s">
        <v>5</v>
      </c>
      <c r="B40" s="23"/>
      <c r="C40" s="23">
        <f aca="true" t="shared" si="41" ref="C40:AE40">SUM(C28:C39)</f>
        <v>77891.52</v>
      </c>
      <c r="D40" s="23">
        <f t="shared" si="41"/>
        <v>57129.490000000005</v>
      </c>
      <c r="E40" s="24">
        <f t="shared" si="41"/>
        <v>7763.8099999999995</v>
      </c>
      <c r="F40" s="24">
        <f t="shared" si="41"/>
        <v>402.24000000000007</v>
      </c>
      <c r="G40" s="24">
        <f t="shared" si="41"/>
        <v>10521.08</v>
      </c>
      <c r="H40" s="24">
        <f t="shared" si="41"/>
        <v>545.16</v>
      </c>
      <c r="I40" s="24">
        <f t="shared" si="41"/>
        <v>25272.099999999995</v>
      </c>
      <c r="J40" s="24">
        <f t="shared" si="41"/>
        <v>1309.32</v>
      </c>
      <c r="K40" s="24">
        <f t="shared" si="41"/>
        <v>17508.329999999998</v>
      </c>
      <c r="L40" s="24">
        <f t="shared" si="41"/>
        <v>907.1400000000001</v>
      </c>
      <c r="M40" s="24">
        <f t="shared" si="41"/>
        <v>6211.130000000001</v>
      </c>
      <c r="N40" s="24">
        <f t="shared" si="41"/>
        <v>321.71999999999997</v>
      </c>
      <c r="O40" s="24">
        <f t="shared" si="41"/>
        <v>0</v>
      </c>
      <c r="P40" s="24">
        <f t="shared" si="41"/>
        <v>0</v>
      </c>
      <c r="Q40" s="24">
        <f t="shared" si="41"/>
        <v>0</v>
      </c>
      <c r="R40" s="24">
        <f t="shared" si="41"/>
        <v>0</v>
      </c>
      <c r="S40" s="24">
        <f t="shared" si="41"/>
        <v>67276.45000000001</v>
      </c>
      <c r="T40" s="24">
        <f t="shared" si="41"/>
        <v>3485.5799999999995</v>
      </c>
      <c r="U40" s="25">
        <f t="shared" si="41"/>
        <v>5135.580000000001</v>
      </c>
      <c r="V40" s="25">
        <f t="shared" si="41"/>
        <v>6956.01</v>
      </c>
      <c r="W40" s="25">
        <f t="shared" si="41"/>
        <v>16713.29</v>
      </c>
      <c r="X40" s="25">
        <f t="shared" si="41"/>
        <v>11577.77</v>
      </c>
      <c r="Y40" s="25">
        <f t="shared" si="41"/>
        <v>4108.47</v>
      </c>
      <c r="Z40" s="25">
        <f t="shared" si="41"/>
        <v>0</v>
      </c>
      <c r="AA40" s="25">
        <f t="shared" si="41"/>
        <v>0</v>
      </c>
      <c r="AB40" s="25">
        <f t="shared" si="41"/>
        <v>44491.12</v>
      </c>
      <c r="AC40" s="25">
        <f t="shared" si="41"/>
        <v>105106.19</v>
      </c>
      <c r="AD40" s="110">
        <f t="shared" si="41"/>
        <v>0</v>
      </c>
      <c r="AE40" s="110">
        <f t="shared" si="41"/>
        <v>0</v>
      </c>
      <c r="AF40" s="110"/>
      <c r="AG40" s="26">
        <f aca="true" t="shared" si="42" ref="AG40:AP40">SUM(AG28:AG39)</f>
        <v>5402.879999999998</v>
      </c>
      <c r="AH40" s="26">
        <f t="shared" si="42"/>
        <v>1800.9599999999998</v>
      </c>
      <c r="AI40" s="26">
        <f t="shared" si="42"/>
        <v>9004.799999999997</v>
      </c>
      <c r="AJ40" s="26">
        <f t="shared" si="42"/>
        <v>0</v>
      </c>
      <c r="AK40" s="26">
        <f t="shared" si="42"/>
        <v>8824.704</v>
      </c>
      <c r="AL40" s="26">
        <f t="shared" si="42"/>
        <v>0</v>
      </c>
      <c r="AM40" s="26">
        <f t="shared" si="42"/>
        <v>20260.800000000003</v>
      </c>
      <c r="AN40" s="26">
        <f t="shared" si="42"/>
        <v>0</v>
      </c>
      <c r="AO40" s="26">
        <f t="shared" si="42"/>
        <v>0</v>
      </c>
      <c r="AP40" s="26">
        <f t="shared" si="42"/>
        <v>0</v>
      </c>
      <c r="AQ40" s="26"/>
      <c r="AR40" s="26"/>
      <c r="AS40" s="93">
        <f>SUM(AS28:AS39)</f>
        <v>584</v>
      </c>
      <c r="AT40" s="93">
        <f>SUM(AT28:AT39)</f>
        <v>50193.56</v>
      </c>
      <c r="AU40" s="93">
        <f>SUM(AU28:AU39)</f>
        <v>26.2368</v>
      </c>
      <c r="AV40" s="26"/>
      <c r="AW40" s="26"/>
      <c r="AX40" s="26">
        <f aca="true" t="shared" si="43" ref="AX40:BE40">SUM(AX28:AX39)</f>
        <v>1847.9999999999998</v>
      </c>
      <c r="AY40" s="26">
        <f t="shared" si="43"/>
        <v>0</v>
      </c>
      <c r="AZ40" s="26">
        <f t="shared" si="43"/>
        <v>0</v>
      </c>
      <c r="BA40" s="26">
        <f t="shared" si="43"/>
        <v>0</v>
      </c>
      <c r="BB40" s="26">
        <f t="shared" si="43"/>
        <v>97945.94079999998</v>
      </c>
      <c r="BC40" s="26">
        <f t="shared" si="43"/>
        <v>0</v>
      </c>
      <c r="BD40" s="26">
        <f t="shared" si="43"/>
        <v>7160.249200000015</v>
      </c>
      <c r="BE40" s="27">
        <f t="shared" si="43"/>
        <v>-22785.33</v>
      </c>
    </row>
    <row r="41" spans="1:57" s="28" customFormat="1" ht="12.75">
      <c r="A41" s="22"/>
      <c r="B41" s="23"/>
      <c r="C41" s="23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5"/>
      <c r="V41" s="25"/>
      <c r="W41" s="25"/>
      <c r="X41" s="25"/>
      <c r="Y41" s="25"/>
      <c r="Z41" s="25"/>
      <c r="AA41" s="25"/>
      <c r="AB41" s="25"/>
      <c r="AC41" s="25"/>
      <c r="AD41" s="110"/>
      <c r="AE41" s="110"/>
      <c r="AF41" s="110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93"/>
      <c r="AT41" s="93"/>
      <c r="AU41" s="93"/>
      <c r="AV41" s="26"/>
      <c r="AW41" s="26"/>
      <c r="AX41" s="26"/>
      <c r="AY41" s="26"/>
      <c r="AZ41" s="26"/>
      <c r="BA41" s="26"/>
      <c r="BB41" s="26"/>
      <c r="BC41" s="26"/>
      <c r="BD41" s="31"/>
      <c r="BE41" s="107"/>
    </row>
    <row r="42" spans="1:57" s="28" customFormat="1" ht="13.5" thickBot="1">
      <c r="A42" s="33" t="s">
        <v>54</v>
      </c>
      <c r="B42" s="34"/>
      <c r="C42" s="34">
        <f>C12+C26+C40</f>
        <v>175380.48000000004</v>
      </c>
      <c r="D42" s="34">
        <f aca="true" t="shared" si="44" ref="D42:BE42">D12+D26+D40</f>
        <v>70088.971128</v>
      </c>
      <c r="E42" s="34">
        <f t="shared" si="44"/>
        <v>16516.010000000002</v>
      </c>
      <c r="F42" s="34">
        <f t="shared" si="44"/>
        <v>1352.01</v>
      </c>
      <c r="G42" s="34">
        <f t="shared" si="44"/>
        <v>22361.89</v>
      </c>
      <c r="H42" s="34">
        <f t="shared" si="44"/>
        <v>1748.9</v>
      </c>
      <c r="I42" s="34">
        <f t="shared" si="44"/>
        <v>53742.06999999999</v>
      </c>
      <c r="J42" s="34">
        <f t="shared" si="44"/>
        <v>4398.66</v>
      </c>
      <c r="K42" s="34">
        <f t="shared" si="44"/>
        <v>37223.03999999999</v>
      </c>
      <c r="L42" s="34">
        <f t="shared" si="44"/>
        <v>3046.9299999999994</v>
      </c>
      <c r="M42" s="34">
        <f t="shared" si="44"/>
        <v>13212.86</v>
      </c>
      <c r="N42" s="34">
        <f t="shared" si="44"/>
        <v>1081.34</v>
      </c>
      <c r="O42" s="34">
        <f t="shared" si="44"/>
        <v>0</v>
      </c>
      <c r="P42" s="34">
        <f t="shared" si="44"/>
        <v>0</v>
      </c>
      <c r="Q42" s="34">
        <f t="shared" si="44"/>
        <v>0</v>
      </c>
      <c r="R42" s="34">
        <f t="shared" si="44"/>
        <v>0</v>
      </c>
      <c r="S42" s="34">
        <f t="shared" si="44"/>
        <v>143055.87000000002</v>
      </c>
      <c r="T42" s="34">
        <f t="shared" si="44"/>
        <v>11627.840000000002</v>
      </c>
      <c r="U42" s="34">
        <f t="shared" si="44"/>
        <v>10258.18</v>
      </c>
      <c r="V42" s="34">
        <f t="shared" si="44"/>
        <v>13884.339999999998</v>
      </c>
      <c r="W42" s="34">
        <f t="shared" si="44"/>
        <v>33374.45</v>
      </c>
      <c r="X42" s="34">
        <f t="shared" si="44"/>
        <v>23116.14</v>
      </c>
      <c r="Y42" s="34">
        <f t="shared" si="44"/>
        <v>8206.580000000002</v>
      </c>
      <c r="Z42" s="34">
        <f t="shared" si="44"/>
        <v>0</v>
      </c>
      <c r="AA42" s="34">
        <f t="shared" si="44"/>
        <v>0</v>
      </c>
      <c r="AB42" s="34">
        <f t="shared" si="44"/>
        <v>88839.69</v>
      </c>
      <c r="AC42" s="34">
        <f t="shared" si="44"/>
        <v>170556.501128</v>
      </c>
      <c r="AD42" s="34">
        <f t="shared" si="44"/>
        <v>0</v>
      </c>
      <c r="AE42" s="34">
        <f t="shared" si="44"/>
        <v>0</v>
      </c>
      <c r="AF42" s="34">
        <f t="shared" si="44"/>
        <v>0</v>
      </c>
      <c r="AG42" s="34">
        <f t="shared" si="44"/>
        <v>11984.639999999996</v>
      </c>
      <c r="AH42" s="34">
        <f t="shared" si="44"/>
        <v>4015.8721568</v>
      </c>
      <c r="AI42" s="34">
        <f t="shared" si="44"/>
        <v>18233.671651999997</v>
      </c>
      <c r="AJ42" s="34">
        <f t="shared" si="44"/>
        <v>1661.1968973599999</v>
      </c>
      <c r="AK42" s="34">
        <f t="shared" si="44"/>
        <v>18163.18226832</v>
      </c>
      <c r="AL42" s="34">
        <f t="shared" si="44"/>
        <v>1680.9260882976</v>
      </c>
      <c r="AM42" s="34">
        <f t="shared" si="44"/>
        <v>40710.18305442712</v>
      </c>
      <c r="AN42" s="34">
        <f t="shared" si="44"/>
        <v>3680.8889497968817</v>
      </c>
      <c r="AO42" s="34">
        <f t="shared" si="44"/>
        <v>0</v>
      </c>
      <c r="AP42" s="34">
        <f t="shared" si="44"/>
        <v>0</v>
      </c>
      <c r="AQ42" s="34">
        <f t="shared" si="44"/>
        <v>0</v>
      </c>
      <c r="AR42" s="34">
        <f t="shared" si="44"/>
        <v>0</v>
      </c>
      <c r="AS42" s="34">
        <f t="shared" si="44"/>
        <v>2736.81</v>
      </c>
      <c r="AT42" s="34">
        <f t="shared" si="44"/>
        <v>50193.56</v>
      </c>
      <c r="AU42" s="34">
        <f t="shared" si="44"/>
        <v>413.75260000000003</v>
      </c>
      <c r="AV42" s="34">
        <f t="shared" si="44"/>
        <v>0</v>
      </c>
      <c r="AW42" s="34">
        <f t="shared" si="44"/>
        <v>0</v>
      </c>
      <c r="AX42" s="34">
        <f t="shared" si="44"/>
        <v>3592.5119999999997</v>
      </c>
      <c r="AY42" s="34">
        <f t="shared" si="44"/>
        <v>0</v>
      </c>
      <c r="AZ42" s="34">
        <f t="shared" si="44"/>
        <v>0</v>
      </c>
      <c r="BA42" s="34">
        <f t="shared" si="44"/>
        <v>0</v>
      </c>
      <c r="BB42" s="34">
        <f t="shared" si="44"/>
        <v>157067.1956670016</v>
      </c>
      <c r="BC42" s="34">
        <f t="shared" si="44"/>
        <v>0</v>
      </c>
      <c r="BD42" s="34">
        <f t="shared" si="44"/>
        <v>13489.305460998417</v>
      </c>
      <c r="BE42" s="34">
        <f t="shared" si="44"/>
        <v>-54216.18</v>
      </c>
    </row>
  </sheetData>
  <sheetProtection/>
  <mergeCells count="66">
    <mergeCell ref="AV5:AX5"/>
    <mergeCell ref="AT5:AT6"/>
    <mergeCell ref="AU5:AU6"/>
    <mergeCell ref="AY5:AY6"/>
    <mergeCell ref="AZ5:AZ6"/>
    <mergeCell ref="Z5:Z6"/>
    <mergeCell ref="AA5:AA6"/>
    <mergeCell ref="AB5:AB6"/>
    <mergeCell ref="AG5:AG6"/>
    <mergeCell ref="AE3:AE6"/>
    <mergeCell ref="AG3:BB4"/>
    <mergeCell ref="AN5:AN6"/>
    <mergeCell ref="AO5:AO6"/>
    <mergeCell ref="AP5:AP6"/>
    <mergeCell ref="AS5:AS6"/>
    <mergeCell ref="P5:P6"/>
    <mergeCell ref="Q5:Q6"/>
    <mergeCell ref="R5:R6"/>
    <mergeCell ref="S5:S6"/>
    <mergeCell ref="AQ5:AQ6"/>
    <mergeCell ref="T5:T6"/>
    <mergeCell ref="U5:U6"/>
    <mergeCell ref="I5:I6"/>
    <mergeCell ref="J5:J6"/>
    <mergeCell ref="K5:K6"/>
    <mergeCell ref="L5:L6"/>
    <mergeCell ref="E5:E6"/>
    <mergeCell ref="F5:F6"/>
    <mergeCell ref="G5:G6"/>
    <mergeCell ref="H5:H6"/>
    <mergeCell ref="BC3:BC6"/>
    <mergeCell ref="BE3:BE6"/>
    <mergeCell ref="AH5:AH6"/>
    <mergeCell ref="AI5:AI6"/>
    <mergeCell ref="AJ5:AJ6"/>
    <mergeCell ref="AK5:AK6"/>
    <mergeCell ref="BA5:BA6"/>
    <mergeCell ref="BB5:BB6"/>
    <mergeCell ref="V5:V6"/>
    <mergeCell ref="W5:W6"/>
    <mergeCell ref="X5:X6"/>
    <mergeCell ref="Y5:Y6"/>
    <mergeCell ref="AR5:AR6"/>
    <mergeCell ref="AD3:AD6"/>
    <mergeCell ref="AL5:AL6"/>
    <mergeCell ref="AM5:AM6"/>
    <mergeCell ref="K4:L4"/>
    <mergeCell ref="S3:T4"/>
    <mergeCell ref="U3:AB4"/>
    <mergeCell ref="AC3:AC6"/>
    <mergeCell ref="M4:N4"/>
    <mergeCell ref="O4:P4"/>
    <mergeCell ref="Q4:R4"/>
    <mergeCell ref="M5:M6"/>
    <mergeCell ref="N5:N6"/>
    <mergeCell ref="O5:O6"/>
    <mergeCell ref="BD3:BD6"/>
    <mergeCell ref="A1:N1"/>
    <mergeCell ref="A3:A6"/>
    <mergeCell ref="B3:B6"/>
    <mergeCell ref="C3:C6"/>
    <mergeCell ref="D3:D6"/>
    <mergeCell ref="E3:R3"/>
    <mergeCell ref="E4:F4"/>
    <mergeCell ref="G4:H4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7">
      <selection activeCell="I48" sqref="I48:M48"/>
    </sheetView>
  </sheetViews>
  <sheetFormatPr defaultColWidth="9.00390625" defaultRowHeight="12.75"/>
  <cols>
    <col min="1" max="1" width="10.125" style="2" bestFit="1" customWidth="1"/>
    <col min="2" max="2" width="8.125" style="2" customWidth="1"/>
    <col min="3" max="3" width="10.875" style="2" customWidth="1"/>
    <col min="4" max="4" width="10.62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35" t="s">
        <v>55</v>
      </c>
    </row>
    <row r="2" ht="18.75">
      <c r="E2" s="35" t="s">
        <v>56</v>
      </c>
    </row>
    <row r="5" spans="1:15" ht="12.75">
      <c r="A5" s="333" t="s">
        <v>85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</row>
    <row r="6" spans="1:15" ht="12.75">
      <c r="A6" s="358" t="s">
        <v>91</v>
      </c>
      <c r="B6" s="358"/>
      <c r="C6" s="358"/>
      <c r="D6" s="358"/>
      <c r="E6" s="358"/>
      <c r="F6" s="358"/>
      <c r="G6" s="358"/>
      <c r="H6" s="111"/>
      <c r="I6" s="111"/>
      <c r="J6" s="111"/>
      <c r="K6" s="111"/>
      <c r="L6" s="111"/>
      <c r="M6" s="111"/>
      <c r="N6" s="111"/>
      <c r="O6" s="111"/>
    </row>
    <row r="7" spans="1:15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5" ht="13.5" thickBot="1">
      <c r="A8" s="37" t="s">
        <v>57</v>
      </c>
      <c r="D8" s="4"/>
      <c r="E8" s="37">
        <v>8.65</v>
      </c>
    </row>
    <row r="9" spans="1:16" ht="12" customHeight="1">
      <c r="A9" s="293" t="s">
        <v>58</v>
      </c>
      <c r="B9" s="335" t="s">
        <v>1</v>
      </c>
      <c r="C9" s="338" t="s">
        <v>59</v>
      </c>
      <c r="D9" s="341" t="s">
        <v>3</v>
      </c>
      <c r="E9" s="344" t="s">
        <v>60</v>
      </c>
      <c r="F9" s="345"/>
      <c r="G9" s="359" t="s">
        <v>75</v>
      </c>
      <c r="H9" s="359"/>
      <c r="I9" s="348" t="s">
        <v>10</v>
      </c>
      <c r="J9" s="319"/>
      <c r="K9" s="319"/>
      <c r="L9" s="319"/>
      <c r="M9" s="319"/>
      <c r="N9" s="349"/>
      <c r="O9" s="352" t="s">
        <v>61</v>
      </c>
      <c r="P9" s="352" t="s">
        <v>12</v>
      </c>
    </row>
    <row r="10" spans="1:16" ht="9" customHeight="1">
      <c r="A10" s="294"/>
      <c r="B10" s="336"/>
      <c r="C10" s="339"/>
      <c r="D10" s="342"/>
      <c r="E10" s="346"/>
      <c r="F10" s="347"/>
      <c r="G10" s="360"/>
      <c r="H10" s="360"/>
      <c r="I10" s="350"/>
      <c r="J10" s="309"/>
      <c r="K10" s="309"/>
      <c r="L10" s="309"/>
      <c r="M10" s="309"/>
      <c r="N10" s="351"/>
      <c r="O10" s="353"/>
      <c r="P10" s="353"/>
    </row>
    <row r="11" spans="1:16" ht="22.5" customHeight="1">
      <c r="A11" s="294"/>
      <c r="B11" s="336"/>
      <c r="C11" s="339"/>
      <c r="D11" s="342"/>
      <c r="E11" s="363" t="s">
        <v>62</v>
      </c>
      <c r="F11" s="364"/>
      <c r="G11" s="39" t="s">
        <v>63</v>
      </c>
      <c r="H11" s="365" t="s">
        <v>7</v>
      </c>
      <c r="I11" s="367" t="s">
        <v>64</v>
      </c>
      <c r="J11" s="329" t="s">
        <v>32</v>
      </c>
      <c r="K11" s="329" t="s">
        <v>65</v>
      </c>
      <c r="L11" s="329" t="s">
        <v>37</v>
      </c>
      <c r="M11" s="329" t="s">
        <v>66</v>
      </c>
      <c r="N11" s="331" t="s">
        <v>39</v>
      </c>
      <c r="O11" s="353"/>
      <c r="P11" s="353"/>
    </row>
    <row r="12" spans="1:16" ht="66.75" customHeight="1" thickBot="1">
      <c r="A12" s="334"/>
      <c r="B12" s="337"/>
      <c r="C12" s="340"/>
      <c r="D12" s="343"/>
      <c r="E12" s="40" t="s">
        <v>67</v>
      </c>
      <c r="F12" s="41" t="s">
        <v>21</v>
      </c>
      <c r="G12" s="42" t="s">
        <v>76</v>
      </c>
      <c r="H12" s="366"/>
      <c r="I12" s="368"/>
      <c r="J12" s="330"/>
      <c r="K12" s="330"/>
      <c r="L12" s="330"/>
      <c r="M12" s="330"/>
      <c r="N12" s="332"/>
      <c r="O12" s="354"/>
      <c r="P12" s="354"/>
    </row>
    <row r="13" spans="1:16" ht="13.5" thickBot="1">
      <c r="A13" s="43">
        <v>1</v>
      </c>
      <c r="B13" s="44">
        <v>2</v>
      </c>
      <c r="C13" s="43">
        <v>3</v>
      </c>
      <c r="D13" s="44">
        <v>4</v>
      </c>
      <c r="E13" s="43">
        <v>5</v>
      </c>
      <c r="F13" s="44">
        <v>6</v>
      </c>
      <c r="G13" s="43">
        <v>7</v>
      </c>
      <c r="H13" s="44">
        <v>8</v>
      </c>
      <c r="I13" s="43">
        <v>9</v>
      </c>
      <c r="J13" s="44">
        <v>10</v>
      </c>
      <c r="K13" s="43">
        <v>11</v>
      </c>
      <c r="L13" s="44">
        <v>12</v>
      </c>
      <c r="M13" s="43">
        <v>13</v>
      </c>
      <c r="N13" s="44">
        <v>14</v>
      </c>
      <c r="O13" s="43">
        <v>15</v>
      </c>
      <c r="P13" s="45">
        <v>16</v>
      </c>
    </row>
    <row r="14" spans="1:16" ht="12" customHeight="1" hidden="1">
      <c r="A14" s="8" t="s">
        <v>40</v>
      </c>
      <c r="B14" s="9"/>
      <c r="C14" s="38"/>
      <c r="D14" s="8"/>
      <c r="E14" s="9"/>
      <c r="F14" s="10"/>
      <c r="G14" s="46"/>
      <c r="H14" s="38"/>
      <c r="I14" s="8"/>
      <c r="J14" s="9"/>
      <c r="K14" s="9"/>
      <c r="L14" s="9"/>
      <c r="M14" s="9"/>
      <c r="N14" s="10"/>
      <c r="O14" s="47"/>
      <c r="P14" s="48"/>
    </row>
    <row r="15" spans="1:16" ht="12.75" hidden="1">
      <c r="A15" s="13" t="s">
        <v>41</v>
      </c>
      <c r="B15" s="14">
        <f>Лист1!B9</f>
        <v>752</v>
      </c>
      <c r="C15" s="49">
        <f>Лист1!C9</f>
        <v>6504.8</v>
      </c>
      <c r="D15" s="50">
        <f>Лист1!D9</f>
        <v>1566.876224</v>
      </c>
      <c r="E15" s="19">
        <f>Лист1!S9</f>
        <v>4804.54</v>
      </c>
      <c r="F15" s="21">
        <f>Лист1!T9</f>
        <v>520.91</v>
      </c>
      <c r="G15" s="51">
        <f>Лист1!AB9</f>
        <v>0</v>
      </c>
      <c r="H15" s="51">
        <f>Лист1!AC9</f>
        <v>2087.786224</v>
      </c>
      <c r="I15" s="52">
        <f>Лист1!AG9</f>
        <v>451.2</v>
      </c>
      <c r="J15" s="19">
        <f>Лист1!AI9+Лист1!AJ9</f>
        <v>755.8532479999999</v>
      </c>
      <c r="K15" s="19">
        <f>Лист1!AH9+Лист1!AK9+Лист1!AL9+Лист1!AM9+Лист1!AN9+Лист1!AO9+Лист1!AP9</f>
        <v>2654.1036112</v>
      </c>
      <c r="L15" s="20">
        <f>Лист1!AS9+Лист1!AU9</f>
        <v>0</v>
      </c>
      <c r="M15" s="20">
        <f>Лист1!AX9</f>
        <v>0</v>
      </c>
      <c r="N15" s="21">
        <f>Лист1!BB9</f>
        <v>3861.1568591999994</v>
      </c>
      <c r="O15" s="53">
        <f>Лист1!BD9</f>
        <v>-1773.3706351999995</v>
      </c>
      <c r="P15" s="53">
        <f>Лист1!BE9</f>
        <v>-4804.54</v>
      </c>
    </row>
    <row r="16" spans="1:16" ht="12.75" hidden="1">
      <c r="A16" s="13" t="s">
        <v>42</v>
      </c>
      <c r="B16" s="14">
        <f>Лист1!B10</f>
        <v>752</v>
      </c>
      <c r="C16" s="49">
        <f>Лист1!C10</f>
        <v>6504.8</v>
      </c>
      <c r="D16" s="50">
        <f>Лист1!D10</f>
        <v>1566.876224</v>
      </c>
      <c r="E16" s="19">
        <f>Лист1!S10</f>
        <v>4804.54</v>
      </c>
      <c r="F16" s="21">
        <f>Лист1!T10</f>
        <v>439.62</v>
      </c>
      <c r="G16" s="51">
        <f>Лист1!AB10</f>
        <v>1563.3899999999999</v>
      </c>
      <c r="H16" s="51">
        <f>Лист1!AC10</f>
        <v>3569.886224</v>
      </c>
      <c r="I16" s="52">
        <f>Лист1!AG10</f>
        <v>451.2</v>
      </c>
      <c r="J16" s="19">
        <f>Лист1!AI10+Лист1!AJ10</f>
        <v>755.8532479999999</v>
      </c>
      <c r="K16" s="19">
        <f>Лист1!AH10+Лист1!AK10+Лист1!AL10+Лист1!AM10+Лист1!AN10+Лист1!AO10+Лист1!AP10</f>
        <v>2646.0933072</v>
      </c>
      <c r="L16" s="20">
        <f>Лист1!AS10+Лист1!AU10</f>
        <v>0</v>
      </c>
      <c r="M16" s="20">
        <f>Лист1!AX10</f>
        <v>0</v>
      </c>
      <c r="N16" s="21">
        <f>Лист1!BB10</f>
        <v>3853.1465552</v>
      </c>
      <c r="O16" s="53">
        <f>Лист1!BD10</f>
        <v>-283.2603312000001</v>
      </c>
      <c r="P16" s="53">
        <f>Лист1!BE10</f>
        <v>-3241.15</v>
      </c>
    </row>
    <row r="17" spans="1:18" ht="13.5" hidden="1" thickBot="1">
      <c r="A17" s="54" t="s">
        <v>43</v>
      </c>
      <c r="B17" s="77">
        <f>Лист1!B11</f>
        <v>752</v>
      </c>
      <c r="C17" s="55">
        <f>Лист1!C11</f>
        <v>6504.8</v>
      </c>
      <c r="D17" s="78">
        <f>Лист1!D11</f>
        <v>1563.42868</v>
      </c>
      <c r="E17" s="79">
        <f>Лист1!S11</f>
        <v>5091.27</v>
      </c>
      <c r="F17" s="83">
        <f>Лист1!T11</f>
        <v>234.19</v>
      </c>
      <c r="G17" s="80">
        <f>Лист1!AB11</f>
        <v>2454.6499999999996</v>
      </c>
      <c r="H17" s="80">
        <f>Лист1!AC11</f>
        <v>4252.268679999999</v>
      </c>
      <c r="I17" s="81">
        <f>Лист1!AG11</f>
        <v>451.2</v>
      </c>
      <c r="J17" s="79">
        <f>Лист1!AI11+Лист1!AJ11</f>
        <v>753.6525952</v>
      </c>
      <c r="K17" s="79">
        <f>Лист1!AH11+Лист1!AK11+Лист1!AL11+Лист1!AM11+Лист1!AN11+Лист1!AO11+Лист1!AP11</f>
        <v>2641.88634096</v>
      </c>
      <c r="L17" s="82">
        <f>Лист1!AS11+Лист1!AU11</f>
        <v>0</v>
      </c>
      <c r="M17" s="82">
        <f>Лист1!AX11</f>
        <v>0</v>
      </c>
      <c r="N17" s="83">
        <f>Лист1!BB11</f>
        <v>3846.7389361599994</v>
      </c>
      <c r="O17" s="53">
        <f>Лист1!BD11</f>
        <v>405.5297438399998</v>
      </c>
      <c r="P17" s="84">
        <f>Лист1!BE11</f>
        <v>-2636.620000000001</v>
      </c>
      <c r="Q17" s="1"/>
      <c r="R17" s="1"/>
    </row>
    <row r="18" spans="1:18" s="28" customFormat="1" ht="13.5" hidden="1" thickBot="1">
      <c r="A18" s="56" t="s">
        <v>5</v>
      </c>
      <c r="B18" s="88"/>
      <c r="C18" s="89">
        <f>SUM(C15:C17)</f>
        <v>19514.4</v>
      </c>
      <c r="D18" s="96">
        <f aca="true" t="shared" si="0" ref="D18:P18">SUM(D15:D17)</f>
        <v>4697.181128</v>
      </c>
      <c r="E18" s="89">
        <f t="shared" si="0"/>
        <v>14700.35</v>
      </c>
      <c r="F18" s="90">
        <f t="shared" si="0"/>
        <v>1194.72</v>
      </c>
      <c r="G18" s="95">
        <f t="shared" si="0"/>
        <v>4018.0399999999995</v>
      </c>
      <c r="H18" s="89">
        <f t="shared" si="0"/>
        <v>9909.941127999999</v>
      </c>
      <c r="I18" s="89">
        <f t="shared" si="0"/>
        <v>1353.6</v>
      </c>
      <c r="J18" s="89">
        <f t="shared" si="0"/>
        <v>2265.3590912</v>
      </c>
      <c r="K18" s="89">
        <f t="shared" si="0"/>
        <v>7942.08325936</v>
      </c>
      <c r="L18" s="89">
        <f t="shared" si="0"/>
        <v>0</v>
      </c>
      <c r="M18" s="89">
        <f t="shared" si="0"/>
        <v>0</v>
      </c>
      <c r="N18" s="89">
        <f t="shared" si="0"/>
        <v>11561.04235056</v>
      </c>
      <c r="O18" s="89">
        <f t="shared" si="0"/>
        <v>-1651.1012225599998</v>
      </c>
      <c r="P18" s="90">
        <f t="shared" si="0"/>
        <v>-10682.310000000001</v>
      </c>
      <c r="Q18" s="63"/>
      <c r="R18" s="64"/>
    </row>
    <row r="19" spans="1:18" ht="11.25" customHeight="1" hidden="1">
      <c r="A19" s="8" t="s">
        <v>44</v>
      </c>
      <c r="B19" s="85"/>
      <c r="C19" s="65"/>
      <c r="D19" s="66"/>
      <c r="E19" s="67"/>
      <c r="F19" s="68"/>
      <c r="G19" s="69"/>
      <c r="H19" s="69"/>
      <c r="I19" s="70"/>
      <c r="J19" s="67"/>
      <c r="K19" s="67"/>
      <c r="L19" s="86"/>
      <c r="M19" s="86"/>
      <c r="N19" s="68"/>
      <c r="O19" s="87"/>
      <c r="P19" s="87"/>
      <c r="Q19" s="1"/>
      <c r="R19" s="1"/>
    </row>
    <row r="20" spans="1:18" ht="12.75" hidden="1">
      <c r="A20" s="13" t="s">
        <v>45</v>
      </c>
      <c r="B20" s="14">
        <f>Лист1!B14</f>
        <v>752</v>
      </c>
      <c r="C20" s="49">
        <f>Лист1!C14</f>
        <v>6504.8</v>
      </c>
      <c r="D20" s="50">
        <f>Лист1!D14</f>
        <v>813.1</v>
      </c>
      <c r="E20" s="19">
        <f>Лист1!S14</f>
        <v>4785.18</v>
      </c>
      <c r="F20" s="21">
        <f>Лист1!T14</f>
        <v>483.9</v>
      </c>
      <c r="G20" s="51">
        <f>Лист1!AB14</f>
        <v>855.73</v>
      </c>
      <c r="H20" s="51">
        <f>Лист1!AC14</f>
        <v>2152.73</v>
      </c>
      <c r="I20" s="52">
        <f>Лист1!AG14</f>
        <v>406.08</v>
      </c>
      <c r="J20" s="19">
        <f>Лист1!AI14+Лист1!AJ14</f>
        <v>653.916352</v>
      </c>
      <c r="K20" s="19">
        <f>Лист1!AH14+Лист1!AK14+Лист1!AL14+Лист1!AM14+Лист1!AN14+Лист1!AO14+Лист1!AP14</f>
        <v>2245.89125504</v>
      </c>
      <c r="L20" s="20">
        <f>Лист1!AS14+Лист1!AT14+Лист1!AU14+Лист1!AZ14+Лист1!BA14</f>
        <v>317.43</v>
      </c>
      <c r="M20" s="20">
        <f>Лист1!AX14</f>
        <v>201.41184</v>
      </c>
      <c r="N20" s="21">
        <f>Лист1!BB14</f>
        <v>3623.3176070399995</v>
      </c>
      <c r="O20" s="53">
        <f>Лист1!BD14</f>
        <v>-1470.5876070399995</v>
      </c>
      <c r="P20" s="53">
        <f>Лист1!BE14</f>
        <v>-3929.4500000000003</v>
      </c>
      <c r="Q20" s="1"/>
      <c r="R20" s="1"/>
    </row>
    <row r="21" spans="1:18" ht="12.75" hidden="1">
      <c r="A21" s="13" t="s">
        <v>46</v>
      </c>
      <c r="B21" s="14">
        <f>Лист1!B15</f>
        <v>752</v>
      </c>
      <c r="C21" s="49">
        <f>Лист1!C15</f>
        <v>6504.8</v>
      </c>
      <c r="D21" s="50">
        <f>Лист1!D15</f>
        <v>813.1</v>
      </c>
      <c r="E21" s="19">
        <f>Лист1!S15</f>
        <v>4714.820000000001</v>
      </c>
      <c r="F21" s="21">
        <f>Лист1!T15</f>
        <v>541.67</v>
      </c>
      <c r="G21" s="51">
        <f>Лист1!AB15</f>
        <v>1830.47</v>
      </c>
      <c r="H21" s="51">
        <f>Лист1!AC15</f>
        <v>3185.24</v>
      </c>
      <c r="I21" s="52">
        <f>Лист1!AG15</f>
        <v>406.08</v>
      </c>
      <c r="J21" s="19">
        <f>Лист1!AI15+Лист1!AJ15</f>
        <v>653.939952</v>
      </c>
      <c r="K21" s="19">
        <f>Лист1!AH15+Лист1!AK15+Лист1!AL15+Лист1!AM15+Лист1!AN15+Лист1!AO15+Лист1!AP15</f>
        <v>2249.05970176</v>
      </c>
      <c r="L21" s="20">
        <f>Лист1!AS15+Лист1!AT15+Лист1!AU15+Лист1!AZ15+Лист1!BA15</f>
        <v>0</v>
      </c>
      <c r="M21" s="20">
        <f>Лист1!AX15</f>
        <v>161.36736</v>
      </c>
      <c r="N21" s="21">
        <f>Лист1!BB15</f>
        <v>3309.0796537599995</v>
      </c>
      <c r="O21" s="53">
        <f>Лист1!BD15</f>
        <v>-123.83965375999969</v>
      </c>
      <c r="P21" s="53">
        <f>Лист1!BE15</f>
        <v>-2884.3500000000004</v>
      </c>
      <c r="Q21" s="1"/>
      <c r="R21" s="1"/>
    </row>
    <row r="22" spans="1:18" ht="12.75" hidden="1">
      <c r="A22" s="13" t="s">
        <v>47</v>
      </c>
      <c r="B22" s="14">
        <f>Лист1!B16</f>
        <v>752</v>
      </c>
      <c r="C22" s="49">
        <f>Лист1!C16</f>
        <v>6504.8</v>
      </c>
      <c r="D22" s="50">
        <f>Лист1!D16</f>
        <v>813.1</v>
      </c>
      <c r="E22" s="19">
        <f>Лист1!S16</f>
        <v>4714.92</v>
      </c>
      <c r="F22" s="21">
        <f>Лист1!T16</f>
        <v>541.67</v>
      </c>
      <c r="G22" s="51">
        <f>Лист1!AB16</f>
        <v>2057.29</v>
      </c>
      <c r="H22" s="51">
        <f>Лист1!AC16</f>
        <v>3412.06</v>
      </c>
      <c r="I22" s="52">
        <f>Лист1!AG16</f>
        <v>406.08</v>
      </c>
      <c r="J22" s="19">
        <f>Лист1!AI16+Лист1!AJ16</f>
        <v>654.3170799999999</v>
      </c>
      <c r="K22" s="19">
        <f>Лист1!AH16+Лист1!AK16+Лист1!AL16+Лист1!AM16+Лист1!AN16+Лист1!AO16+Лист1!AP16</f>
        <v>2174.2478089599995</v>
      </c>
      <c r="L22" s="20">
        <f>Лист1!AS16+Лист1!AT16+Лист1!AU16+Лист1!AZ16+Лист1!BA16</f>
        <v>326.86</v>
      </c>
      <c r="M22" s="20">
        <f>Лист1!AX16</f>
        <v>151.85184</v>
      </c>
      <c r="N22" s="21">
        <f>Лист1!BB16</f>
        <v>3561.50488896</v>
      </c>
      <c r="O22" s="53">
        <f>Лист1!BD16</f>
        <v>-149.44488895999984</v>
      </c>
      <c r="P22" s="53">
        <f>Лист1!BE16</f>
        <v>-2657.63</v>
      </c>
      <c r="Q22" s="1"/>
      <c r="R22" s="1"/>
    </row>
    <row r="23" spans="1:18" ht="12.75" hidden="1">
      <c r="A23" s="13" t="s">
        <v>48</v>
      </c>
      <c r="B23" s="14">
        <f>Лист1!B17</f>
        <v>752</v>
      </c>
      <c r="C23" s="49">
        <f>Лист1!C17</f>
        <v>6504.8</v>
      </c>
      <c r="D23" s="50">
        <f>Лист1!D17</f>
        <v>813.1</v>
      </c>
      <c r="E23" s="19">
        <f>Лист1!S17</f>
        <v>4757.32</v>
      </c>
      <c r="F23" s="21">
        <f>Лист1!T17</f>
        <v>541.67</v>
      </c>
      <c r="G23" s="51">
        <f>Лист1!AB17</f>
        <v>2471.4900000000002</v>
      </c>
      <c r="H23" s="51">
        <f>Лист1!AC17</f>
        <v>3826.26</v>
      </c>
      <c r="I23" s="52">
        <f>Лист1!AG17</f>
        <v>406.08</v>
      </c>
      <c r="J23" s="19">
        <f>Лист1!AI17+Лист1!AJ17</f>
        <v>673.8523103999999</v>
      </c>
      <c r="K23" s="19">
        <f>Лист1!AH17+Лист1!AK17+Лист1!AL17+Лист1!AM17+Лист1!AN17+Лист1!AO17+Лист1!AP17</f>
        <v>2205.05452672</v>
      </c>
      <c r="L23" s="20">
        <f>Лист1!AS17+Лист1!AT17+Лист1!AU17+Лист1!AZ17+Лист1!BA17</f>
        <v>365.8</v>
      </c>
      <c r="M23" s="20">
        <f>Лист1!AX17</f>
        <v>121.71936</v>
      </c>
      <c r="N23" s="21">
        <f>Лист1!BB17</f>
        <v>4287.1372371200005</v>
      </c>
      <c r="O23" s="53">
        <f>Лист1!BD17</f>
        <v>-460.87723712000025</v>
      </c>
      <c r="P23" s="53">
        <f>Лист1!BE17</f>
        <v>-2285.8299999999995</v>
      </c>
      <c r="Q23" s="1"/>
      <c r="R23" s="1"/>
    </row>
    <row r="24" spans="1:18" ht="12.75" hidden="1">
      <c r="A24" s="13" t="s">
        <v>49</v>
      </c>
      <c r="B24" s="14">
        <f>Лист1!B18</f>
        <v>752</v>
      </c>
      <c r="C24" s="49">
        <f>Лист1!C18</f>
        <v>6504.8</v>
      </c>
      <c r="D24" s="50">
        <f>Лист1!D18</f>
        <v>604.1399999999992</v>
      </c>
      <c r="E24" s="19">
        <f>Лист1!S18</f>
        <v>5290.09</v>
      </c>
      <c r="F24" s="21">
        <f>Лист1!T18</f>
        <v>610.57</v>
      </c>
      <c r="G24" s="51">
        <f>Лист1!AB18</f>
        <v>3234.53</v>
      </c>
      <c r="H24" s="51">
        <f>Лист1!AC18</f>
        <v>4449.24</v>
      </c>
      <c r="I24" s="52">
        <f>Лист1!AG18</f>
        <v>451.2</v>
      </c>
      <c r="J24" s="19">
        <f>Лист1!AI18+Лист1!AJ18</f>
        <v>754.2559999999999</v>
      </c>
      <c r="K24" s="19">
        <f>Лист1!AH18+Лист1!AK18+Лист1!AL18+Лист1!AM18+Лист1!AN18+Лист1!AO18+Лист1!AP18</f>
        <v>2583.2704</v>
      </c>
      <c r="L24" s="20">
        <f>Лист1!AS18+Лист1!AT18+Лист1!AU18+Лист1!AZ18+Лист1!BA18</f>
        <v>0</v>
      </c>
      <c r="M24" s="20">
        <f>Лист1!AX18</f>
        <v>104.27423999999999</v>
      </c>
      <c r="N24" s="21">
        <f>Лист1!BB18</f>
        <v>3893.00064</v>
      </c>
      <c r="O24" s="53">
        <f>Лист1!BD18</f>
        <v>556.2393599999996</v>
      </c>
      <c r="P24" s="53">
        <f>Лист1!BE18</f>
        <v>-2055.56</v>
      </c>
      <c r="Q24" s="1"/>
      <c r="R24" s="1"/>
    </row>
    <row r="25" spans="1:18" ht="12.75" hidden="1">
      <c r="A25" s="13" t="s">
        <v>50</v>
      </c>
      <c r="B25" s="14">
        <f>Лист1!B19</f>
        <v>752</v>
      </c>
      <c r="C25" s="49">
        <f>Лист1!C19</f>
        <v>6504.8</v>
      </c>
      <c r="D25" s="50">
        <f>Лист1!D19</f>
        <v>604.1500000000003</v>
      </c>
      <c r="E25" s="19">
        <f>Лист1!S19</f>
        <v>5253.5</v>
      </c>
      <c r="F25" s="21">
        <f>Лист1!T19</f>
        <v>647.1500000000001</v>
      </c>
      <c r="G25" s="51">
        <f>Лист1!AB19</f>
        <v>2250.88</v>
      </c>
      <c r="H25" s="51">
        <f>Лист1!AC19</f>
        <v>3502.1800000000003</v>
      </c>
      <c r="I25" s="52">
        <f>Лист1!AG19</f>
        <v>451.2</v>
      </c>
      <c r="J25" s="19">
        <f>Лист1!AI19+Лист1!AJ19</f>
        <v>754.2559999999999</v>
      </c>
      <c r="K25" s="19">
        <f>Лист1!AH19+Лист1!AK19+Лист1!AL19+Лист1!AM19+Лист1!AN19+Лист1!AO19+Лист1!AP19</f>
        <v>2583.33808</v>
      </c>
      <c r="L25" s="20">
        <f>Лист1!AS19+Лист1!AT19+Лист1!AU19+Лист1!AZ19+Лист1!BA19</f>
        <v>1210.739</v>
      </c>
      <c r="M25" s="20">
        <f>Лист1!AX19</f>
        <v>92.37983999999999</v>
      </c>
      <c r="N25" s="21">
        <f>Лист1!BB19</f>
        <v>5091.91292</v>
      </c>
      <c r="O25" s="53">
        <f>Лист1!BD19</f>
        <v>-1589.7329199999995</v>
      </c>
      <c r="P25" s="53">
        <f>Лист1!BE19</f>
        <v>-3002.62</v>
      </c>
      <c r="Q25" s="1"/>
      <c r="R25" s="1"/>
    </row>
    <row r="26" spans="1:18" ht="12.75" hidden="1">
      <c r="A26" s="13" t="s">
        <v>51</v>
      </c>
      <c r="B26" s="14">
        <f>Лист1!B20</f>
        <v>750.4</v>
      </c>
      <c r="C26" s="49">
        <f>Лист1!C20</f>
        <v>6490.96</v>
      </c>
      <c r="D26" s="50">
        <f>Лист1!D20</f>
        <v>603.4699999999998</v>
      </c>
      <c r="E26" s="19">
        <f>Лист1!S20</f>
        <v>5227.8</v>
      </c>
      <c r="F26" s="21">
        <f>Лист1!T20</f>
        <v>659.6899999999999</v>
      </c>
      <c r="G26" s="51">
        <f>Лист1!AB20</f>
        <v>3517.32</v>
      </c>
      <c r="H26" s="51">
        <f>Лист1!AC20</f>
        <v>4780.48</v>
      </c>
      <c r="I26" s="52">
        <f>Лист1!AG20</f>
        <v>450.23999999999995</v>
      </c>
      <c r="J26" s="19">
        <f>Лист1!AI20+Лист1!AJ20</f>
        <v>741.8882878399999</v>
      </c>
      <c r="K26" s="19">
        <f>Лист1!AH20+Лист1!AK20+Лист1!AL20+Лист1!AM20+Лист1!AN20+Лист1!AO20+Лист1!AP20</f>
        <v>2552.36298464</v>
      </c>
      <c r="L26" s="20">
        <f>Лист1!AS20+Лист1!AT20+Лист1!AU20+Лист1!AZ20+Лист1!BA20</f>
        <v>319.4968</v>
      </c>
      <c r="M26" s="20">
        <f>Лист1!AX20</f>
        <v>98.32704</v>
      </c>
      <c r="N26" s="21">
        <f>Лист1!BB20</f>
        <v>4162.315112480001</v>
      </c>
      <c r="O26" s="53">
        <f>Лист1!BD20</f>
        <v>618.164887519999</v>
      </c>
      <c r="P26" s="53">
        <f>Лист1!BE20</f>
        <v>-1710.48</v>
      </c>
      <c r="Q26" s="1"/>
      <c r="R26" s="1"/>
    </row>
    <row r="27" spans="1:18" ht="12.75" hidden="1">
      <c r="A27" s="13" t="s">
        <v>52</v>
      </c>
      <c r="B27" s="14">
        <f>Лист1!B21</f>
        <v>750.4</v>
      </c>
      <c r="C27" s="49">
        <f>Лист1!C21</f>
        <v>6490.96</v>
      </c>
      <c r="D27" s="50">
        <f>Лист1!D21</f>
        <v>603.47</v>
      </c>
      <c r="E27" s="19">
        <f>Лист1!S21</f>
        <v>5280.05</v>
      </c>
      <c r="F27" s="21">
        <f>Лист1!T21</f>
        <v>607.44</v>
      </c>
      <c r="G27" s="51">
        <f>Лист1!AB21</f>
        <v>3265.4500000000003</v>
      </c>
      <c r="H27" s="51">
        <f>Лист1!AC21</f>
        <v>4476.360000000001</v>
      </c>
      <c r="I27" s="52">
        <f>Лист1!AG21</f>
        <v>450.23999999999995</v>
      </c>
      <c r="J27" s="19">
        <f>Лист1!AI21+Лист1!AJ21</f>
        <v>741.5571213119999</v>
      </c>
      <c r="K27" s="19">
        <f>Лист1!AH21+Лист1!AK21+Лист1!AL21+Лист1!AM21+Лист1!AN21+Лист1!AO21+Лист1!AP21</f>
        <v>2551.8237471999996</v>
      </c>
      <c r="L27" s="20">
        <f>Лист1!AS21+Лист1!AT21+Лист1!AU21+Лист1!AZ21+Лист1!BA21</f>
        <v>0</v>
      </c>
      <c r="M27" s="20">
        <f>Лист1!AX21</f>
        <v>116.16863999999998</v>
      </c>
      <c r="N27" s="21">
        <f>Лист1!BB21</f>
        <v>3859.789508512</v>
      </c>
      <c r="O27" s="53">
        <f>Лист1!BD21</f>
        <v>616.5704914880007</v>
      </c>
      <c r="P27" s="53">
        <f>Лист1!BE21</f>
        <v>-2014.6</v>
      </c>
      <c r="Q27" s="1"/>
      <c r="R27" s="1"/>
    </row>
    <row r="28" spans="1:18" ht="12.75" hidden="1">
      <c r="A28" s="13" t="s">
        <v>53</v>
      </c>
      <c r="B28" s="14">
        <f>Лист1!B22</f>
        <v>750.4</v>
      </c>
      <c r="C28" s="49">
        <f>Лист1!C22</f>
        <v>6490.96</v>
      </c>
      <c r="D28" s="50">
        <f>Лист1!D22</f>
        <v>603.47</v>
      </c>
      <c r="E28" s="19">
        <f>Лист1!S22</f>
        <v>5280.05</v>
      </c>
      <c r="F28" s="21">
        <f>Лист1!T22</f>
        <v>607.44</v>
      </c>
      <c r="G28" s="51">
        <f>Лист1!AB22</f>
        <v>3229.1899999999996</v>
      </c>
      <c r="H28" s="51">
        <f>Лист1!AC22</f>
        <v>4440.099999999999</v>
      </c>
      <c r="I28" s="52">
        <f>Лист1!AG22</f>
        <v>450.23999999999995</v>
      </c>
      <c r="J28" s="19">
        <f>Лист1!AI22+Лист1!AJ22</f>
        <v>741.4291706079999</v>
      </c>
      <c r="K28" s="19">
        <f>Лист1!AH22+Лист1!AK22+Лист1!AL22+Лист1!AM22+Лист1!AN22+Лист1!AO22+Лист1!AP22</f>
        <v>2551.4884339615996</v>
      </c>
      <c r="L28" s="20">
        <f>Лист1!AS22+Лист1!AT22+Лист1!AU22+Лист1!AZ22+Лист1!BA22</f>
        <v>0</v>
      </c>
      <c r="M28" s="20">
        <f>Лист1!AX22</f>
        <v>138.37152</v>
      </c>
      <c r="N28" s="21">
        <f>Лист1!BB22</f>
        <v>3881.529124569599</v>
      </c>
      <c r="O28" s="53">
        <f>Лист1!BD22</f>
        <v>558.5708754304005</v>
      </c>
      <c r="P28" s="53">
        <f>Лист1!BE22</f>
        <v>-2050.8600000000006</v>
      </c>
      <c r="Q28" s="1"/>
      <c r="R28" s="1"/>
    </row>
    <row r="29" spans="1:18" ht="12.75" hidden="1">
      <c r="A29" s="13" t="s">
        <v>41</v>
      </c>
      <c r="B29" s="14">
        <f>Лист1!B23</f>
        <v>750.4</v>
      </c>
      <c r="C29" s="49">
        <f>Лист1!C23</f>
        <v>6490.96</v>
      </c>
      <c r="D29" s="50">
        <f>Лист1!D23</f>
        <v>603.47</v>
      </c>
      <c r="E29" s="19">
        <f>Лист1!S23</f>
        <v>5280.05</v>
      </c>
      <c r="F29" s="21">
        <f>Лист1!T23</f>
        <v>607.44</v>
      </c>
      <c r="G29" s="51">
        <f>Лист1!AB23</f>
        <v>8035.960000000001</v>
      </c>
      <c r="H29" s="51">
        <f>Лист1!AC23</f>
        <v>9246.87</v>
      </c>
      <c r="I29" s="52">
        <f>Лист1!AG23</f>
        <v>450.23999999999995</v>
      </c>
      <c r="J29" s="19">
        <f>Лист1!AI23+Лист1!AJ23</f>
        <v>749.994784</v>
      </c>
      <c r="K29" s="19">
        <f>Лист1!AH23+Лист1!AK23+Лист1!AL23+Лист1!AM23+Лист1!AN23+Лист1!AO23+Лист1!AP23</f>
        <v>2573.42176</v>
      </c>
      <c r="L29" s="20">
        <f>Лист1!AS23+Лист1!AT23+Лист1!AU23+Лист1!AZ23+Лист1!BA23</f>
        <v>0</v>
      </c>
      <c r="M29" s="20">
        <f>Лист1!AX23</f>
        <v>168.504</v>
      </c>
      <c r="N29" s="21">
        <f>Лист1!BB23</f>
        <v>3942.160544</v>
      </c>
      <c r="O29" s="53">
        <f>Лист1!BD23</f>
        <v>5304.7094560000005</v>
      </c>
      <c r="P29" s="53">
        <f>Лист1!BE23</f>
        <v>2755.9100000000008</v>
      </c>
      <c r="Q29" s="1"/>
      <c r="R29" s="1"/>
    </row>
    <row r="30" spans="1:18" ht="12.75" hidden="1">
      <c r="A30" s="13" t="s">
        <v>42</v>
      </c>
      <c r="B30" s="14">
        <f>Лист1!B24</f>
        <v>750.4</v>
      </c>
      <c r="C30" s="49">
        <f>Лист1!C24</f>
        <v>6490.96</v>
      </c>
      <c r="D30" s="50">
        <f>Лист1!D24</f>
        <v>597.6900000000004</v>
      </c>
      <c r="E30" s="19">
        <f>Лист1!S24</f>
        <v>5312.34</v>
      </c>
      <c r="F30" s="21">
        <f>Лист1!T24</f>
        <v>580.93</v>
      </c>
      <c r="G30" s="51">
        <f>Лист1!AB24</f>
        <v>5528.389999999999</v>
      </c>
      <c r="H30" s="51">
        <f>Лист1!AC24</f>
        <v>6707.01</v>
      </c>
      <c r="I30" s="52">
        <f>Лист1!AG24</f>
        <v>450.23999999999995</v>
      </c>
      <c r="J30" s="19">
        <f>Лист1!AI24+Лист1!AJ24</f>
        <v>752.6511999999999</v>
      </c>
      <c r="K30" s="19">
        <f>Лист1!AH24+Лист1!AK24+Лист1!AL24+Лист1!AM24+Лист1!AN24+Лист1!AO24+Лист1!AP24</f>
        <v>2576.27328</v>
      </c>
      <c r="L30" s="20">
        <f>Лист1!AS24+Лист1!AT24+Лист1!AU24+Лист1!AZ24+Лист1!BA24</f>
        <v>0</v>
      </c>
      <c r="M30" s="20">
        <f>Лист1!AX24</f>
        <v>186.34560000000002</v>
      </c>
      <c r="N30" s="21">
        <f>Лист1!BB24</f>
        <v>3965.51008</v>
      </c>
      <c r="O30" s="53">
        <f>Лист1!BD24</f>
        <v>2741.49992</v>
      </c>
      <c r="P30" s="53">
        <f>Лист1!BE24</f>
        <v>216.04999999999927</v>
      </c>
      <c r="Q30" s="1"/>
      <c r="R30" s="1"/>
    </row>
    <row r="31" spans="1:18" ht="13.5" hidden="1" thickBot="1">
      <c r="A31" s="54" t="s">
        <v>43</v>
      </c>
      <c r="B31" s="14">
        <f>Лист1!B25</f>
        <v>750.4</v>
      </c>
      <c r="C31" s="49">
        <f>Лист1!C25</f>
        <v>6490.96</v>
      </c>
      <c r="D31" s="50">
        <f>Лист1!D25</f>
        <v>790.0400000000006</v>
      </c>
      <c r="E31" s="19">
        <f>Лист1!S25</f>
        <v>5182.95</v>
      </c>
      <c r="F31" s="21">
        <f>Лист1!T25</f>
        <v>517.97</v>
      </c>
      <c r="G31" s="51">
        <f>Лист1!AB25</f>
        <v>4053.83</v>
      </c>
      <c r="H31" s="51">
        <f>Лист1!AC25</f>
        <v>5361.84</v>
      </c>
      <c r="I31" s="52">
        <f>Лист1!AG25</f>
        <v>450.23999999999995</v>
      </c>
      <c r="J31" s="19">
        <f>Лист1!AI25+Лист1!AJ25</f>
        <v>752.6511999999999</v>
      </c>
      <c r="K31" s="19">
        <f>Лист1!AH25+Лист1!AK25+Лист1!AL25+Лист1!AM25+Лист1!AN25+Лист1!AO25+Лист1!AP25</f>
        <v>2576.27328</v>
      </c>
      <c r="L31" s="20">
        <f>Лист1!AS25+Лист1!AT25+Лист1!AU25+Лист1!AZ25+Лист1!BA25</f>
        <v>0</v>
      </c>
      <c r="M31" s="20">
        <f>Лист1!AX25</f>
        <v>203.79072</v>
      </c>
      <c r="N31" s="21">
        <f>Лист1!BB25</f>
        <v>3982.9551999999994</v>
      </c>
      <c r="O31" s="53">
        <f>Лист1!BD25</f>
        <v>1378.8848000000007</v>
      </c>
      <c r="P31" s="53">
        <f>Лист1!BE25</f>
        <v>-1129.12</v>
      </c>
      <c r="Q31" s="1"/>
      <c r="R31" s="1"/>
    </row>
    <row r="32" spans="1:18" s="28" customFormat="1" ht="13.5" hidden="1" thickBot="1">
      <c r="A32" s="56" t="s">
        <v>5</v>
      </c>
      <c r="B32" s="57"/>
      <c r="C32" s="58">
        <f aca="true" t="shared" si="1" ref="C32:P32">SUM(C20:C31)</f>
        <v>77974.56000000001</v>
      </c>
      <c r="D32" s="59">
        <f t="shared" si="1"/>
        <v>8262.300000000001</v>
      </c>
      <c r="E32" s="58">
        <f t="shared" si="1"/>
        <v>61079.07000000001</v>
      </c>
      <c r="F32" s="60">
        <f t="shared" si="1"/>
        <v>6947.540000000002</v>
      </c>
      <c r="G32" s="61">
        <f t="shared" si="1"/>
        <v>40330.53</v>
      </c>
      <c r="H32" s="58">
        <f t="shared" si="1"/>
        <v>55540.37000000001</v>
      </c>
      <c r="I32" s="59">
        <f t="shared" si="1"/>
        <v>5228.159999999999</v>
      </c>
      <c r="J32" s="58">
        <f t="shared" si="1"/>
        <v>8624.70945816</v>
      </c>
      <c r="K32" s="58">
        <f>SUM(K20:K31)</f>
        <v>29422.505258281602</v>
      </c>
      <c r="L32" s="58">
        <f t="shared" si="1"/>
        <v>2540.3257999999996</v>
      </c>
      <c r="M32" s="58">
        <f t="shared" si="1"/>
        <v>1744.512</v>
      </c>
      <c r="N32" s="60">
        <f t="shared" si="1"/>
        <v>47560.2125164416</v>
      </c>
      <c r="O32" s="62">
        <f t="shared" si="1"/>
        <v>7980.157483558402</v>
      </c>
      <c r="P32" s="62">
        <f t="shared" si="1"/>
        <v>-20748.539999999997</v>
      </c>
      <c r="Q32" s="64"/>
      <c r="R32" s="64"/>
    </row>
    <row r="33" spans="1:18" ht="11.25" customHeight="1">
      <c r="A33" s="8" t="s">
        <v>89</v>
      </c>
      <c r="B33" s="85"/>
      <c r="C33" s="65"/>
      <c r="D33" s="66"/>
      <c r="E33" s="67"/>
      <c r="F33" s="68"/>
      <c r="G33" s="69"/>
      <c r="H33" s="69"/>
      <c r="I33" s="70"/>
      <c r="J33" s="67"/>
      <c r="K33" s="67"/>
      <c r="L33" s="86"/>
      <c r="M33" s="86"/>
      <c r="N33" s="68"/>
      <c r="O33" s="87"/>
      <c r="P33" s="87"/>
      <c r="Q33" s="1"/>
      <c r="R33" s="1"/>
    </row>
    <row r="34" spans="1:18" ht="12.75">
      <c r="A34" s="13" t="s">
        <v>45</v>
      </c>
      <c r="B34" s="14">
        <f>Лист1!B28</f>
        <v>750.4</v>
      </c>
      <c r="C34" s="49">
        <f>Лист1!C28</f>
        <v>6490.96</v>
      </c>
      <c r="D34" s="50">
        <f>Лист1!D28</f>
        <v>597.6900000000004</v>
      </c>
      <c r="E34" s="19">
        <f>Лист1!S28</f>
        <v>5312.34</v>
      </c>
      <c r="F34" s="21">
        <f>Лист1!T28</f>
        <v>580.93</v>
      </c>
      <c r="G34" s="51">
        <f>Лист1!AB28</f>
        <v>2324.72</v>
      </c>
      <c r="H34" s="51">
        <f>Лист1!AC28</f>
        <v>3503.34</v>
      </c>
      <c r="I34" s="52">
        <f>Лист1!AG28</f>
        <v>450.23999999999995</v>
      </c>
      <c r="J34" s="19">
        <f>Лист1!AI28+Лист1!AJ28</f>
        <v>750.4</v>
      </c>
      <c r="K34" s="19">
        <f>Лист1!AH28+Лист1!AK28+Лист1!AL28+Лист1!AM28+Лист1!AN28+Лист1!AO28+Лист1!AP28</f>
        <v>2573.872</v>
      </c>
      <c r="L34" s="20">
        <f>Лист1!AS28+Лист1!AT28+Лист1!AU28+Лист1!AZ28+Лист1!BA28</f>
        <v>0</v>
      </c>
      <c r="M34" s="20">
        <f>Лист1!AX28</f>
        <v>213.35999999999999</v>
      </c>
      <c r="N34" s="21">
        <f>Лист1!BB28</f>
        <v>3987.8719999999994</v>
      </c>
      <c r="O34" s="53">
        <f>Лист1!BD28</f>
        <v>-484.53199999999924</v>
      </c>
      <c r="P34" s="53">
        <f>Лист1!BE28</f>
        <v>-2987.6200000000003</v>
      </c>
      <c r="Q34" s="1"/>
      <c r="R34" s="1"/>
    </row>
    <row r="35" spans="1:18" ht="12.75">
      <c r="A35" s="13" t="s">
        <v>46</v>
      </c>
      <c r="B35" s="14">
        <f>Лист1!B29</f>
        <v>750.4</v>
      </c>
      <c r="C35" s="49">
        <f>Лист1!C29</f>
        <v>6490.96</v>
      </c>
      <c r="D35" s="50">
        <f>Лист1!D29</f>
        <v>597.6900000000004</v>
      </c>
      <c r="E35" s="19">
        <f>Лист1!S29</f>
        <v>5312.34</v>
      </c>
      <c r="F35" s="21">
        <f>Лист1!T29</f>
        <v>580.93</v>
      </c>
      <c r="G35" s="51">
        <f>Лист1!AB29</f>
        <v>2429.63</v>
      </c>
      <c r="H35" s="51">
        <f>Лист1!AC29</f>
        <v>3608.2500000000005</v>
      </c>
      <c r="I35" s="52">
        <f>Лист1!AG29</f>
        <v>450.23999999999995</v>
      </c>
      <c r="J35" s="19">
        <f>Лист1!AI29+Лист1!AJ29</f>
        <v>750.4</v>
      </c>
      <c r="K35" s="19">
        <f>Лист1!AH29+Лист1!AK29+Лист1!AL29+Лист1!AM29+Лист1!AN29+Лист1!AO29+Лист1!AP29</f>
        <v>2573.872</v>
      </c>
      <c r="L35" s="20">
        <f>Лист1!AS29+Лист1!AT29+Лист1!AU29+Лист1!AZ29+Лист1!BA29</f>
        <v>0</v>
      </c>
      <c r="M35" s="20">
        <f>Лист1!AX29</f>
        <v>170.93999999999997</v>
      </c>
      <c r="N35" s="21">
        <f>Лист1!BB29</f>
        <v>3945.4519999999993</v>
      </c>
      <c r="O35" s="53">
        <f>Лист1!BD29</f>
        <v>-337.20199999999886</v>
      </c>
      <c r="P35" s="53">
        <f>Лист1!BE29</f>
        <v>-2882.71</v>
      </c>
      <c r="Q35" s="1"/>
      <c r="R35" s="1"/>
    </row>
    <row r="36" spans="1:18" ht="12.75">
      <c r="A36" s="13" t="s">
        <v>47</v>
      </c>
      <c r="B36" s="14">
        <f>Лист1!B30</f>
        <v>750.4</v>
      </c>
      <c r="C36" s="49">
        <f>Лист1!C30</f>
        <v>6490.96</v>
      </c>
      <c r="D36" s="50">
        <f>Лист1!D30</f>
        <v>597.6900000000004</v>
      </c>
      <c r="E36" s="19">
        <f>Лист1!S30</f>
        <v>5312.34</v>
      </c>
      <c r="F36" s="21">
        <f>Лист1!T30</f>
        <v>580.93</v>
      </c>
      <c r="G36" s="51">
        <f>Лист1!AB30</f>
        <v>3832.7999999999997</v>
      </c>
      <c r="H36" s="51">
        <f>Лист1!AC30</f>
        <v>5011.42</v>
      </c>
      <c r="I36" s="52">
        <f>Лист1!AG30</f>
        <v>450.23999999999995</v>
      </c>
      <c r="J36" s="19">
        <f>Лист1!AI30+Лист1!AJ30</f>
        <v>750.4</v>
      </c>
      <c r="K36" s="19">
        <f>Лист1!AH30+Лист1!AK30+Лист1!AL30+Лист1!AM30+Лист1!AN30+Лист1!AO30+Лист1!AP30</f>
        <v>2573.872</v>
      </c>
      <c r="L36" s="20">
        <f>Лист1!AS30+Лист1!AT30+Лист1!AU30+Лист1!AZ30+Лист1!BA30</f>
        <v>109</v>
      </c>
      <c r="M36" s="20">
        <f>Лист1!AX30</f>
        <v>160.85999999999999</v>
      </c>
      <c r="N36" s="21">
        <f>Лист1!BB30</f>
        <v>4044.3719999999994</v>
      </c>
      <c r="O36" s="53">
        <f>Лист1!BD30</f>
        <v>967.0480000000007</v>
      </c>
      <c r="P36" s="53">
        <f>Лист1!BE30</f>
        <v>-1479.5400000000004</v>
      </c>
      <c r="Q36" s="1"/>
      <c r="R36" s="1"/>
    </row>
    <row r="37" spans="1:18" ht="12.75">
      <c r="A37" s="13" t="s">
        <v>48</v>
      </c>
      <c r="B37" s="14">
        <f>Лист1!B31</f>
        <v>750.4</v>
      </c>
      <c r="C37" s="49">
        <f>Лист1!C31</f>
        <v>6490.96</v>
      </c>
      <c r="D37" s="50">
        <f>Лист1!D31</f>
        <v>597.6900000000004</v>
      </c>
      <c r="E37" s="19">
        <f>Лист1!S31</f>
        <v>5312.34</v>
      </c>
      <c r="F37" s="21">
        <f>Лист1!T31</f>
        <v>580.93</v>
      </c>
      <c r="G37" s="51">
        <f>Лист1!AB31</f>
        <v>2471.4900000000002</v>
      </c>
      <c r="H37" s="51">
        <f>Лист1!AC31</f>
        <v>3650.1100000000006</v>
      </c>
      <c r="I37" s="52">
        <f>Лист1!AG31</f>
        <v>450.23999999999995</v>
      </c>
      <c r="J37" s="19">
        <f>Лист1!AI31+Лист1!AJ31</f>
        <v>750.4</v>
      </c>
      <c r="K37" s="19">
        <f>Лист1!AH31+Лист1!AK31+Лист1!AL31+Лист1!AM31+Лист1!AN31+Лист1!AO31+Лист1!AP31</f>
        <v>2573.872</v>
      </c>
      <c r="L37" s="20">
        <f>Лист1!AS31+Лист1!AT31+Лист1!AU31+Лист1!AZ31+Лист1!BA31</f>
        <v>475</v>
      </c>
      <c r="M37" s="20">
        <f>Лист1!AX31</f>
        <v>128.94</v>
      </c>
      <c r="N37" s="21">
        <f>Лист1!BB31</f>
        <v>4378.451999999999</v>
      </c>
      <c r="O37" s="53">
        <f>Лист1!BD31</f>
        <v>-728.3419999999987</v>
      </c>
      <c r="P37" s="53">
        <f>Лист1!BE31</f>
        <v>-2840.85</v>
      </c>
      <c r="Q37" s="1"/>
      <c r="R37" s="1"/>
    </row>
    <row r="38" spans="1:18" ht="12.75">
      <c r="A38" s="13" t="s">
        <v>49</v>
      </c>
      <c r="B38" s="14">
        <f>Лист1!B32</f>
        <v>750.4</v>
      </c>
      <c r="C38" s="49">
        <f>Лист1!C32</f>
        <v>6490.96</v>
      </c>
      <c r="D38" s="50">
        <f>Лист1!D32</f>
        <v>597.7100000000006</v>
      </c>
      <c r="E38" s="19">
        <f>Лист1!S32</f>
        <v>5312.32</v>
      </c>
      <c r="F38" s="21">
        <f>Лист1!T32</f>
        <v>580.93</v>
      </c>
      <c r="G38" s="51">
        <f>Лист1!AB32</f>
        <v>7110.43</v>
      </c>
      <c r="H38" s="51">
        <f>Лист1!AC32</f>
        <v>8289.070000000002</v>
      </c>
      <c r="I38" s="52">
        <f>Лист1!AG32</f>
        <v>450.23999999999995</v>
      </c>
      <c r="J38" s="19">
        <f>Лист1!AI32+Лист1!AJ32</f>
        <v>750.4</v>
      </c>
      <c r="K38" s="19">
        <f>Лист1!AH32+Лист1!AK32+Лист1!AL32+Лист1!AM32+Лист1!AN32+Лист1!AO32+Лист1!AP32</f>
        <v>2573.872</v>
      </c>
      <c r="L38" s="20">
        <f>Лист1!AS32+Лист1!AT32+Лист1!AU32+Лист1!AZ32+Лист1!BA32</f>
        <v>0</v>
      </c>
      <c r="M38" s="20">
        <f>Лист1!AX32</f>
        <v>110.45999999999998</v>
      </c>
      <c r="N38" s="21">
        <f>Лист1!BB32</f>
        <v>3884.9719999999998</v>
      </c>
      <c r="O38" s="53">
        <f>Лист1!BD32</f>
        <v>4404.098000000002</v>
      </c>
      <c r="P38" s="53">
        <f>Лист1!BE32</f>
        <v>1798.1100000000006</v>
      </c>
      <c r="Q38" s="1"/>
      <c r="R38" s="1"/>
    </row>
    <row r="39" spans="1:18" ht="12.75">
      <c r="A39" s="13" t="s">
        <v>50</v>
      </c>
      <c r="B39" s="14">
        <f>Лист1!B33</f>
        <v>750.4</v>
      </c>
      <c r="C39" s="49">
        <f>Лист1!C33</f>
        <v>6490.96</v>
      </c>
      <c r="D39" s="50">
        <f>Лист1!D33</f>
        <v>597.7100000000006</v>
      </c>
      <c r="E39" s="19">
        <f>Лист1!S33</f>
        <v>5312.32</v>
      </c>
      <c r="F39" s="21">
        <f>Лист1!T33</f>
        <v>580.93</v>
      </c>
      <c r="G39" s="51">
        <f>Лист1!AB33</f>
        <v>2434.05</v>
      </c>
      <c r="H39" s="51">
        <f>Лист1!AC33</f>
        <v>3612.6900000000005</v>
      </c>
      <c r="I39" s="52">
        <f>Лист1!AG33</f>
        <v>450.23999999999995</v>
      </c>
      <c r="J39" s="19">
        <f>Лист1!AI33+Лист1!AJ33</f>
        <v>750.4</v>
      </c>
      <c r="K39" s="19">
        <f>Лист1!AH33+Лист1!AK33+Лист1!AL33+Лист1!AM33+Лист1!AN33+Лист1!AO33+Лист1!AP33</f>
        <v>2573.872</v>
      </c>
      <c r="L39" s="20">
        <f>Лист1!AS33+Лист1!AT33+Лист1!AU33+Лист1!AZ33+Лист1!BA33</f>
        <v>0</v>
      </c>
      <c r="M39" s="20">
        <f>Лист1!AX33</f>
        <v>97.85999999999999</v>
      </c>
      <c r="N39" s="21">
        <f>Лист1!BB33</f>
        <v>3872.3719999999994</v>
      </c>
      <c r="O39" s="53">
        <f>Лист1!BD33</f>
        <v>-259.6819999999989</v>
      </c>
      <c r="P39" s="53">
        <f>Лист1!BE33</f>
        <v>-2878.2699999999995</v>
      </c>
      <c r="Q39" s="1"/>
      <c r="R39" s="1"/>
    </row>
    <row r="40" spans="1:18" ht="12.75">
      <c r="A40" s="13" t="s">
        <v>51</v>
      </c>
      <c r="B40" s="14">
        <f>Лист1!B34</f>
        <v>750.4</v>
      </c>
      <c r="C40" s="49">
        <f>Лист1!C34</f>
        <v>6490.96</v>
      </c>
      <c r="D40" s="50">
        <f>Лист1!D34</f>
        <v>596.6000000000005</v>
      </c>
      <c r="E40" s="19">
        <f>Лист1!S34</f>
        <v>5894.360000000001</v>
      </c>
      <c r="F40" s="21">
        <f>Лист1!T34</f>
        <v>0</v>
      </c>
      <c r="G40" s="51">
        <f>Лист1!AB34</f>
        <v>2378.99</v>
      </c>
      <c r="H40" s="51">
        <f>Лист1!AC34</f>
        <v>2975.59</v>
      </c>
      <c r="I40" s="52">
        <f>Лист1!AG34</f>
        <v>450.23999999999995</v>
      </c>
      <c r="J40" s="19">
        <f>Лист1!AI34+Лист1!AJ34</f>
        <v>750.4</v>
      </c>
      <c r="K40" s="19">
        <f>Лист1!AH34+Лист1!AK34+Лист1!AL34+Лист1!AM34+Лист1!AN34+Лист1!AO34+Лист1!AP34</f>
        <v>2573.872</v>
      </c>
      <c r="L40" s="20">
        <f>Лист1!AS34+Лист1!AT34+Лист1!AU34+Лист1!AZ34+Лист1!BA34</f>
        <v>171.99679999999998</v>
      </c>
      <c r="M40" s="20">
        <f>Лист1!AX34</f>
        <v>104.15999999999998</v>
      </c>
      <c r="N40" s="21">
        <f>Лист1!BB34</f>
        <v>4050.6687999999995</v>
      </c>
      <c r="O40" s="53">
        <f>Лист1!BD34</f>
        <v>-1075.0787999999993</v>
      </c>
      <c r="P40" s="53">
        <f>Лист1!BE34</f>
        <v>-3515.370000000001</v>
      </c>
      <c r="Q40" s="1"/>
      <c r="R40" s="1"/>
    </row>
    <row r="41" spans="1:18" ht="12.75">
      <c r="A41" s="13" t="s">
        <v>52</v>
      </c>
      <c r="B41" s="14">
        <f>Лист1!B35</f>
        <v>750.4</v>
      </c>
      <c r="C41" s="49">
        <f>Лист1!C35</f>
        <v>6490.96</v>
      </c>
      <c r="D41" s="50">
        <f>Лист1!D35</f>
        <v>596.6000000000005</v>
      </c>
      <c r="E41" s="19">
        <f>Лист1!S35</f>
        <v>5894.360000000001</v>
      </c>
      <c r="F41" s="21">
        <f>Лист1!T35</f>
        <v>0</v>
      </c>
      <c r="G41" s="51">
        <f>Лист1!AB35</f>
        <v>3541.49</v>
      </c>
      <c r="H41" s="51">
        <f>Лист1!AC35</f>
        <v>4138.09</v>
      </c>
      <c r="I41" s="52">
        <f>Лист1!AG35</f>
        <v>450.23999999999995</v>
      </c>
      <c r="J41" s="19">
        <f>Лист1!AI35+Лист1!AJ35</f>
        <v>750.4</v>
      </c>
      <c r="K41" s="19">
        <f>Лист1!AH35+Лист1!AK35+Лист1!AL35+Лист1!AM35+Лист1!AN35+Лист1!AO35+Лист1!AP35</f>
        <v>2573.872</v>
      </c>
      <c r="L41" s="20">
        <f>Лист1!AS35+Лист1!AT35+Лист1!AU35+Лист1!AZ35+Лист1!BA35</f>
        <v>47.8</v>
      </c>
      <c r="M41" s="20">
        <f>Лист1!AX35</f>
        <v>123.05999999999997</v>
      </c>
      <c r="N41" s="21">
        <f>Лист1!BB35</f>
        <v>3945.3720000000003</v>
      </c>
      <c r="O41" s="53">
        <f>Лист1!BD35</f>
        <v>192.71799999999985</v>
      </c>
      <c r="P41" s="53">
        <f>Лист1!BE35</f>
        <v>-2352.870000000001</v>
      </c>
      <c r="Q41" s="1"/>
      <c r="R41" s="1"/>
    </row>
    <row r="42" spans="1:18" ht="12.75">
      <c r="A42" s="13" t="s">
        <v>53</v>
      </c>
      <c r="B42" s="14">
        <f>Лист1!B36</f>
        <v>750.4</v>
      </c>
      <c r="C42" s="49">
        <f>Лист1!C36</f>
        <v>6490.96</v>
      </c>
      <c r="D42" s="50">
        <f>Лист1!D36</f>
        <v>596.6000000000005</v>
      </c>
      <c r="E42" s="19">
        <f>Лист1!S36</f>
        <v>5894.360000000001</v>
      </c>
      <c r="F42" s="21">
        <f>Лист1!T36</f>
        <v>0</v>
      </c>
      <c r="G42" s="51">
        <f>Лист1!AB36</f>
        <v>3849.77</v>
      </c>
      <c r="H42" s="51">
        <f>Лист1!AC36</f>
        <v>4446.370000000001</v>
      </c>
      <c r="I42" s="52">
        <f>Лист1!AG36</f>
        <v>450.23999999999995</v>
      </c>
      <c r="J42" s="19">
        <f>Лист1!AI36+Лист1!AJ36</f>
        <v>750.4</v>
      </c>
      <c r="K42" s="19">
        <f>Лист1!AH36+Лист1!AK36+Лист1!AL36+Лист1!AM36+Лист1!AN36+Лист1!AO36+Лист1!AP36</f>
        <v>2573.872</v>
      </c>
      <c r="L42" s="20">
        <f>Лист1!AS36+Лист1!AT36+Лист1!AU36+Лист1!AZ36+Лист1!BA36</f>
        <v>0</v>
      </c>
      <c r="M42" s="20">
        <f>Лист1!AX36</f>
        <v>146.57999999999998</v>
      </c>
      <c r="N42" s="21">
        <f>Лист1!BB36</f>
        <v>3921.0919999999996</v>
      </c>
      <c r="O42" s="53">
        <f>Лист1!BD36</f>
        <v>525.2780000000012</v>
      </c>
      <c r="P42" s="53">
        <f>Лист1!BE36</f>
        <v>-2044.5900000000006</v>
      </c>
      <c r="Q42" s="1"/>
      <c r="R42" s="1"/>
    </row>
    <row r="43" spans="1:18" ht="12.75">
      <c r="A43" s="13" t="s">
        <v>41</v>
      </c>
      <c r="B43" s="14">
        <f>Лист1!B37</f>
        <v>750.4</v>
      </c>
      <c r="C43" s="49">
        <f>Лист1!C37</f>
        <v>6490.96</v>
      </c>
      <c r="D43" s="50">
        <f>Лист1!D37</f>
        <v>596.5900000000003</v>
      </c>
      <c r="E43" s="19">
        <f>Лист1!S37</f>
        <v>5894.370000000001</v>
      </c>
      <c r="F43" s="21">
        <f>Лист1!T37</f>
        <v>0</v>
      </c>
      <c r="G43" s="51">
        <f>Лист1!AB37</f>
        <v>3990.9100000000003</v>
      </c>
      <c r="H43" s="51">
        <f>Лист1!AC37</f>
        <v>4587.500000000001</v>
      </c>
      <c r="I43" s="52">
        <f>Лист1!AG37</f>
        <v>450.23999999999995</v>
      </c>
      <c r="J43" s="19">
        <f>Лист1!AI37+Лист1!AJ37</f>
        <v>750.4</v>
      </c>
      <c r="K43" s="19">
        <f>Лист1!AH37+Лист1!AK37+Лист1!AL37+Лист1!AM37+Лист1!AN37+Лист1!AO37+Лист1!AP37</f>
        <v>2573.872</v>
      </c>
      <c r="L43" s="20">
        <f>Лист1!AS37+Лист1!AT37+Лист1!AU37+Лист1!AZ37+Лист1!BA37</f>
        <v>0</v>
      </c>
      <c r="M43" s="20">
        <f>Лист1!AX37</f>
        <v>178.5</v>
      </c>
      <c r="N43" s="21">
        <f>Лист1!BB37</f>
        <v>3953.0119999999997</v>
      </c>
      <c r="O43" s="53">
        <f>Лист1!BD37</f>
        <v>634.4880000000012</v>
      </c>
      <c r="P43" s="53">
        <f>Лист1!BE37</f>
        <v>-1903.4600000000005</v>
      </c>
      <c r="Q43" s="1"/>
      <c r="R43" s="1"/>
    </row>
    <row r="44" spans="1:18" ht="12.75">
      <c r="A44" s="13" t="s">
        <v>42</v>
      </c>
      <c r="B44" s="14">
        <f>Лист1!B38</f>
        <v>750.4</v>
      </c>
      <c r="C44" s="49">
        <f>Лист1!C38</f>
        <v>6490.96</v>
      </c>
      <c r="D44" s="50">
        <f>Лист1!D38</f>
        <v>585.3100000000002</v>
      </c>
      <c r="E44" s="19">
        <f>Лист1!S38</f>
        <v>5905.65</v>
      </c>
      <c r="F44" s="21">
        <f>Лист1!T38</f>
        <v>0</v>
      </c>
      <c r="G44" s="51">
        <f>Лист1!AB38</f>
        <v>4318.22</v>
      </c>
      <c r="H44" s="51">
        <f>Лист1!AC38</f>
        <v>4903.530000000001</v>
      </c>
      <c r="I44" s="52">
        <f>Лист1!AG38</f>
        <v>450.23999999999995</v>
      </c>
      <c r="J44" s="19">
        <f>Лист1!AI38+Лист1!AJ38</f>
        <v>750.4</v>
      </c>
      <c r="K44" s="19">
        <f>Лист1!AH38+Лист1!AK38+Лист1!AL38+Лист1!AM38+Лист1!AN38+Лист1!AO38+Лист1!AP38</f>
        <v>2573.872</v>
      </c>
      <c r="L44" s="20">
        <f>Лист1!AS38+Лист1!AT38+Лист1!AU38+Лист1!AZ38+Лист1!BA38</f>
        <v>0</v>
      </c>
      <c r="M44" s="20">
        <f>Лист1!AX38</f>
        <v>197.39999999999998</v>
      </c>
      <c r="N44" s="21">
        <f>Лист1!BB38</f>
        <v>3971.9119999999994</v>
      </c>
      <c r="O44" s="53">
        <f>Лист1!BD38</f>
        <v>931.6180000000013</v>
      </c>
      <c r="P44" s="53">
        <f>Лист1!BE38</f>
        <v>-1587.4299999999994</v>
      </c>
      <c r="Q44" s="1"/>
      <c r="R44" s="1"/>
    </row>
    <row r="45" spans="1:18" ht="13.5" thickBot="1">
      <c r="A45" s="54" t="s">
        <v>43</v>
      </c>
      <c r="B45" s="14">
        <f>Лист1!B39</f>
        <v>750.4</v>
      </c>
      <c r="C45" s="49">
        <f>Лист1!C39</f>
        <v>6490.96</v>
      </c>
      <c r="D45" s="50">
        <f>Лист1!D39</f>
        <v>50571.61</v>
      </c>
      <c r="E45" s="19">
        <f>Лист1!S39</f>
        <v>5919.35</v>
      </c>
      <c r="F45" s="21">
        <f>Лист1!T39</f>
        <v>0</v>
      </c>
      <c r="G45" s="51">
        <f>Лист1!AB39</f>
        <v>5808.62</v>
      </c>
      <c r="H45" s="51">
        <f>Лист1!AC39</f>
        <v>56380.23</v>
      </c>
      <c r="I45" s="52">
        <f>Лист1!AG39</f>
        <v>450.23999999999995</v>
      </c>
      <c r="J45" s="19">
        <f>Лист1!AI39+Лист1!AJ39</f>
        <v>750.4</v>
      </c>
      <c r="K45" s="19">
        <f>Лист1!AH39+Лист1!AK39+Лист1!AL39+Лист1!AM39+Лист1!AN39+Лист1!AO39+Лист1!AP39</f>
        <v>2573.872</v>
      </c>
      <c r="L45" s="20">
        <f>Лист1!AS39+Лист1!AT39+Лист1!AU39+Лист1!AZ39+Лист1!BA39</f>
        <v>50000</v>
      </c>
      <c r="M45" s="20">
        <f>Лист1!AX39</f>
        <v>215.87999999999997</v>
      </c>
      <c r="N45" s="21">
        <f>Лист1!BB39</f>
        <v>53990.392</v>
      </c>
      <c r="O45" s="53">
        <f>Лист1!BD39</f>
        <v>2389.8380000000034</v>
      </c>
      <c r="P45" s="53">
        <f>Лист1!BE39</f>
        <v>-110.73000000000047</v>
      </c>
      <c r="Q45" s="1"/>
      <c r="R45" s="1"/>
    </row>
    <row r="46" spans="1:18" s="28" customFormat="1" ht="13.5" thickBot="1">
      <c r="A46" s="56" t="s">
        <v>5</v>
      </c>
      <c r="B46" s="57"/>
      <c r="C46" s="58">
        <f aca="true" t="shared" si="2" ref="C46:P46">SUM(C34:C45)</f>
        <v>77891.52</v>
      </c>
      <c r="D46" s="59">
        <f t="shared" si="2"/>
        <v>57129.490000000005</v>
      </c>
      <c r="E46" s="58">
        <f t="shared" si="2"/>
        <v>67276.45000000001</v>
      </c>
      <c r="F46" s="60">
        <f t="shared" si="2"/>
        <v>3485.5799999999995</v>
      </c>
      <c r="G46" s="61">
        <f t="shared" si="2"/>
        <v>44491.12</v>
      </c>
      <c r="H46" s="58">
        <f t="shared" si="2"/>
        <v>105106.19</v>
      </c>
      <c r="I46" s="59">
        <f t="shared" si="2"/>
        <v>5402.879999999998</v>
      </c>
      <c r="J46" s="58">
        <f t="shared" si="2"/>
        <v>9004.799999999997</v>
      </c>
      <c r="K46" s="58">
        <f t="shared" si="2"/>
        <v>30886.463999999996</v>
      </c>
      <c r="L46" s="58">
        <f t="shared" si="2"/>
        <v>50803.7968</v>
      </c>
      <c r="M46" s="58">
        <f t="shared" si="2"/>
        <v>1847.9999999999998</v>
      </c>
      <c r="N46" s="60">
        <f t="shared" si="2"/>
        <v>97945.94079999998</v>
      </c>
      <c r="O46" s="62">
        <f t="shared" si="2"/>
        <v>7160.249200000015</v>
      </c>
      <c r="P46" s="62">
        <f t="shared" si="2"/>
        <v>-22785.33</v>
      </c>
      <c r="Q46" s="64"/>
      <c r="R46" s="64"/>
    </row>
    <row r="47" spans="1:18" ht="13.5" thickBot="1">
      <c r="A47" s="356" t="s">
        <v>68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71"/>
      <c r="Q47" s="1"/>
      <c r="R47" s="1"/>
    </row>
    <row r="48" spans="1:18" s="28" customFormat="1" ht="13.5" thickBot="1">
      <c r="A48" s="72" t="s">
        <v>54</v>
      </c>
      <c r="B48" s="73"/>
      <c r="C48" s="74">
        <f>C18+C32+C46</f>
        <v>175380.48000000004</v>
      </c>
      <c r="D48" s="74">
        <f aca="true" t="shared" si="3" ref="D48:P48">D18+D32+D46</f>
        <v>70088.971128</v>
      </c>
      <c r="E48" s="74">
        <f t="shared" si="3"/>
        <v>143055.87000000002</v>
      </c>
      <c r="F48" s="74">
        <f t="shared" si="3"/>
        <v>11627.840000000002</v>
      </c>
      <c r="G48" s="74">
        <f t="shared" si="3"/>
        <v>88839.69</v>
      </c>
      <c r="H48" s="74">
        <f t="shared" si="3"/>
        <v>170556.501128</v>
      </c>
      <c r="I48" s="74">
        <f t="shared" si="3"/>
        <v>11984.639999999996</v>
      </c>
      <c r="J48" s="74">
        <f t="shared" si="3"/>
        <v>19894.86854936</v>
      </c>
      <c r="K48" s="74">
        <f t="shared" si="3"/>
        <v>68251.0525176416</v>
      </c>
      <c r="L48" s="74">
        <f t="shared" si="3"/>
        <v>53344.122599999995</v>
      </c>
      <c r="M48" s="74">
        <f t="shared" si="3"/>
        <v>3592.5119999999997</v>
      </c>
      <c r="N48" s="74">
        <f t="shared" si="3"/>
        <v>157067.1956670016</v>
      </c>
      <c r="O48" s="74">
        <f t="shared" si="3"/>
        <v>13489.305460998417</v>
      </c>
      <c r="P48" s="74">
        <f t="shared" si="3"/>
        <v>-54216.18</v>
      </c>
      <c r="Q48" s="75"/>
      <c r="R48" s="64"/>
    </row>
    <row r="49" spans="1:18" ht="12.75">
      <c r="A49" s="28" t="s">
        <v>88</v>
      </c>
      <c r="D49" s="2" t="s">
        <v>90</v>
      </c>
      <c r="F49" s="148"/>
      <c r="Q49" s="1"/>
      <c r="R49" s="1"/>
    </row>
    <row r="50" spans="1:18" ht="12.75">
      <c r="A50" s="32" t="s">
        <v>69</v>
      </c>
      <c r="B50" s="32" t="s">
        <v>70</v>
      </c>
      <c r="C50" s="355" t="s">
        <v>71</v>
      </c>
      <c r="D50" s="355"/>
      <c r="Q50" s="1"/>
      <c r="R50" s="1"/>
    </row>
    <row r="51" spans="1:18" ht="12.75">
      <c r="A51" s="134">
        <v>26306.74</v>
      </c>
      <c r="B51" s="134">
        <v>0</v>
      </c>
      <c r="C51" s="361">
        <f>A51-B51</f>
        <v>26306.74</v>
      </c>
      <c r="D51" s="362"/>
      <c r="Q51" s="1"/>
      <c r="R51" s="1"/>
    </row>
    <row r="52" spans="1:18" ht="12.75">
      <c r="A52" s="76"/>
      <c r="Q52" s="1"/>
      <c r="R52" s="1"/>
    </row>
    <row r="53" spans="1:18" ht="12.75">
      <c r="A53" s="2" t="s">
        <v>72</v>
      </c>
      <c r="G53" s="2" t="s">
        <v>73</v>
      </c>
      <c r="Q53" s="1"/>
      <c r="R53" s="1"/>
    </row>
    <row r="54" ht="12.75">
      <c r="A54" s="1" t="s">
        <v>84</v>
      </c>
    </row>
    <row r="55" ht="12.75">
      <c r="A55" s="2" t="s">
        <v>74</v>
      </c>
    </row>
  </sheetData>
  <sheetProtection/>
  <mergeCells count="22">
    <mergeCell ref="C51:D51"/>
    <mergeCell ref="P9:P12"/>
    <mergeCell ref="E11:F11"/>
    <mergeCell ref="H11:H12"/>
    <mergeCell ref="I11:I12"/>
    <mergeCell ref="J11:J12"/>
    <mergeCell ref="K11:K12"/>
    <mergeCell ref="L11:L12"/>
    <mergeCell ref="C50:D50"/>
    <mergeCell ref="A47:O47"/>
    <mergeCell ref="A6:G6"/>
    <mergeCell ref="G9:H10"/>
    <mergeCell ref="M11:M12"/>
    <mergeCell ref="N11:N12"/>
    <mergeCell ref="A5:O5"/>
    <mergeCell ref="A9:A12"/>
    <mergeCell ref="B9:B12"/>
    <mergeCell ref="C9:C12"/>
    <mergeCell ref="D9:D12"/>
    <mergeCell ref="E9:F10"/>
    <mergeCell ref="I9:N10"/>
    <mergeCell ref="O9:O12"/>
  </mergeCells>
  <printOptions/>
  <pageMargins left="0.3937007874015748" right="0.3937007874015748" top="0.18" bottom="0.16" header="0.17" footer="0.17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0"/>
  <sheetViews>
    <sheetView zoomScalePageLayoutView="0" workbookViewId="0" topLeftCell="A1">
      <pane xSplit="2" ySplit="7" topLeftCell="AU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8" sqref="AK8:BA8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0.87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5" width="9.25390625" style="2" customWidth="1"/>
    <col min="46" max="46" width="10.125" style="2" bestFit="1" customWidth="1"/>
    <col min="47" max="47" width="11.625" style="2" customWidth="1"/>
    <col min="48" max="48" width="10.875" style="2" customWidth="1"/>
    <col min="49" max="49" width="10.625" style="2" customWidth="1"/>
    <col min="50" max="50" width="9.25390625" style="2" customWidth="1"/>
    <col min="51" max="51" width="10.625" style="2" customWidth="1"/>
    <col min="52" max="52" width="9.25390625" style="2" bestFit="1" customWidth="1"/>
    <col min="53" max="54" width="10.125" style="2" bestFit="1" customWidth="1"/>
    <col min="55" max="56" width="10.375" style="2" customWidth="1"/>
    <col min="57" max="57" width="10.75390625" style="2" customWidth="1"/>
    <col min="58" max="58" width="14.00390625" style="2" customWidth="1"/>
    <col min="59" max="59" width="10.375" style="2" customWidth="1"/>
    <col min="60" max="16384" width="9.125" style="2" customWidth="1"/>
  </cols>
  <sheetData>
    <row r="1" spans="1:18" ht="21" customHeight="1">
      <c r="A1" s="292" t="s">
        <v>121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401" t="s">
        <v>0</v>
      </c>
      <c r="B3" s="403" t="s">
        <v>1</v>
      </c>
      <c r="C3" s="405" t="s">
        <v>2</v>
      </c>
      <c r="D3" s="407" t="s">
        <v>3</v>
      </c>
      <c r="E3" s="401" t="s">
        <v>92</v>
      </c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345"/>
      <c r="S3" s="401"/>
      <c r="T3" s="411"/>
      <c r="U3" s="401" t="s">
        <v>5</v>
      </c>
      <c r="V3" s="411"/>
      <c r="W3" s="415" t="s">
        <v>6</v>
      </c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7"/>
      <c r="AJ3" s="377" t="s">
        <v>93</v>
      </c>
      <c r="AK3" s="382" t="s">
        <v>10</v>
      </c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4"/>
      <c r="BF3" s="390" t="s">
        <v>11</v>
      </c>
      <c r="BG3" s="427" t="s">
        <v>12</v>
      </c>
    </row>
    <row r="4" spans="1:59" ht="51.75" customHeight="1" hidden="1" thickBot="1">
      <c r="A4" s="402"/>
      <c r="B4" s="404"/>
      <c r="C4" s="406"/>
      <c r="D4" s="408"/>
      <c r="E4" s="40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364"/>
      <c r="S4" s="413"/>
      <c r="T4" s="414"/>
      <c r="U4" s="413"/>
      <c r="V4" s="414"/>
      <c r="W4" s="418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20"/>
      <c r="AJ4" s="378"/>
      <c r="AK4" s="385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87"/>
      <c r="BF4" s="391"/>
      <c r="BG4" s="428"/>
    </row>
    <row r="5" spans="1:59" ht="19.5" customHeight="1">
      <c r="A5" s="402"/>
      <c r="B5" s="404"/>
      <c r="C5" s="406"/>
      <c r="D5" s="408"/>
      <c r="E5" s="430" t="s">
        <v>13</v>
      </c>
      <c r="F5" s="431"/>
      <c r="G5" s="430" t="s">
        <v>94</v>
      </c>
      <c r="H5" s="431"/>
      <c r="I5" s="430" t="s">
        <v>14</v>
      </c>
      <c r="J5" s="431"/>
      <c r="K5" s="430" t="s">
        <v>16</v>
      </c>
      <c r="L5" s="431"/>
      <c r="M5" s="430" t="s">
        <v>15</v>
      </c>
      <c r="N5" s="431"/>
      <c r="O5" s="434" t="s">
        <v>17</v>
      </c>
      <c r="P5" s="434"/>
      <c r="Q5" s="430" t="s">
        <v>95</v>
      </c>
      <c r="R5" s="431"/>
      <c r="S5" s="434" t="s">
        <v>96</v>
      </c>
      <c r="T5" s="431"/>
      <c r="U5" s="425" t="s">
        <v>20</v>
      </c>
      <c r="V5" s="371" t="s">
        <v>21</v>
      </c>
      <c r="W5" s="369" t="s">
        <v>22</v>
      </c>
      <c r="X5" s="369" t="s">
        <v>97</v>
      </c>
      <c r="Y5" s="369" t="s">
        <v>23</v>
      </c>
      <c r="Z5" s="369" t="s">
        <v>25</v>
      </c>
      <c r="AA5" s="369" t="s">
        <v>24</v>
      </c>
      <c r="AB5" s="369" t="s">
        <v>26</v>
      </c>
      <c r="AC5" s="369" t="s">
        <v>27</v>
      </c>
      <c r="AD5" s="409" t="s">
        <v>28</v>
      </c>
      <c r="AE5" s="409" t="s">
        <v>98</v>
      </c>
      <c r="AF5" s="421" t="s">
        <v>29</v>
      </c>
      <c r="AG5" s="423" t="s">
        <v>99</v>
      </c>
      <c r="AH5" s="393" t="s">
        <v>8</v>
      </c>
      <c r="AI5" s="395" t="s">
        <v>9</v>
      </c>
      <c r="AJ5" s="378"/>
      <c r="AK5" s="397" t="s">
        <v>100</v>
      </c>
      <c r="AL5" s="375" t="s">
        <v>101</v>
      </c>
      <c r="AM5" s="375" t="s">
        <v>102</v>
      </c>
      <c r="AN5" s="373" t="s">
        <v>103</v>
      </c>
      <c r="AO5" s="375" t="s">
        <v>104</v>
      </c>
      <c r="AP5" s="373" t="s">
        <v>105</v>
      </c>
      <c r="AQ5" s="373" t="s">
        <v>106</v>
      </c>
      <c r="AR5" s="373" t="s">
        <v>120</v>
      </c>
      <c r="AS5" s="373" t="s">
        <v>107</v>
      </c>
      <c r="AT5" s="373" t="s">
        <v>36</v>
      </c>
      <c r="AU5" s="320" t="s">
        <v>108</v>
      </c>
      <c r="AV5" s="311" t="s">
        <v>109</v>
      </c>
      <c r="AW5" s="320" t="s">
        <v>110</v>
      </c>
      <c r="AX5" s="327" t="s">
        <v>111</v>
      </c>
      <c r="AY5" s="149"/>
      <c r="AZ5" s="380" t="s">
        <v>19</v>
      </c>
      <c r="BA5" s="373" t="s">
        <v>38</v>
      </c>
      <c r="BB5" s="373" t="s">
        <v>33</v>
      </c>
      <c r="BC5" s="399" t="s">
        <v>39</v>
      </c>
      <c r="BD5" s="388" t="s">
        <v>87</v>
      </c>
      <c r="BE5" s="373" t="s">
        <v>112</v>
      </c>
      <c r="BF5" s="391"/>
      <c r="BG5" s="428"/>
    </row>
    <row r="6" spans="1:59" ht="56.25" customHeight="1" thickBot="1">
      <c r="A6" s="402"/>
      <c r="B6" s="404"/>
      <c r="C6" s="406"/>
      <c r="D6" s="408"/>
      <c r="E6" s="432"/>
      <c r="F6" s="433"/>
      <c r="G6" s="432"/>
      <c r="H6" s="433"/>
      <c r="I6" s="432"/>
      <c r="J6" s="433"/>
      <c r="K6" s="432"/>
      <c r="L6" s="433"/>
      <c r="M6" s="432"/>
      <c r="N6" s="433"/>
      <c r="O6" s="435"/>
      <c r="P6" s="435"/>
      <c r="Q6" s="432"/>
      <c r="R6" s="433"/>
      <c r="S6" s="436"/>
      <c r="T6" s="433"/>
      <c r="U6" s="426"/>
      <c r="V6" s="372"/>
      <c r="W6" s="370"/>
      <c r="X6" s="370"/>
      <c r="Y6" s="370"/>
      <c r="Z6" s="370"/>
      <c r="AA6" s="370"/>
      <c r="AB6" s="370"/>
      <c r="AC6" s="370"/>
      <c r="AD6" s="410"/>
      <c r="AE6" s="410"/>
      <c r="AF6" s="422"/>
      <c r="AG6" s="424"/>
      <c r="AH6" s="394"/>
      <c r="AI6" s="396"/>
      <c r="AJ6" s="379"/>
      <c r="AK6" s="398"/>
      <c r="AL6" s="376"/>
      <c r="AM6" s="376"/>
      <c r="AN6" s="374"/>
      <c r="AO6" s="376"/>
      <c r="AP6" s="374"/>
      <c r="AQ6" s="374"/>
      <c r="AR6" s="374"/>
      <c r="AS6" s="374"/>
      <c r="AT6" s="374"/>
      <c r="AU6" s="321"/>
      <c r="AV6" s="312"/>
      <c r="AW6" s="321"/>
      <c r="AX6" s="328"/>
      <c r="AY6" s="150" t="s">
        <v>113</v>
      </c>
      <c r="AZ6" s="381"/>
      <c r="BA6" s="374"/>
      <c r="BB6" s="374"/>
      <c r="BC6" s="400"/>
      <c r="BD6" s="389"/>
      <c r="BE6" s="374"/>
      <c r="BF6" s="392"/>
      <c r="BG6" s="429"/>
    </row>
    <row r="7" spans="1:59" ht="19.5" customHeight="1" thickBot="1">
      <c r="A7" s="152">
        <v>1</v>
      </c>
      <c r="B7" s="153">
        <v>2</v>
      </c>
      <c r="C7" s="153">
        <v>3</v>
      </c>
      <c r="D7" s="152">
        <v>4</v>
      </c>
      <c r="E7" s="153">
        <v>5</v>
      </c>
      <c r="F7" s="153">
        <v>6</v>
      </c>
      <c r="G7" s="152">
        <v>7</v>
      </c>
      <c r="H7" s="153">
        <v>8</v>
      </c>
      <c r="I7" s="153">
        <v>9</v>
      </c>
      <c r="J7" s="152">
        <v>10</v>
      </c>
      <c r="K7" s="153">
        <v>11</v>
      </c>
      <c r="L7" s="153">
        <v>12</v>
      </c>
      <c r="M7" s="152">
        <v>13</v>
      </c>
      <c r="N7" s="153">
        <v>14</v>
      </c>
      <c r="O7" s="153">
        <v>15</v>
      </c>
      <c r="P7" s="152">
        <v>16</v>
      </c>
      <c r="Q7" s="153">
        <v>17</v>
      </c>
      <c r="R7" s="153">
        <v>18</v>
      </c>
      <c r="S7" s="152">
        <v>19</v>
      </c>
      <c r="T7" s="153">
        <v>20</v>
      </c>
      <c r="U7" s="153">
        <v>21</v>
      </c>
      <c r="V7" s="152">
        <v>22</v>
      </c>
      <c r="W7" s="153">
        <v>23</v>
      </c>
      <c r="X7" s="152">
        <v>24</v>
      </c>
      <c r="Y7" s="153">
        <v>25</v>
      </c>
      <c r="Z7" s="152">
        <v>26</v>
      </c>
      <c r="AA7" s="153">
        <v>27</v>
      </c>
      <c r="AB7" s="152">
        <v>28</v>
      </c>
      <c r="AC7" s="153">
        <v>29</v>
      </c>
      <c r="AD7" s="152">
        <v>30</v>
      </c>
      <c r="AE7" s="152">
        <v>31</v>
      </c>
      <c r="AF7" s="153">
        <v>32</v>
      </c>
      <c r="AG7" s="152">
        <v>33</v>
      </c>
      <c r="AH7" s="153">
        <v>34</v>
      </c>
      <c r="AI7" s="152">
        <v>35</v>
      </c>
      <c r="AJ7" s="153">
        <v>36</v>
      </c>
      <c r="AK7" s="152">
        <v>37</v>
      </c>
      <c r="AL7" s="153">
        <v>38</v>
      </c>
      <c r="AM7" s="152">
        <v>39</v>
      </c>
      <c r="AN7" s="152">
        <v>40</v>
      </c>
      <c r="AO7" s="153">
        <v>41</v>
      </c>
      <c r="AP7" s="152">
        <v>42</v>
      </c>
      <c r="AQ7" s="153">
        <v>43</v>
      </c>
      <c r="AR7" s="152"/>
      <c r="AS7" s="152">
        <v>44</v>
      </c>
      <c r="AT7" s="153">
        <v>45</v>
      </c>
      <c r="AU7" s="152">
        <v>46</v>
      </c>
      <c r="AV7" s="153">
        <v>47</v>
      </c>
      <c r="AW7" s="152">
        <v>48</v>
      </c>
      <c r="AX7" s="152">
        <v>49</v>
      </c>
      <c r="AY7" s="153"/>
      <c r="AZ7" s="153">
        <v>50</v>
      </c>
      <c r="BA7" s="153">
        <v>51</v>
      </c>
      <c r="BB7" s="153">
        <v>52</v>
      </c>
      <c r="BC7" s="153">
        <v>53</v>
      </c>
      <c r="BD7" s="153">
        <v>54</v>
      </c>
      <c r="BE7" s="153"/>
      <c r="BF7" s="153">
        <v>55</v>
      </c>
      <c r="BG7" s="153">
        <v>56</v>
      </c>
    </row>
    <row r="8" spans="1:59" s="28" customFormat="1" ht="13.5" thickBot="1">
      <c r="A8" s="33" t="s">
        <v>54</v>
      </c>
      <c r="B8" s="154"/>
      <c r="C8" s="154">
        <f>Лист1!C42</f>
        <v>175380.48000000004</v>
      </c>
      <c r="D8" s="154">
        <f>Лист1!D42</f>
        <v>70088.971128</v>
      </c>
      <c r="E8" s="154">
        <f>Лист1!E42</f>
        <v>16516.010000000002</v>
      </c>
      <c r="F8" s="154">
        <f>Лист1!F42</f>
        <v>1352.01</v>
      </c>
      <c r="G8" s="154">
        <f>0</f>
        <v>0</v>
      </c>
      <c r="H8" s="154">
        <f>0</f>
        <v>0</v>
      </c>
      <c r="I8" s="154">
        <f>Лист1!G42</f>
        <v>22361.89</v>
      </c>
      <c r="J8" s="154">
        <f>Лист1!H42</f>
        <v>1748.9</v>
      </c>
      <c r="K8" s="154">
        <f>Лист1!K42</f>
        <v>37223.03999999999</v>
      </c>
      <c r="L8" s="154">
        <f>Лист1!L42</f>
        <v>3046.9299999999994</v>
      </c>
      <c r="M8" s="154">
        <f>Лист1!I42</f>
        <v>53742.06999999999</v>
      </c>
      <c r="N8" s="154">
        <f>Лист1!J42</f>
        <v>4398.66</v>
      </c>
      <c r="O8" s="154">
        <f>Лист1!M42</f>
        <v>13212.86</v>
      </c>
      <c r="P8" s="154">
        <f>Лист1!N42</f>
        <v>1081.34</v>
      </c>
      <c r="Q8" s="154">
        <f>'[3]Лист1'!O44</f>
        <v>0</v>
      </c>
      <c r="R8" s="154">
        <f>'[3]Лист1'!P44</f>
        <v>0</v>
      </c>
      <c r="S8" s="154">
        <f>'[3]Лист1'!Q44</f>
        <v>0</v>
      </c>
      <c r="T8" s="154">
        <f>'[3]Лист1'!R44</f>
        <v>0</v>
      </c>
      <c r="U8" s="154">
        <f>Лист1!S42</f>
        <v>143055.87000000002</v>
      </c>
      <c r="V8" s="154">
        <f>Лист1!T42</f>
        <v>11627.840000000002</v>
      </c>
      <c r="W8" s="154">
        <f>Лист1!U42</f>
        <v>10258.18</v>
      </c>
      <c r="X8" s="154">
        <v>0</v>
      </c>
      <c r="Y8" s="154">
        <f>Лист1!V42</f>
        <v>13884.339999999998</v>
      </c>
      <c r="Z8" s="154">
        <f>Лист1!X42</f>
        <v>23116.14</v>
      </c>
      <c r="AA8" s="154">
        <f>Лист1!W42</f>
        <v>33374.45</v>
      </c>
      <c r="AB8" s="154">
        <f>Лист1!Y42</f>
        <v>8206.580000000002</v>
      </c>
      <c r="AC8" s="154">
        <f>'[2]Лист1'!Z46</f>
        <v>0</v>
      </c>
      <c r="AD8" s="154">
        <f>'[2]Лист1'!AA46</f>
        <v>0</v>
      </c>
      <c r="AF8" s="154">
        <f>Лист1!AB42</f>
        <v>88839.69</v>
      </c>
      <c r="AG8" s="154">
        <f>Лист1!AC42</f>
        <v>170556.501128</v>
      </c>
      <c r="AH8" s="154">
        <f>'[2]Лист1'!AD46</f>
        <v>0</v>
      </c>
      <c r="AI8" s="154">
        <f>'[2]Лист1'!AE46</f>
        <v>0</v>
      </c>
      <c r="AJ8" s="154">
        <f>'[2]Лист1'!AF46</f>
        <v>0</v>
      </c>
      <c r="AK8" s="154">
        <f>Лист1!AG42</f>
        <v>11984.639999999996</v>
      </c>
      <c r="AL8" s="154">
        <f>Лист1!AH42</f>
        <v>4015.8721568</v>
      </c>
      <c r="AM8" s="154">
        <f>Лист1!AI42+Лист1!AJ42</f>
        <v>19894.86854936</v>
      </c>
      <c r="AN8" s="154">
        <v>0</v>
      </c>
      <c r="AO8" s="154">
        <f>Лист1!AK42+Лист1!AL42</f>
        <v>19844.108356617602</v>
      </c>
      <c r="AP8" s="154">
        <f>Лист1!AM42+Лист1!AN42</f>
        <v>44391.07200422401</v>
      </c>
      <c r="AQ8" s="154">
        <v>0</v>
      </c>
      <c r="AR8" s="154">
        <v>0</v>
      </c>
      <c r="AS8" s="154">
        <v>0</v>
      </c>
      <c r="AT8" s="154">
        <f>'[3]Лист1'!AO44+'[3]Лист1'!AP44</f>
        <v>0</v>
      </c>
      <c r="AU8" s="154">
        <f>Лист1!AS42+Лист1!AU42</f>
        <v>3150.5626</v>
      </c>
      <c r="AV8" s="154">
        <f>0</f>
        <v>0</v>
      </c>
      <c r="AW8" s="154">
        <f>Лист1!AT42</f>
        <v>50193.56</v>
      </c>
      <c r="AX8" s="154">
        <v>0</v>
      </c>
      <c r="AY8" s="155">
        <f>Лист1!AX42</f>
        <v>3592.5119999999997</v>
      </c>
      <c r="AZ8" s="155">
        <f>'[2]Лист1'!AY46</f>
        <v>0</v>
      </c>
      <c r="BA8" s="155">
        <f>'[2]Лист1'!AZ46</f>
        <v>0</v>
      </c>
      <c r="BB8" s="155">
        <f>'[2]Лист1'!BA46</f>
        <v>0</v>
      </c>
      <c r="BC8" s="155">
        <f>Лист1!BB42</f>
        <v>157067.1956670016</v>
      </c>
      <c r="BD8" s="155">
        <f>'[2]Лист1'!BC46</f>
        <v>0</v>
      </c>
      <c r="BE8" s="156">
        <f>BC8</f>
        <v>157067.1956670016</v>
      </c>
      <c r="BF8" s="157">
        <f>Лист1!BD42</f>
        <v>13489.305460998417</v>
      </c>
      <c r="BG8" s="157">
        <f>Лист1!BE42</f>
        <v>-54216.18</v>
      </c>
    </row>
    <row r="9" spans="1:59" ht="12.75">
      <c r="A9" s="5" t="s">
        <v>114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159"/>
      <c r="BF9" s="157">
        <f>'[1]Лист1'!BC43</f>
        <v>0</v>
      </c>
      <c r="BG9" s="158">
        <f>AF9-U9</f>
        <v>0</v>
      </c>
    </row>
    <row r="10" spans="1:60" ht="12.75">
      <c r="A10" s="13" t="s">
        <v>45</v>
      </c>
      <c r="B10" s="216">
        <v>750.4</v>
      </c>
      <c r="C10" s="187">
        <f aca="true" t="shared" si="0" ref="C10:C21">B10*8.65</f>
        <v>6490.96</v>
      </c>
      <c r="D10" s="188">
        <v>208.692</v>
      </c>
      <c r="E10" s="217">
        <v>683.62</v>
      </c>
      <c r="F10" s="217">
        <v>0</v>
      </c>
      <c r="G10" s="218">
        <v>0</v>
      </c>
      <c r="H10" s="218">
        <v>0</v>
      </c>
      <c r="I10" s="218">
        <v>926.25</v>
      </c>
      <c r="J10" s="218">
        <v>0</v>
      </c>
      <c r="K10" s="218">
        <v>1541.5</v>
      </c>
      <c r="L10" s="218">
        <v>0</v>
      </c>
      <c r="M10" s="218">
        <v>2225.12</v>
      </c>
      <c r="N10" s="218">
        <v>0</v>
      </c>
      <c r="O10" s="219">
        <v>546.9</v>
      </c>
      <c r="P10" s="220">
        <v>0</v>
      </c>
      <c r="Q10" s="221">
        <v>0</v>
      </c>
      <c r="R10" s="222">
        <v>0</v>
      </c>
      <c r="S10" s="223">
        <v>0</v>
      </c>
      <c r="T10" s="224">
        <v>0</v>
      </c>
      <c r="U10" s="225">
        <f aca="true" t="shared" si="1" ref="U10:V21">E10+G10+I10+K10+M10+O10+Q10+S10</f>
        <v>5923.389999999999</v>
      </c>
      <c r="V10" s="226">
        <f t="shared" si="1"/>
        <v>0</v>
      </c>
      <c r="W10" s="218">
        <v>384.43</v>
      </c>
      <c r="X10" s="218"/>
      <c r="Y10" s="218">
        <v>520.91</v>
      </c>
      <c r="Z10" s="218">
        <v>866.95</v>
      </c>
      <c r="AA10" s="218">
        <v>1251.42</v>
      </c>
      <c r="AB10" s="218">
        <v>307.57</v>
      </c>
      <c r="AC10" s="218">
        <v>0</v>
      </c>
      <c r="AD10" s="217">
        <v>0</v>
      </c>
      <c r="AE10" s="227">
        <v>0</v>
      </c>
      <c r="AF10" s="227">
        <f>SUM(W10:AE10)</f>
        <v>3331.28</v>
      </c>
      <c r="AG10" s="161">
        <f>AF10+V10+D10</f>
        <v>3539.972</v>
      </c>
      <c r="AH10" s="189">
        <f aca="true" t="shared" si="2" ref="AH10:AI21">AC10</f>
        <v>0</v>
      </c>
      <c r="AI10" s="189">
        <f t="shared" si="2"/>
        <v>0</v>
      </c>
      <c r="AJ10" s="190"/>
      <c r="AK10" s="164">
        <f aca="true" t="shared" si="3" ref="AK10:AK21">0.67*B10</f>
        <v>502.76800000000003</v>
      </c>
      <c r="AL10" s="164">
        <f aca="true" t="shared" si="4" ref="AL10:AL21">B10*0.2</f>
        <v>150.08</v>
      </c>
      <c r="AM10" s="164">
        <f aca="true" t="shared" si="5" ref="AM10:AM21">B10*1</f>
        <v>750.4</v>
      </c>
      <c r="AN10" s="164">
        <f aca="true" t="shared" si="6" ref="AN10:AN21">B10*0.21</f>
        <v>157.584</v>
      </c>
      <c r="AO10" s="164">
        <f aca="true" t="shared" si="7" ref="AO10:AO21">2.02*B10</f>
        <v>1515.808</v>
      </c>
      <c r="AP10" s="164">
        <f aca="true" t="shared" si="8" ref="AP10:AP21">B10*1.03</f>
        <v>772.912</v>
      </c>
      <c r="AQ10" s="164">
        <f aca="true" t="shared" si="9" ref="AQ10:AQ21">B10*0.75</f>
        <v>562.8</v>
      </c>
      <c r="AR10" s="228">
        <f aca="true" t="shared" si="10" ref="AR10:AR21">B10*0.75</f>
        <v>562.8</v>
      </c>
      <c r="AS10" s="164">
        <v>0</v>
      </c>
      <c r="AT10" s="164"/>
      <c r="AU10" s="191"/>
      <c r="AV10" s="192">
        <v>353</v>
      </c>
      <c r="AW10" s="191">
        <v>911</v>
      </c>
      <c r="AX10" s="191">
        <f>500+500</f>
        <v>1000</v>
      </c>
      <c r="AY10" s="164"/>
      <c r="AZ10" s="130"/>
      <c r="BA10" s="130"/>
      <c r="BB10" s="130">
        <f>BA10*0.18</f>
        <v>0</v>
      </c>
      <c r="BC10" s="264">
        <f aca="true" t="shared" si="11" ref="BC10:BC21">SUM(AK10:BB10)</f>
        <v>7239.152000000001</v>
      </c>
      <c r="BD10" s="193"/>
      <c r="BE10" s="275">
        <f>BC10</f>
        <v>7239.152000000001</v>
      </c>
      <c r="BF10" s="275">
        <f>AG10-BE10</f>
        <v>-3699.1800000000007</v>
      </c>
      <c r="BG10" s="130">
        <f>AF10-U10</f>
        <v>-2592.109999999999</v>
      </c>
      <c r="BH10" s="163"/>
    </row>
    <row r="11" spans="1:59" ht="12.75">
      <c r="A11" s="13" t="s">
        <v>46</v>
      </c>
      <c r="B11" s="194">
        <v>750.4</v>
      </c>
      <c r="C11" s="187">
        <f t="shared" si="0"/>
        <v>6490.96</v>
      </c>
      <c r="D11" s="188">
        <v>208.692</v>
      </c>
      <c r="E11" s="217">
        <v>682.07</v>
      </c>
      <c r="F11" s="217">
        <v>0</v>
      </c>
      <c r="G11" s="218">
        <v>0</v>
      </c>
      <c r="H11" s="218">
        <v>0</v>
      </c>
      <c r="I11" s="218">
        <v>924.14</v>
      </c>
      <c r="J11" s="218">
        <v>0</v>
      </c>
      <c r="K11" s="218">
        <v>1537.98</v>
      </c>
      <c r="L11" s="218">
        <v>0</v>
      </c>
      <c r="M11" s="218">
        <v>2220.05</v>
      </c>
      <c r="N11" s="218">
        <v>0</v>
      </c>
      <c r="O11" s="219">
        <v>545.65</v>
      </c>
      <c r="P11" s="229">
        <v>0</v>
      </c>
      <c r="Q11" s="217">
        <v>0</v>
      </c>
      <c r="R11" s="217">
        <v>0</v>
      </c>
      <c r="S11" s="217">
        <v>0</v>
      </c>
      <c r="T11" s="218">
        <v>0</v>
      </c>
      <c r="U11" s="230">
        <f t="shared" si="1"/>
        <v>5909.889999999999</v>
      </c>
      <c r="V11" s="226">
        <f t="shared" si="1"/>
        <v>0</v>
      </c>
      <c r="W11" s="218">
        <v>281.38</v>
      </c>
      <c r="X11" s="217"/>
      <c r="Y11" s="218">
        <v>381.08</v>
      </c>
      <c r="Z11" s="218">
        <v>634.29</v>
      </c>
      <c r="AA11" s="218">
        <v>915.66</v>
      </c>
      <c r="AB11" s="218">
        <v>225.1</v>
      </c>
      <c r="AC11" s="218">
        <v>0</v>
      </c>
      <c r="AD11" s="217">
        <v>0</v>
      </c>
      <c r="AE11" s="217">
        <v>0</v>
      </c>
      <c r="AF11" s="227">
        <f>SUM(W11:AE11)</f>
        <v>2437.5099999999998</v>
      </c>
      <c r="AG11" s="161">
        <f>AF11+V11+D11</f>
        <v>2646.2019999999998</v>
      </c>
      <c r="AH11" s="162">
        <f t="shared" si="2"/>
        <v>0</v>
      </c>
      <c r="AI11" s="162">
        <f t="shared" si="2"/>
        <v>0</v>
      </c>
      <c r="AJ11" s="190"/>
      <c r="AK11" s="164">
        <f t="shared" si="3"/>
        <v>502.76800000000003</v>
      </c>
      <c r="AL11" s="164">
        <f t="shared" si="4"/>
        <v>150.08</v>
      </c>
      <c r="AM11" s="164">
        <f t="shared" si="5"/>
        <v>750.4</v>
      </c>
      <c r="AN11" s="164">
        <f t="shared" si="6"/>
        <v>157.584</v>
      </c>
      <c r="AO11" s="164">
        <f t="shared" si="7"/>
        <v>1515.808</v>
      </c>
      <c r="AP11" s="164">
        <f t="shared" si="8"/>
        <v>772.912</v>
      </c>
      <c r="AQ11" s="164">
        <f t="shared" si="9"/>
        <v>562.8</v>
      </c>
      <c r="AR11" s="228">
        <f t="shared" si="10"/>
        <v>562.8</v>
      </c>
      <c r="AS11" s="164">
        <v>0</v>
      </c>
      <c r="AT11" s="164"/>
      <c r="AU11" s="191"/>
      <c r="AV11" s="192"/>
      <c r="AW11" s="191"/>
      <c r="AX11" s="191">
        <f>33.84</f>
        <v>33.84</v>
      </c>
      <c r="AY11" s="164"/>
      <c r="AZ11" s="130"/>
      <c r="BA11" s="130"/>
      <c r="BB11" s="130">
        <f>BA11*0.18</f>
        <v>0</v>
      </c>
      <c r="BC11" s="130">
        <f t="shared" si="11"/>
        <v>5008.992000000001</v>
      </c>
      <c r="BD11" s="193"/>
      <c r="BE11" s="275">
        <f aca="true" t="shared" si="12" ref="BE11:BE21">BC11</f>
        <v>5008.992000000001</v>
      </c>
      <c r="BF11" s="275">
        <f aca="true" t="shared" si="13" ref="BF11:BF21">AG11-BE11</f>
        <v>-2362.7900000000013</v>
      </c>
      <c r="BG11" s="130">
        <f aca="true" t="shared" si="14" ref="BG11:BG21">AF11-U11</f>
        <v>-3472.3799999999997</v>
      </c>
    </row>
    <row r="12" spans="1:59" ht="12.75">
      <c r="A12" s="13" t="s">
        <v>47</v>
      </c>
      <c r="B12" s="216">
        <v>750.4</v>
      </c>
      <c r="C12" s="187">
        <f t="shared" si="0"/>
        <v>6490.96</v>
      </c>
      <c r="D12" s="188">
        <v>208.692</v>
      </c>
      <c r="E12" s="217">
        <v>684.83</v>
      </c>
      <c r="F12" s="217">
        <v>0</v>
      </c>
      <c r="G12" s="218">
        <v>0</v>
      </c>
      <c r="H12" s="218">
        <v>0</v>
      </c>
      <c r="I12" s="218">
        <v>927.81</v>
      </c>
      <c r="J12" s="218">
        <v>0</v>
      </c>
      <c r="K12" s="218">
        <v>1544.16</v>
      </c>
      <c r="L12" s="218">
        <v>0</v>
      </c>
      <c r="M12" s="218">
        <v>2228.97</v>
      </c>
      <c r="N12" s="218">
        <v>0</v>
      </c>
      <c r="O12" s="219">
        <v>547.87</v>
      </c>
      <c r="P12" s="220">
        <v>0</v>
      </c>
      <c r="Q12" s="231">
        <v>0</v>
      </c>
      <c r="R12" s="231">
        <v>0</v>
      </c>
      <c r="S12" s="231">
        <v>0</v>
      </c>
      <c r="T12" s="218">
        <v>0</v>
      </c>
      <c r="U12" s="218">
        <f t="shared" si="1"/>
        <v>5933.64</v>
      </c>
      <c r="V12" s="232">
        <f t="shared" si="1"/>
        <v>0</v>
      </c>
      <c r="W12" s="233">
        <v>515.79</v>
      </c>
      <c r="X12" s="217">
        <v>0</v>
      </c>
      <c r="Y12" s="218">
        <v>698.74</v>
      </c>
      <c r="Z12" s="218">
        <v>1162.94</v>
      </c>
      <c r="AA12" s="218">
        <v>1678.74</v>
      </c>
      <c r="AB12" s="218">
        <v>412.66</v>
      </c>
      <c r="AC12" s="218">
        <v>0</v>
      </c>
      <c r="AD12" s="217">
        <v>0</v>
      </c>
      <c r="AE12" s="218">
        <v>0</v>
      </c>
      <c r="AF12" s="234">
        <f>SUM(W12:AE12)</f>
        <v>4468.87</v>
      </c>
      <c r="AG12" s="161">
        <f>AF12+V12+D12</f>
        <v>4677.562</v>
      </c>
      <c r="AH12" s="162">
        <f t="shared" si="2"/>
        <v>0</v>
      </c>
      <c r="AI12" s="162">
        <f t="shared" si="2"/>
        <v>0</v>
      </c>
      <c r="AJ12" s="190"/>
      <c r="AK12" s="164">
        <f t="shared" si="3"/>
        <v>502.76800000000003</v>
      </c>
      <c r="AL12" s="164">
        <f t="shared" si="4"/>
        <v>150.08</v>
      </c>
      <c r="AM12" s="164">
        <f t="shared" si="5"/>
        <v>750.4</v>
      </c>
      <c r="AN12" s="164">
        <f t="shared" si="6"/>
        <v>157.584</v>
      </c>
      <c r="AO12" s="164">
        <f t="shared" si="7"/>
        <v>1515.808</v>
      </c>
      <c r="AP12" s="164">
        <f t="shared" si="8"/>
        <v>772.912</v>
      </c>
      <c r="AQ12" s="164">
        <f t="shared" si="9"/>
        <v>562.8</v>
      </c>
      <c r="AR12" s="228">
        <f t="shared" si="10"/>
        <v>562.8</v>
      </c>
      <c r="AS12" s="164">
        <v>0</v>
      </c>
      <c r="AT12" s="164"/>
      <c r="AU12" s="191"/>
      <c r="AV12" s="195"/>
      <c r="AW12" s="191"/>
      <c r="AX12" s="191"/>
      <c r="AY12" s="164"/>
      <c r="AZ12" s="130"/>
      <c r="BA12" s="130"/>
      <c r="BB12" s="130">
        <f>BA12*0.18</f>
        <v>0</v>
      </c>
      <c r="BC12" s="130">
        <f t="shared" si="11"/>
        <v>4975.152000000001</v>
      </c>
      <c r="BD12" s="193"/>
      <c r="BE12" s="275">
        <f t="shared" si="12"/>
        <v>4975.152000000001</v>
      </c>
      <c r="BF12" s="275">
        <f t="shared" si="13"/>
        <v>-297.59000000000106</v>
      </c>
      <c r="BG12" s="130">
        <f t="shared" si="14"/>
        <v>-1464.7700000000004</v>
      </c>
    </row>
    <row r="13" spans="1:59" ht="12.75">
      <c r="A13" s="13" t="s">
        <v>48</v>
      </c>
      <c r="B13" s="201">
        <v>755.45</v>
      </c>
      <c r="C13" s="187">
        <f t="shared" si="0"/>
        <v>6534.642500000001</v>
      </c>
      <c r="D13" s="188">
        <v>208.692</v>
      </c>
      <c r="E13" s="203">
        <v>689.38</v>
      </c>
      <c r="F13" s="204">
        <v>0</v>
      </c>
      <c r="G13" s="205">
        <v>0</v>
      </c>
      <c r="H13" s="205">
        <v>0</v>
      </c>
      <c r="I13" s="205">
        <v>933.98</v>
      </c>
      <c r="J13" s="205">
        <v>0</v>
      </c>
      <c r="K13" s="205">
        <v>1554.4</v>
      </c>
      <c r="L13" s="205">
        <v>0</v>
      </c>
      <c r="M13" s="205">
        <v>2243.78</v>
      </c>
      <c r="N13" s="205">
        <v>0</v>
      </c>
      <c r="O13" s="206">
        <v>551.51</v>
      </c>
      <c r="P13" s="207">
        <v>0</v>
      </c>
      <c r="Q13" s="207">
        <v>0</v>
      </c>
      <c r="R13" s="207">
        <v>0</v>
      </c>
      <c r="S13" s="208">
        <v>0</v>
      </c>
      <c r="T13" s="209">
        <v>0</v>
      </c>
      <c r="U13" s="210">
        <f t="shared" si="1"/>
        <v>5973.050000000001</v>
      </c>
      <c r="V13" s="235">
        <f t="shared" si="1"/>
        <v>0</v>
      </c>
      <c r="W13" s="205">
        <v>292.12</v>
      </c>
      <c r="X13" s="204"/>
      <c r="Y13" s="205">
        <v>395.69</v>
      </c>
      <c r="Z13" s="205">
        <v>658.57</v>
      </c>
      <c r="AA13" s="205">
        <v>950.68</v>
      </c>
      <c r="AB13" s="204">
        <v>233.67</v>
      </c>
      <c r="AC13" s="205">
        <v>0</v>
      </c>
      <c r="AD13" s="204">
        <v>0</v>
      </c>
      <c r="AE13" s="204">
        <v>0</v>
      </c>
      <c r="AF13" s="211">
        <f>SUM(W13:AD13)</f>
        <v>2530.73</v>
      </c>
      <c r="AG13" s="236">
        <f>AF13+V13+D13</f>
        <v>2739.422</v>
      </c>
      <c r="AH13" s="237">
        <f t="shared" si="2"/>
        <v>0</v>
      </c>
      <c r="AI13" s="237">
        <f t="shared" si="2"/>
        <v>0</v>
      </c>
      <c r="AJ13" s="212"/>
      <c r="AK13" s="164">
        <f t="shared" si="3"/>
        <v>506.15150000000006</v>
      </c>
      <c r="AL13" s="164">
        <f t="shared" si="4"/>
        <v>151.09</v>
      </c>
      <c r="AM13" s="164">
        <f t="shared" si="5"/>
        <v>755.45</v>
      </c>
      <c r="AN13" s="164">
        <f t="shared" si="6"/>
        <v>158.6445</v>
      </c>
      <c r="AO13" s="164">
        <f t="shared" si="7"/>
        <v>1526.009</v>
      </c>
      <c r="AP13" s="164">
        <f t="shared" si="8"/>
        <v>778.1135</v>
      </c>
      <c r="AQ13" s="164">
        <f t="shared" si="9"/>
        <v>566.5875000000001</v>
      </c>
      <c r="AR13" s="164">
        <f t="shared" si="10"/>
        <v>566.5875000000001</v>
      </c>
      <c r="AS13" s="164"/>
      <c r="AT13" s="213"/>
      <c r="AU13" s="214"/>
      <c r="AV13" s="214"/>
      <c r="AW13" s="214"/>
      <c r="AX13" s="214">
        <f>15</f>
        <v>15</v>
      </c>
      <c r="AY13" s="164"/>
      <c r="AZ13" s="164"/>
      <c r="BA13" s="213"/>
      <c r="BB13" s="213"/>
      <c r="BC13" s="238">
        <f t="shared" si="11"/>
        <v>5023.6335</v>
      </c>
      <c r="BD13" s="215"/>
      <c r="BE13" s="275">
        <f t="shared" si="12"/>
        <v>5023.6335</v>
      </c>
      <c r="BF13" s="275">
        <f t="shared" si="13"/>
        <v>-2284.2115</v>
      </c>
      <c r="BG13" s="130">
        <f t="shared" si="14"/>
        <v>-3442.320000000001</v>
      </c>
    </row>
    <row r="14" spans="1:59" ht="12.75">
      <c r="A14" s="13" t="s">
        <v>49</v>
      </c>
      <c r="B14" s="165">
        <v>755.45</v>
      </c>
      <c r="C14" s="187">
        <f t="shared" si="0"/>
        <v>6534.642500000001</v>
      </c>
      <c r="D14" s="188">
        <v>208.692</v>
      </c>
      <c r="E14" s="239">
        <v>689.38</v>
      </c>
      <c r="F14" s="217">
        <v>0</v>
      </c>
      <c r="G14" s="218">
        <v>0</v>
      </c>
      <c r="H14" s="218">
        <v>0</v>
      </c>
      <c r="I14" s="218">
        <v>933.98</v>
      </c>
      <c r="J14" s="218">
        <v>0</v>
      </c>
      <c r="K14" s="218">
        <v>1554.39</v>
      </c>
      <c r="L14" s="218">
        <v>0</v>
      </c>
      <c r="M14" s="218">
        <v>2243.78</v>
      </c>
      <c r="N14" s="218">
        <v>0</v>
      </c>
      <c r="O14" s="219">
        <v>551.51</v>
      </c>
      <c r="P14" s="220">
        <v>0</v>
      </c>
      <c r="Q14" s="231">
        <v>0</v>
      </c>
      <c r="R14" s="240">
        <v>0</v>
      </c>
      <c r="S14" s="231">
        <v>0</v>
      </c>
      <c r="T14" s="217">
        <v>0</v>
      </c>
      <c r="U14" s="223">
        <f t="shared" si="1"/>
        <v>5973.040000000001</v>
      </c>
      <c r="V14" s="241">
        <f>F14+H14+J14+L14+N14++R14+T14</f>
        <v>0</v>
      </c>
      <c r="W14" s="218">
        <v>392.77</v>
      </c>
      <c r="X14" s="217">
        <v>0</v>
      </c>
      <c r="Y14" s="218">
        <v>532.08</v>
      </c>
      <c r="Z14" s="218">
        <v>885.54</v>
      </c>
      <c r="AA14" s="218">
        <v>1278.3</v>
      </c>
      <c r="AB14" s="218">
        <v>314.24</v>
      </c>
      <c r="AC14" s="218">
        <v>0</v>
      </c>
      <c r="AD14" s="217">
        <v>0</v>
      </c>
      <c r="AE14" s="227">
        <v>0</v>
      </c>
      <c r="AF14" s="242">
        <f>SUM(W14:AE14)</f>
        <v>3402.9299999999994</v>
      </c>
      <c r="AG14" s="236">
        <f aca="true" t="shared" si="15" ref="AG14:AG21">D14+V14+AF14</f>
        <v>3611.6219999999994</v>
      </c>
      <c r="AH14" s="243">
        <f t="shared" si="2"/>
        <v>0</v>
      </c>
      <c r="AI14" s="243">
        <f t="shared" si="2"/>
        <v>0</v>
      </c>
      <c r="AJ14" s="244"/>
      <c r="AK14" s="164">
        <f t="shared" si="3"/>
        <v>506.15150000000006</v>
      </c>
      <c r="AL14" s="164">
        <f t="shared" si="4"/>
        <v>151.09</v>
      </c>
      <c r="AM14" s="164">
        <f t="shared" si="5"/>
        <v>755.45</v>
      </c>
      <c r="AN14" s="164">
        <f t="shared" si="6"/>
        <v>158.6445</v>
      </c>
      <c r="AO14" s="164">
        <f t="shared" si="7"/>
        <v>1526.009</v>
      </c>
      <c r="AP14" s="164">
        <f t="shared" si="8"/>
        <v>778.1135</v>
      </c>
      <c r="AQ14" s="164">
        <f t="shared" si="9"/>
        <v>566.5875000000001</v>
      </c>
      <c r="AR14" s="228">
        <f t="shared" si="10"/>
        <v>566.5875000000001</v>
      </c>
      <c r="AS14" s="164"/>
      <c r="AT14" s="245"/>
      <c r="AU14" s="246"/>
      <c r="AV14" s="246"/>
      <c r="AW14" s="246"/>
      <c r="AX14" s="246"/>
      <c r="AY14" s="164"/>
      <c r="AZ14" s="164"/>
      <c r="BA14" s="245"/>
      <c r="BB14" s="245"/>
      <c r="BC14" s="231">
        <f t="shared" si="11"/>
        <v>5008.6335</v>
      </c>
      <c r="BD14" s="247"/>
      <c r="BE14" s="275">
        <f t="shared" si="12"/>
        <v>5008.6335</v>
      </c>
      <c r="BF14" s="275">
        <f t="shared" si="13"/>
        <v>-1397.0115000000005</v>
      </c>
      <c r="BG14" s="130">
        <f t="shared" si="14"/>
        <v>-2570.1100000000015</v>
      </c>
    </row>
    <row r="15" spans="1:59" ht="12.75">
      <c r="A15" s="13" t="s">
        <v>50</v>
      </c>
      <c r="B15" s="216">
        <v>755.45</v>
      </c>
      <c r="C15" s="133">
        <f t="shared" si="0"/>
        <v>6534.642500000001</v>
      </c>
      <c r="D15" s="188">
        <v>208.692</v>
      </c>
      <c r="E15" s="166">
        <v>689.38</v>
      </c>
      <c r="F15" s="166"/>
      <c r="G15" s="166">
        <v>0</v>
      </c>
      <c r="H15" s="166"/>
      <c r="I15" s="197">
        <v>933.98</v>
      </c>
      <c r="J15" s="197"/>
      <c r="K15" s="197">
        <v>1554.4</v>
      </c>
      <c r="L15" s="197"/>
      <c r="M15" s="197">
        <v>2243.78</v>
      </c>
      <c r="N15" s="197"/>
      <c r="O15" s="197">
        <v>551.51</v>
      </c>
      <c r="P15" s="197"/>
      <c r="Q15" s="197">
        <v>0</v>
      </c>
      <c r="R15" s="198"/>
      <c r="S15" s="198">
        <v>0</v>
      </c>
      <c r="T15" s="197"/>
      <c r="U15" s="199">
        <f t="shared" si="1"/>
        <v>5973.050000000001</v>
      </c>
      <c r="V15" s="200">
        <f t="shared" si="1"/>
        <v>0</v>
      </c>
      <c r="W15" s="168">
        <v>206.47</v>
      </c>
      <c r="X15" s="166">
        <v>0</v>
      </c>
      <c r="Y15" s="166">
        <v>279.54</v>
      </c>
      <c r="Z15" s="166">
        <v>465.32</v>
      </c>
      <c r="AA15" s="166">
        <v>671.79</v>
      </c>
      <c r="AB15" s="166">
        <v>165.16</v>
      </c>
      <c r="AC15" s="166">
        <v>0</v>
      </c>
      <c r="AD15" s="166">
        <v>0</v>
      </c>
      <c r="AE15" s="167">
        <v>0</v>
      </c>
      <c r="AF15" s="169">
        <f aca="true" t="shared" si="16" ref="AF15:AF21">SUM(W15:AE15)</f>
        <v>1788.28</v>
      </c>
      <c r="AG15" s="236">
        <f t="shared" si="15"/>
        <v>1996.972</v>
      </c>
      <c r="AH15" s="243">
        <f t="shared" si="2"/>
        <v>0</v>
      </c>
      <c r="AI15" s="243">
        <f t="shared" si="2"/>
        <v>0</v>
      </c>
      <c r="AJ15" s="244"/>
      <c r="AK15" s="228">
        <f t="shared" si="3"/>
        <v>506.15150000000006</v>
      </c>
      <c r="AL15" s="228">
        <f t="shared" si="4"/>
        <v>151.09</v>
      </c>
      <c r="AM15" s="228">
        <f t="shared" si="5"/>
        <v>755.45</v>
      </c>
      <c r="AN15" s="228">
        <f t="shared" si="6"/>
        <v>158.6445</v>
      </c>
      <c r="AO15" s="228">
        <f t="shared" si="7"/>
        <v>1526.009</v>
      </c>
      <c r="AP15" s="228">
        <f t="shared" si="8"/>
        <v>778.1135</v>
      </c>
      <c r="AQ15" s="228">
        <f t="shared" si="9"/>
        <v>566.5875000000001</v>
      </c>
      <c r="AR15" s="228">
        <f t="shared" si="10"/>
        <v>566.5875000000001</v>
      </c>
      <c r="AS15" s="228"/>
      <c r="AT15" s="245"/>
      <c r="AU15" s="246"/>
      <c r="AV15" s="246"/>
      <c r="AW15" s="246"/>
      <c r="AX15" s="246"/>
      <c r="AY15" s="228"/>
      <c r="AZ15" s="228"/>
      <c r="BA15" s="245"/>
      <c r="BB15" s="245"/>
      <c r="BC15" s="265">
        <f t="shared" si="11"/>
        <v>5008.6335</v>
      </c>
      <c r="BD15" s="247"/>
      <c r="BE15" s="275">
        <f t="shared" si="12"/>
        <v>5008.6335</v>
      </c>
      <c r="BF15" s="275">
        <f t="shared" si="13"/>
        <v>-3011.6615</v>
      </c>
      <c r="BG15" s="130">
        <f t="shared" si="14"/>
        <v>-4184.770000000001</v>
      </c>
    </row>
    <row r="16" spans="1:59" ht="12.75">
      <c r="A16" s="13" t="s">
        <v>51</v>
      </c>
      <c r="B16" s="194">
        <v>755.45</v>
      </c>
      <c r="C16" s="187">
        <f t="shared" si="0"/>
        <v>6534.642500000001</v>
      </c>
      <c r="D16" s="188">
        <v>208.692</v>
      </c>
      <c r="E16" s="248">
        <v>689.38</v>
      </c>
      <c r="F16" s="248"/>
      <c r="G16" s="248"/>
      <c r="H16" s="248"/>
      <c r="I16" s="248">
        <v>933.98</v>
      </c>
      <c r="J16" s="248"/>
      <c r="K16" s="248">
        <v>1554.4</v>
      </c>
      <c r="L16" s="248"/>
      <c r="M16" s="248">
        <v>2243.78</v>
      </c>
      <c r="N16" s="248"/>
      <c r="O16" s="248">
        <v>551.51</v>
      </c>
      <c r="P16" s="248"/>
      <c r="Q16" s="248"/>
      <c r="R16" s="248"/>
      <c r="S16" s="249"/>
      <c r="T16" s="250"/>
      <c r="U16" s="251">
        <f t="shared" si="1"/>
        <v>5973.050000000001</v>
      </c>
      <c r="V16" s="252">
        <f t="shared" si="1"/>
        <v>0</v>
      </c>
      <c r="W16" s="253">
        <v>440.98</v>
      </c>
      <c r="X16" s="254">
        <v>0</v>
      </c>
      <c r="Y16" s="254">
        <v>597.37</v>
      </c>
      <c r="Z16" s="254">
        <v>994.28</v>
      </c>
      <c r="AA16" s="254">
        <v>1435.25</v>
      </c>
      <c r="AB16" s="254">
        <v>352.8</v>
      </c>
      <c r="AC16" s="255"/>
      <c r="AD16" s="254"/>
      <c r="AE16" s="256"/>
      <c r="AF16" s="257">
        <f t="shared" si="16"/>
        <v>3820.6800000000003</v>
      </c>
      <c r="AG16" s="258">
        <f t="shared" si="15"/>
        <v>4029.3720000000003</v>
      </c>
      <c r="AH16" s="237">
        <f t="shared" si="2"/>
        <v>0</v>
      </c>
      <c r="AI16" s="237">
        <f t="shared" si="2"/>
        <v>0</v>
      </c>
      <c r="AJ16" s="212"/>
      <c r="AK16" s="164">
        <f t="shared" si="3"/>
        <v>506.15150000000006</v>
      </c>
      <c r="AL16" s="164">
        <f t="shared" si="4"/>
        <v>151.09</v>
      </c>
      <c r="AM16" s="164">
        <f t="shared" si="5"/>
        <v>755.45</v>
      </c>
      <c r="AN16" s="164">
        <f t="shared" si="6"/>
        <v>158.6445</v>
      </c>
      <c r="AO16" s="164">
        <f t="shared" si="7"/>
        <v>1526.009</v>
      </c>
      <c r="AP16" s="164">
        <f t="shared" si="8"/>
        <v>778.1135</v>
      </c>
      <c r="AQ16" s="164">
        <f t="shared" si="9"/>
        <v>566.5875000000001</v>
      </c>
      <c r="AR16" s="164">
        <f t="shared" si="10"/>
        <v>566.5875000000001</v>
      </c>
      <c r="AS16" s="164"/>
      <c r="AT16" s="213"/>
      <c r="AU16" s="214"/>
      <c r="AV16" s="214"/>
      <c r="AW16" s="214"/>
      <c r="AX16" s="214"/>
      <c r="AY16" s="164"/>
      <c r="AZ16" s="164"/>
      <c r="BA16" s="213"/>
      <c r="BB16" s="213"/>
      <c r="BC16" s="238">
        <f t="shared" si="11"/>
        <v>5008.6335</v>
      </c>
      <c r="BD16" s="215"/>
      <c r="BE16" s="275">
        <f t="shared" si="12"/>
        <v>5008.6335</v>
      </c>
      <c r="BF16" s="275">
        <f t="shared" si="13"/>
        <v>-979.2614999999996</v>
      </c>
      <c r="BG16" s="130">
        <f t="shared" si="14"/>
        <v>-2152.370000000001</v>
      </c>
    </row>
    <row r="17" spans="1:59" ht="12.75">
      <c r="A17" s="13" t="s">
        <v>52</v>
      </c>
      <c r="B17" s="194">
        <v>755.45</v>
      </c>
      <c r="C17" s="187">
        <f t="shared" si="0"/>
        <v>6534.642500000001</v>
      </c>
      <c r="D17" s="202">
        <v>168.3</v>
      </c>
      <c r="E17" s="254">
        <v>689.39</v>
      </c>
      <c r="F17" s="254"/>
      <c r="G17" s="254"/>
      <c r="H17" s="254"/>
      <c r="I17" s="254">
        <v>933.98</v>
      </c>
      <c r="J17" s="254"/>
      <c r="K17" s="254">
        <v>1554.4</v>
      </c>
      <c r="L17" s="254"/>
      <c r="M17" s="254">
        <v>2243.78</v>
      </c>
      <c r="N17" s="254"/>
      <c r="O17" s="254">
        <v>551.51</v>
      </c>
      <c r="P17" s="254"/>
      <c r="Q17" s="254"/>
      <c r="R17" s="254"/>
      <c r="S17" s="256"/>
      <c r="T17" s="259"/>
      <c r="U17" s="260">
        <f t="shared" si="1"/>
        <v>5973.06</v>
      </c>
      <c r="V17" s="261">
        <f t="shared" si="1"/>
        <v>0</v>
      </c>
      <c r="W17" s="254">
        <v>672.88</v>
      </c>
      <c r="X17" s="254">
        <v>0</v>
      </c>
      <c r="Y17" s="254">
        <v>911.59</v>
      </c>
      <c r="Z17" s="254">
        <v>1517.19</v>
      </c>
      <c r="AA17" s="254">
        <v>2189.53</v>
      </c>
      <c r="AB17" s="254">
        <v>538.18</v>
      </c>
      <c r="AC17" s="254"/>
      <c r="AD17" s="254"/>
      <c r="AE17" s="256"/>
      <c r="AF17" s="257">
        <f t="shared" si="16"/>
        <v>5829.370000000001</v>
      </c>
      <c r="AG17" s="258">
        <f t="shared" si="15"/>
        <v>5997.670000000001</v>
      </c>
      <c r="AH17" s="237">
        <f t="shared" si="2"/>
        <v>0</v>
      </c>
      <c r="AI17" s="237">
        <f t="shared" si="2"/>
        <v>0</v>
      </c>
      <c r="AJ17" s="212"/>
      <c r="AK17" s="164">
        <f t="shared" si="3"/>
        <v>506.15150000000006</v>
      </c>
      <c r="AL17" s="164">
        <f t="shared" si="4"/>
        <v>151.09</v>
      </c>
      <c r="AM17" s="164">
        <f t="shared" si="5"/>
        <v>755.45</v>
      </c>
      <c r="AN17" s="164">
        <f t="shared" si="6"/>
        <v>158.6445</v>
      </c>
      <c r="AO17" s="164">
        <f t="shared" si="7"/>
        <v>1526.009</v>
      </c>
      <c r="AP17" s="164">
        <f t="shared" si="8"/>
        <v>778.1135</v>
      </c>
      <c r="AQ17" s="164">
        <f t="shared" si="9"/>
        <v>566.5875000000001</v>
      </c>
      <c r="AR17" s="164">
        <f t="shared" si="10"/>
        <v>566.5875000000001</v>
      </c>
      <c r="AS17" s="164"/>
      <c r="AT17" s="213"/>
      <c r="AU17" s="214"/>
      <c r="AV17" s="214"/>
      <c r="AW17" s="214">
        <v>1485</v>
      </c>
      <c r="AX17" s="214">
        <f>40+4683</f>
        <v>4723</v>
      </c>
      <c r="AY17" s="164"/>
      <c r="AZ17" s="164"/>
      <c r="BA17" s="213"/>
      <c r="BB17" s="213"/>
      <c r="BC17" s="238">
        <f t="shared" si="11"/>
        <v>11216.6335</v>
      </c>
      <c r="BD17" s="215"/>
      <c r="BE17" s="275">
        <f t="shared" si="12"/>
        <v>11216.6335</v>
      </c>
      <c r="BF17" s="275">
        <f t="shared" si="13"/>
        <v>-5218.963499999999</v>
      </c>
      <c r="BG17" s="130">
        <f t="shared" si="14"/>
        <v>-143.6899999999996</v>
      </c>
    </row>
    <row r="18" spans="1:59" ht="12.75">
      <c r="A18" s="13" t="s">
        <v>53</v>
      </c>
      <c r="B18" s="216">
        <v>755.45</v>
      </c>
      <c r="C18" s="187">
        <f t="shared" si="0"/>
        <v>6534.642500000001</v>
      </c>
      <c r="D18" s="202">
        <v>168.3</v>
      </c>
      <c r="E18" s="248">
        <v>689.38</v>
      </c>
      <c r="F18" s="248"/>
      <c r="G18" s="248"/>
      <c r="H18" s="248"/>
      <c r="I18" s="248">
        <v>933.99</v>
      </c>
      <c r="J18" s="248"/>
      <c r="K18" s="248">
        <v>1554.42</v>
      </c>
      <c r="L18" s="248"/>
      <c r="M18" s="248">
        <v>2243.8</v>
      </c>
      <c r="N18" s="248"/>
      <c r="O18" s="248">
        <v>604.36</v>
      </c>
      <c r="P18" s="248"/>
      <c r="Q18" s="248"/>
      <c r="R18" s="248"/>
      <c r="S18" s="249"/>
      <c r="T18" s="262"/>
      <c r="U18" s="262">
        <f t="shared" si="1"/>
        <v>6025.95</v>
      </c>
      <c r="V18" s="263">
        <f t="shared" si="1"/>
        <v>0</v>
      </c>
      <c r="W18" s="248">
        <v>749.94</v>
      </c>
      <c r="X18" s="248">
        <v>0</v>
      </c>
      <c r="Y18" s="248">
        <v>1015.81</v>
      </c>
      <c r="Z18" s="248">
        <v>1690.75</v>
      </c>
      <c r="AA18" s="248">
        <v>2441.14</v>
      </c>
      <c r="AB18" s="248">
        <v>600.11</v>
      </c>
      <c r="AC18" s="248"/>
      <c r="AD18" s="248"/>
      <c r="AE18" s="249"/>
      <c r="AF18" s="257">
        <f t="shared" si="16"/>
        <v>6497.749999999999</v>
      </c>
      <c r="AG18" s="258">
        <f t="shared" si="15"/>
        <v>6666.049999999999</v>
      </c>
      <c r="AH18" s="237">
        <f t="shared" si="2"/>
        <v>0</v>
      </c>
      <c r="AI18" s="237">
        <f t="shared" si="2"/>
        <v>0</v>
      </c>
      <c r="AJ18" s="212"/>
      <c r="AK18" s="164">
        <f t="shared" si="3"/>
        <v>506.15150000000006</v>
      </c>
      <c r="AL18" s="164">
        <f t="shared" si="4"/>
        <v>151.09</v>
      </c>
      <c r="AM18" s="164">
        <f t="shared" si="5"/>
        <v>755.45</v>
      </c>
      <c r="AN18" s="164">
        <f t="shared" si="6"/>
        <v>158.6445</v>
      </c>
      <c r="AO18" s="164">
        <f t="shared" si="7"/>
        <v>1526.009</v>
      </c>
      <c r="AP18" s="164">
        <f t="shared" si="8"/>
        <v>778.1135</v>
      </c>
      <c r="AQ18" s="164">
        <f t="shared" si="9"/>
        <v>566.5875000000001</v>
      </c>
      <c r="AR18" s="164">
        <f t="shared" si="10"/>
        <v>566.5875000000001</v>
      </c>
      <c r="AS18" s="164"/>
      <c r="AT18" s="213"/>
      <c r="AU18" s="214"/>
      <c r="AV18" s="214"/>
      <c r="AW18" s="214"/>
      <c r="AX18" s="214"/>
      <c r="AY18" s="164"/>
      <c r="AZ18" s="164"/>
      <c r="BA18" s="213"/>
      <c r="BB18" s="213"/>
      <c r="BC18" s="238">
        <f t="shared" si="11"/>
        <v>5008.6335</v>
      </c>
      <c r="BD18" s="215"/>
      <c r="BE18" s="275">
        <f t="shared" si="12"/>
        <v>5008.6335</v>
      </c>
      <c r="BF18" s="275">
        <f t="shared" si="13"/>
        <v>1657.4164999999994</v>
      </c>
      <c r="BG18" s="130">
        <f t="shared" si="14"/>
        <v>471.7999999999993</v>
      </c>
    </row>
    <row r="19" spans="1:59" ht="12.75">
      <c r="A19" s="13" t="s">
        <v>41</v>
      </c>
      <c r="B19" s="216">
        <v>755.45</v>
      </c>
      <c r="C19" s="187">
        <f t="shared" si="0"/>
        <v>6534.642500000001</v>
      </c>
      <c r="D19" s="202">
        <v>168.3</v>
      </c>
      <c r="E19" s="166">
        <v>692.92</v>
      </c>
      <c r="F19" s="166"/>
      <c r="G19" s="166"/>
      <c r="H19" s="166"/>
      <c r="I19" s="166">
        <v>938.59</v>
      </c>
      <c r="J19" s="166"/>
      <c r="K19" s="166">
        <v>1562.19</v>
      </c>
      <c r="L19" s="166"/>
      <c r="M19" s="166">
        <v>2255.11</v>
      </c>
      <c r="N19" s="166"/>
      <c r="O19" s="166">
        <v>604.36</v>
      </c>
      <c r="P19" s="166"/>
      <c r="Q19" s="166"/>
      <c r="R19" s="166"/>
      <c r="S19" s="167"/>
      <c r="T19" s="266"/>
      <c r="U19" s="267">
        <f t="shared" si="1"/>
        <v>6053.169999999999</v>
      </c>
      <c r="V19" s="268">
        <f t="shared" si="1"/>
        <v>0</v>
      </c>
      <c r="W19" s="166">
        <v>634.77</v>
      </c>
      <c r="X19" s="166">
        <v>0</v>
      </c>
      <c r="Y19" s="166">
        <v>859.83</v>
      </c>
      <c r="Z19" s="166">
        <v>1431.08</v>
      </c>
      <c r="AA19" s="166">
        <v>2065.81</v>
      </c>
      <c r="AB19" s="166">
        <v>553.93</v>
      </c>
      <c r="AC19" s="166"/>
      <c r="AD19" s="166"/>
      <c r="AE19" s="167"/>
      <c r="AF19" s="257">
        <f t="shared" si="16"/>
        <v>5545.42</v>
      </c>
      <c r="AG19" s="258">
        <f t="shared" si="15"/>
        <v>5713.72</v>
      </c>
      <c r="AH19" s="237">
        <f t="shared" si="2"/>
        <v>0</v>
      </c>
      <c r="AI19" s="237">
        <f t="shared" si="2"/>
        <v>0</v>
      </c>
      <c r="AJ19" s="212"/>
      <c r="AK19" s="164">
        <f t="shared" si="3"/>
        <v>506.15150000000006</v>
      </c>
      <c r="AL19" s="164">
        <f t="shared" si="4"/>
        <v>151.09</v>
      </c>
      <c r="AM19" s="164">
        <f t="shared" si="5"/>
        <v>755.45</v>
      </c>
      <c r="AN19" s="164">
        <f t="shared" si="6"/>
        <v>158.6445</v>
      </c>
      <c r="AO19" s="164">
        <f t="shared" si="7"/>
        <v>1526.009</v>
      </c>
      <c r="AP19" s="164">
        <f t="shared" si="8"/>
        <v>778.1135</v>
      </c>
      <c r="AQ19" s="164">
        <f t="shared" si="9"/>
        <v>566.5875000000001</v>
      </c>
      <c r="AR19" s="164">
        <f t="shared" si="10"/>
        <v>566.5875000000001</v>
      </c>
      <c r="AS19" s="269">
        <f>B19*1.15</f>
        <v>868.7675</v>
      </c>
      <c r="AT19" s="213"/>
      <c r="AU19" s="214"/>
      <c r="AV19" s="214"/>
      <c r="AW19" s="214"/>
      <c r="AX19" s="214"/>
      <c r="AY19" s="164"/>
      <c r="AZ19" s="164"/>
      <c r="BA19" s="213"/>
      <c r="BB19" s="213"/>
      <c r="BC19" s="238">
        <f t="shared" si="11"/>
        <v>5877.401</v>
      </c>
      <c r="BD19" s="215"/>
      <c r="BE19" s="275">
        <f t="shared" si="12"/>
        <v>5877.401</v>
      </c>
      <c r="BF19" s="275">
        <f t="shared" si="13"/>
        <v>-163.68099999999959</v>
      </c>
      <c r="BG19" s="130">
        <f t="shared" si="14"/>
        <v>-507.7499999999991</v>
      </c>
    </row>
    <row r="20" spans="1:59" ht="12.75">
      <c r="A20" s="13" t="s">
        <v>42</v>
      </c>
      <c r="B20" s="270">
        <v>752.65</v>
      </c>
      <c r="C20" s="187">
        <f t="shared" si="0"/>
        <v>6510.4225</v>
      </c>
      <c r="D20" s="202">
        <v>168.3</v>
      </c>
      <c r="E20" s="166">
        <v>693.35</v>
      </c>
      <c r="F20" s="166"/>
      <c r="G20" s="166"/>
      <c r="H20" s="166"/>
      <c r="I20" s="166">
        <v>939.14</v>
      </c>
      <c r="J20" s="166"/>
      <c r="K20" s="166">
        <v>1563.13</v>
      </c>
      <c r="L20" s="166"/>
      <c r="M20" s="166">
        <v>2256.47</v>
      </c>
      <c r="N20" s="166"/>
      <c r="O20" s="166">
        <v>604.36</v>
      </c>
      <c r="P20" s="166"/>
      <c r="Q20" s="166"/>
      <c r="R20" s="166"/>
      <c r="S20" s="167"/>
      <c r="T20" s="266"/>
      <c r="U20" s="267">
        <f t="shared" si="1"/>
        <v>6056.45</v>
      </c>
      <c r="V20" s="268">
        <f t="shared" si="1"/>
        <v>0</v>
      </c>
      <c r="W20" s="166">
        <v>551.8</v>
      </c>
      <c r="X20" s="166">
        <v>0</v>
      </c>
      <c r="Y20" s="166">
        <v>747.66</v>
      </c>
      <c r="Z20" s="166">
        <v>1244.33</v>
      </c>
      <c r="AA20" s="166">
        <v>1796.15</v>
      </c>
      <c r="AB20" s="166">
        <v>484.94</v>
      </c>
      <c r="AC20" s="166"/>
      <c r="AD20" s="166"/>
      <c r="AE20" s="167"/>
      <c r="AF20" s="257">
        <f t="shared" si="16"/>
        <v>4824.88</v>
      </c>
      <c r="AG20" s="258">
        <f t="shared" si="15"/>
        <v>4993.18</v>
      </c>
      <c r="AH20" s="237">
        <f t="shared" si="2"/>
        <v>0</v>
      </c>
      <c r="AI20" s="237">
        <f t="shared" si="2"/>
        <v>0</v>
      </c>
      <c r="AJ20" s="212"/>
      <c r="AK20" s="164">
        <f t="shared" si="3"/>
        <v>504.2755</v>
      </c>
      <c r="AL20" s="164">
        <f t="shared" si="4"/>
        <v>150.53</v>
      </c>
      <c r="AM20" s="164">
        <f t="shared" si="5"/>
        <v>752.65</v>
      </c>
      <c r="AN20" s="164">
        <f t="shared" si="6"/>
        <v>158.0565</v>
      </c>
      <c r="AO20" s="164">
        <f t="shared" si="7"/>
        <v>1520.353</v>
      </c>
      <c r="AP20" s="164">
        <f t="shared" si="8"/>
        <v>775.2295</v>
      </c>
      <c r="AQ20" s="164">
        <f t="shared" si="9"/>
        <v>564.4875</v>
      </c>
      <c r="AR20" s="164">
        <f t="shared" si="10"/>
        <v>564.4875</v>
      </c>
      <c r="AS20" s="269">
        <f>B20*1.15</f>
        <v>865.5474999999999</v>
      </c>
      <c r="AT20" s="213"/>
      <c r="AU20" s="214">
        <v>1314</v>
      </c>
      <c r="AV20" s="214"/>
      <c r="AW20" s="214"/>
      <c r="AX20" s="214">
        <f>463</f>
        <v>463</v>
      </c>
      <c r="AY20" s="164"/>
      <c r="AZ20" s="164"/>
      <c r="BA20" s="213"/>
      <c r="BB20" s="213"/>
      <c r="BC20" s="238">
        <f t="shared" si="11"/>
        <v>7632.616999999999</v>
      </c>
      <c r="BD20" s="215"/>
      <c r="BE20" s="275">
        <f t="shared" si="12"/>
        <v>7632.616999999999</v>
      </c>
      <c r="BF20" s="275">
        <f t="shared" si="13"/>
        <v>-2639.436999999999</v>
      </c>
      <c r="BG20" s="130">
        <f t="shared" si="14"/>
        <v>-1231.5699999999997</v>
      </c>
    </row>
    <row r="21" spans="1:59" ht="13.5" thickBot="1">
      <c r="A21" s="13" t="s">
        <v>43</v>
      </c>
      <c r="B21" s="216">
        <v>752.65</v>
      </c>
      <c r="C21" s="187">
        <f t="shared" si="0"/>
        <v>6510.4225</v>
      </c>
      <c r="D21" s="202">
        <v>168.3</v>
      </c>
      <c r="E21" s="272">
        <v>678.36</v>
      </c>
      <c r="F21" s="272"/>
      <c r="G21" s="272"/>
      <c r="H21" s="272"/>
      <c r="I21" s="272">
        <v>919.11</v>
      </c>
      <c r="J21" s="272"/>
      <c r="K21" s="272">
        <v>1529.62</v>
      </c>
      <c r="L21" s="272"/>
      <c r="M21" s="272">
        <v>2207.98</v>
      </c>
      <c r="N21" s="272"/>
      <c r="O21" s="272">
        <v>595.4</v>
      </c>
      <c r="P21" s="272"/>
      <c r="Q21" s="272"/>
      <c r="R21" s="272"/>
      <c r="S21" s="273"/>
      <c r="T21" s="274"/>
      <c r="U21" s="267">
        <f t="shared" si="1"/>
        <v>5930.469999999999</v>
      </c>
      <c r="V21" s="268">
        <f t="shared" si="1"/>
        <v>0</v>
      </c>
      <c r="W21" s="166">
        <v>618.88</v>
      </c>
      <c r="X21" s="166">
        <v>0</v>
      </c>
      <c r="Y21" s="166">
        <v>838.34</v>
      </c>
      <c r="Z21" s="166">
        <v>1395.26</v>
      </c>
      <c r="AA21" s="166">
        <v>2014.17</v>
      </c>
      <c r="AB21" s="166">
        <v>539.84</v>
      </c>
      <c r="AC21" s="166"/>
      <c r="AD21" s="166"/>
      <c r="AE21" s="167"/>
      <c r="AF21" s="257">
        <f t="shared" si="16"/>
        <v>5406.49</v>
      </c>
      <c r="AG21" s="258">
        <f t="shared" si="15"/>
        <v>5574.79</v>
      </c>
      <c r="AH21" s="237">
        <f t="shared" si="2"/>
        <v>0</v>
      </c>
      <c r="AI21" s="237">
        <f t="shared" si="2"/>
        <v>0</v>
      </c>
      <c r="AJ21" s="212"/>
      <c r="AK21" s="164">
        <f t="shared" si="3"/>
        <v>504.2755</v>
      </c>
      <c r="AL21" s="164">
        <f t="shared" si="4"/>
        <v>150.53</v>
      </c>
      <c r="AM21" s="164">
        <f t="shared" si="5"/>
        <v>752.65</v>
      </c>
      <c r="AN21" s="164">
        <f t="shared" si="6"/>
        <v>158.0565</v>
      </c>
      <c r="AO21" s="164">
        <f t="shared" si="7"/>
        <v>1520.353</v>
      </c>
      <c r="AP21" s="164">
        <f t="shared" si="8"/>
        <v>775.2295</v>
      </c>
      <c r="AQ21" s="164">
        <f t="shared" si="9"/>
        <v>564.4875</v>
      </c>
      <c r="AR21" s="164">
        <f t="shared" si="10"/>
        <v>564.4875</v>
      </c>
      <c r="AS21" s="269">
        <f>B21*1.15</f>
        <v>865.5474999999999</v>
      </c>
      <c r="AT21" s="213"/>
      <c r="AU21" s="214"/>
      <c r="AV21" s="214"/>
      <c r="AW21" s="214"/>
      <c r="AX21" s="214"/>
      <c r="AY21" s="164"/>
      <c r="AZ21" s="164"/>
      <c r="BA21" s="213"/>
      <c r="BB21" s="213"/>
      <c r="BC21" s="238">
        <f t="shared" si="11"/>
        <v>5855.616999999999</v>
      </c>
      <c r="BD21" s="215"/>
      <c r="BE21" s="275">
        <f t="shared" si="12"/>
        <v>5855.616999999999</v>
      </c>
      <c r="BF21" s="275">
        <f t="shared" si="13"/>
        <v>-280.8269999999993</v>
      </c>
      <c r="BG21" s="130">
        <f t="shared" si="14"/>
        <v>-523.9799999999996</v>
      </c>
    </row>
    <row r="22" spans="1:59" s="28" customFormat="1" ht="13.5" thickBot="1">
      <c r="A22" s="170" t="s">
        <v>5</v>
      </c>
      <c r="B22" s="171"/>
      <c r="C22" s="172">
        <f aca="true" t="shared" si="17" ref="C22:BF22">SUM(C10:C21)</f>
        <v>78236.2225</v>
      </c>
      <c r="D22" s="172">
        <f t="shared" si="17"/>
        <v>2302.344</v>
      </c>
      <c r="E22" s="172">
        <f t="shared" si="17"/>
        <v>8251.44</v>
      </c>
      <c r="F22" s="172">
        <f t="shared" si="17"/>
        <v>0</v>
      </c>
      <c r="G22" s="172">
        <f t="shared" si="17"/>
        <v>0</v>
      </c>
      <c r="H22" s="172">
        <f t="shared" si="17"/>
        <v>0</v>
      </c>
      <c r="I22" s="172">
        <f t="shared" si="17"/>
        <v>11178.929999999998</v>
      </c>
      <c r="J22" s="172">
        <f t="shared" si="17"/>
        <v>0</v>
      </c>
      <c r="K22" s="172">
        <f t="shared" si="17"/>
        <v>18604.99</v>
      </c>
      <c r="L22" s="172">
        <f t="shared" si="17"/>
        <v>0</v>
      </c>
      <c r="M22" s="172">
        <f t="shared" si="17"/>
        <v>26856.4</v>
      </c>
      <c r="N22" s="172">
        <f t="shared" si="17"/>
        <v>0</v>
      </c>
      <c r="O22" s="172">
        <f t="shared" si="17"/>
        <v>6806.45</v>
      </c>
      <c r="P22" s="172">
        <f t="shared" si="17"/>
        <v>0</v>
      </c>
      <c r="Q22" s="172">
        <f t="shared" si="17"/>
        <v>0</v>
      </c>
      <c r="R22" s="172">
        <f t="shared" si="17"/>
        <v>0</v>
      </c>
      <c r="S22" s="172">
        <f t="shared" si="17"/>
        <v>0</v>
      </c>
      <c r="T22" s="172">
        <f t="shared" si="17"/>
        <v>0</v>
      </c>
      <c r="U22" s="172">
        <f t="shared" si="17"/>
        <v>71698.21</v>
      </c>
      <c r="V22" s="172">
        <f t="shared" si="17"/>
        <v>0</v>
      </c>
      <c r="W22" s="172">
        <f t="shared" si="17"/>
        <v>5742.21</v>
      </c>
      <c r="X22" s="172">
        <f t="shared" si="17"/>
        <v>0</v>
      </c>
      <c r="Y22" s="172">
        <f t="shared" si="17"/>
        <v>7778.639999999999</v>
      </c>
      <c r="Z22" s="172">
        <f t="shared" si="17"/>
        <v>12946.5</v>
      </c>
      <c r="AA22" s="172">
        <f t="shared" si="17"/>
        <v>18688.64</v>
      </c>
      <c r="AB22" s="172">
        <f t="shared" si="17"/>
        <v>4728.2</v>
      </c>
      <c r="AC22" s="172">
        <f t="shared" si="17"/>
        <v>0</v>
      </c>
      <c r="AD22" s="172">
        <f t="shared" si="17"/>
        <v>0</v>
      </c>
      <c r="AE22" s="172">
        <f t="shared" si="17"/>
        <v>0</v>
      </c>
      <c r="AF22" s="172">
        <f t="shared" si="17"/>
        <v>49884.189999999995</v>
      </c>
      <c r="AG22" s="172">
        <f t="shared" si="17"/>
        <v>52186.534</v>
      </c>
      <c r="AH22" s="172">
        <f t="shared" si="17"/>
        <v>0</v>
      </c>
      <c r="AI22" s="172">
        <f t="shared" si="17"/>
        <v>0</v>
      </c>
      <c r="AJ22" s="172">
        <f t="shared" si="17"/>
        <v>0</v>
      </c>
      <c r="AK22" s="172">
        <f t="shared" si="17"/>
        <v>6059.915499999999</v>
      </c>
      <c r="AL22" s="172">
        <f t="shared" si="17"/>
        <v>1808.9299999999998</v>
      </c>
      <c r="AM22" s="172">
        <f t="shared" si="17"/>
        <v>9044.649999999998</v>
      </c>
      <c r="AN22" s="172">
        <f t="shared" si="17"/>
        <v>1899.3764999999994</v>
      </c>
      <c r="AO22" s="172">
        <f t="shared" si="17"/>
        <v>18270.193</v>
      </c>
      <c r="AP22" s="172">
        <f t="shared" si="17"/>
        <v>9315.989500000001</v>
      </c>
      <c r="AQ22" s="172">
        <f t="shared" si="17"/>
        <v>6783.487500000001</v>
      </c>
      <c r="AR22" s="172">
        <f t="shared" si="17"/>
        <v>6783.487500000001</v>
      </c>
      <c r="AS22" s="172">
        <f t="shared" si="17"/>
        <v>2599.8625</v>
      </c>
      <c r="AT22" s="172">
        <f t="shared" si="17"/>
        <v>0</v>
      </c>
      <c r="AU22" s="172">
        <f t="shared" si="17"/>
        <v>1314</v>
      </c>
      <c r="AV22" s="172">
        <f t="shared" si="17"/>
        <v>353</v>
      </c>
      <c r="AW22" s="172">
        <f t="shared" si="17"/>
        <v>2396</v>
      </c>
      <c r="AX22" s="172">
        <f t="shared" si="17"/>
        <v>6234.84</v>
      </c>
      <c r="AY22" s="172">
        <f t="shared" si="17"/>
        <v>0</v>
      </c>
      <c r="AZ22" s="172">
        <f t="shared" si="17"/>
        <v>0</v>
      </c>
      <c r="BA22" s="172">
        <f t="shared" si="17"/>
        <v>0</v>
      </c>
      <c r="BB22" s="172">
        <f t="shared" si="17"/>
        <v>0</v>
      </c>
      <c r="BC22" s="172">
        <f t="shared" si="17"/>
        <v>72863.73199999999</v>
      </c>
      <c r="BD22" s="172">
        <f t="shared" si="17"/>
        <v>0</v>
      </c>
      <c r="BE22" s="172">
        <f t="shared" si="17"/>
        <v>72863.73199999999</v>
      </c>
      <c r="BF22" s="172">
        <f t="shared" si="17"/>
        <v>-20677.197999999997</v>
      </c>
      <c r="BG22" s="172">
        <f>SUM(BG10:BG21)</f>
        <v>-21814.02</v>
      </c>
    </row>
    <row r="23" spans="1:59" s="28" customFormat="1" ht="13.5" thickBot="1">
      <c r="A23" s="173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5"/>
      <c r="BF23" s="174"/>
      <c r="BG23" s="176"/>
    </row>
    <row r="24" spans="1:59" s="28" customFormat="1" ht="13.5" thickBot="1">
      <c r="A24" s="33" t="s">
        <v>54</v>
      </c>
      <c r="B24" s="174"/>
      <c r="C24" s="177">
        <f aca="true" t="shared" si="18" ref="C24:AD24">C22+C8</f>
        <v>253616.70250000004</v>
      </c>
      <c r="D24" s="177">
        <f t="shared" si="18"/>
        <v>72391.315128</v>
      </c>
      <c r="E24" s="177">
        <f t="shared" si="18"/>
        <v>24767.450000000004</v>
      </c>
      <c r="F24" s="177">
        <f t="shared" si="18"/>
        <v>1352.01</v>
      </c>
      <c r="G24" s="177">
        <f t="shared" si="18"/>
        <v>0</v>
      </c>
      <c r="H24" s="177">
        <f t="shared" si="18"/>
        <v>0</v>
      </c>
      <c r="I24" s="177">
        <f t="shared" si="18"/>
        <v>33540.82</v>
      </c>
      <c r="J24" s="177">
        <f t="shared" si="18"/>
        <v>1748.9</v>
      </c>
      <c r="K24" s="177">
        <f t="shared" si="18"/>
        <v>55828.03</v>
      </c>
      <c r="L24" s="177">
        <f t="shared" si="18"/>
        <v>3046.9299999999994</v>
      </c>
      <c r="M24" s="177">
        <f t="shared" si="18"/>
        <v>80598.47</v>
      </c>
      <c r="N24" s="177">
        <f t="shared" si="18"/>
        <v>4398.66</v>
      </c>
      <c r="O24" s="177">
        <f t="shared" si="18"/>
        <v>20019.31</v>
      </c>
      <c r="P24" s="177">
        <f t="shared" si="18"/>
        <v>1081.34</v>
      </c>
      <c r="Q24" s="177">
        <f t="shared" si="18"/>
        <v>0</v>
      </c>
      <c r="R24" s="177">
        <f t="shared" si="18"/>
        <v>0</v>
      </c>
      <c r="S24" s="177">
        <f t="shared" si="18"/>
        <v>0</v>
      </c>
      <c r="T24" s="177">
        <f t="shared" si="18"/>
        <v>0</v>
      </c>
      <c r="U24" s="177">
        <f t="shared" si="18"/>
        <v>214754.08000000002</v>
      </c>
      <c r="V24" s="177">
        <f t="shared" si="18"/>
        <v>11627.840000000002</v>
      </c>
      <c r="W24" s="177">
        <f t="shared" si="18"/>
        <v>16000.39</v>
      </c>
      <c r="X24" s="177">
        <f t="shared" si="18"/>
        <v>0</v>
      </c>
      <c r="Y24" s="177">
        <f t="shared" si="18"/>
        <v>21662.979999999996</v>
      </c>
      <c r="Z24" s="177">
        <f t="shared" si="18"/>
        <v>36062.64</v>
      </c>
      <c r="AA24" s="177">
        <f t="shared" si="18"/>
        <v>52063.09</v>
      </c>
      <c r="AB24" s="177">
        <f t="shared" si="18"/>
        <v>12934.780000000002</v>
      </c>
      <c r="AC24" s="177">
        <f t="shared" si="18"/>
        <v>0</v>
      </c>
      <c r="AD24" s="177">
        <f t="shared" si="18"/>
        <v>0</v>
      </c>
      <c r="AE24" s="177">
        <f>AE22+AF8</f>
        <v>88839.69</v>
      </c>
      <c r="AF24" s="177">
        <f>AF22+AG8</f>
        <v>220440.691128</v>
      </c>
      <c r="AG24" s="177">
        <f aca="true" t="shared" si="19" ref="AG24:AQ24">AG22+AG8</f>
        <v>222743.03512800002</v>
      </c>
      <c r="AH24" s="177">
        <f t="shared" si="19"/>
        <v>0</v>
      </c>
      <c r="AI24" s="177">
        <f t="shared" si="19"/>
        <v>0</v>
      </c>
      <c r="AJ24" s="177">
        <f t="shared" si="19"/>
        <v>0</v>
      </c>
      <c r="AK24" s="177">
        <f t="shared" si="19"/>
        <v>18044.555499999995</v>
      </c>
      <c r="AL24" s="177">
        <f t="shared" si="19"/>
        <v>5824.8021568</v>
      </c>
      <c r="AM24" s="177">
        <f t="shared" si="19"/>
        <v>28939.518549359997</v>
      </c>
      <c r="AN24" s="177">
        <f t="shared" si="19"/>
        <v>1899.3764999999994</v>
      </c>
      <c r="AO24" s="177">
        <f t="shared" si="19"/>
        <v>38114.3013566176</v>
      </c>
      <c r="AP24" s="177">
        <f t="shared" si="19"/>
        <v>53707.06150422401</v>
      </c>
      <c r="AQ24" s="177">
        <f t="shared" si="19"/>
        <v>6783.487500000001</v>
      </c>
      <c r="AR24" s="177"/>
      <c r="AS24" s="177">
        <f aca="true" t="shared" si="20" ref="AS24:BG24">AS22+AS8</f>
        <v>2599.8625</v>
      </c>
      <c r="AT24" s="177">
        <f t="shared" si="20"/>
        <v>0</v>
      </c>
      <c r="AU24" s="177">
        <f t="shared" si="20"/>
        <v>4464.5626</v>
      </c>
      <c r="AV24" s="177">
        <f t="shared" si="20"/>
        <v>353</v>
      </c>
      <c r="AW24" s="177">
        <f t="shared" si="20"/>
        <v>52589.56</v>
      </c>
      <c r="AX24" s="177">
        <f t="shared" si="20"/>
        <v>6234.84</v>
      </c>
      <c r="AY24" s="177">
        <f t="shared" si="20"/>
        <v>3592.5119999999997</v>
      </c>
      <c r="AZ24" s="177">
        <f t="shared" si="20"/>
        <v>0</v>
      </c>
      <c r="BA24" s="177">
        <f t="shared" si="20"/>
        <v>0</v>
      </c>
      <c r="BB24" s="177">
        <f t="shared" si="20"/>
        <v>0</v>
      </c>
      <c r="BC24" s="177">
        <f t="shared" si="20"/>
        <v>229930.92766700158</v>
      </c>
      <c r="BD24" s="177">
        <f t="shared" si="20"/>
        <v>0</v>
      </c>
      <c r="BE24" s="178">
        <f t="shared" si="20"/>
        <v>229930.92766700158</v>
      </c>
      <c r="BF24" s="177">
        <f t="shared" si="20"/>
        <v>-7187.892539001579</v>
      </c>
      <c r="BG24" s="179">
        <f t="shared" si="20"/>
        <v>-76030.2</v>
      </c>
    </row>
    <row r="25" spans="1:59" ht="12.75">
      <c r="A25" s="5" t="s">
        <v>122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159"/>
      <c r="BF25" s="157">
        <f>'[1]Лист1'!BC59</f>
        <v>0</v>
      </c>
      <c r="BG25" s="158">
        <f>AF25-U25</f>
        <v>0</v>
      </c>
    </row>
    <row r="26" spans="1:60" ht="12.75">
      <c r="A26" s="13" t="s">
        <v>45</v>
      </c>
      <c r="B26" s="216">
        <v>752.65</v>
      </c>
      <c r="C26" s="187">
        <f aca="true" t="shared" si="21" ref="C26:C37">B26*8.65</f>
        <v>6510.4225</v>
      </c>
      <c r="D26" s="271">
        <v>168.3</v>
      </c>
      <c r="E26" s="166">
        <v>686.76</v>
      </c>
      <c r="F26" s="166"/>
      <c r="G26" s="166"/>
      <c r="H26" s="166"/>
      <c r="I26" s="166">
        <v>930.45</v>
      </c>
      <c r="J26" s="166"/>
      <c r="K26" s="166">
        <v>1548.52</v>
      </c>
      <c r="L26" s="166"/>
      <c r="M26" s="166">
        <v>2235.28</v>
      </c>
      <c r="N26" s="166"/>
      <c r="O26" s="166">
        <v>602.12</v>
      </c>
      <c r="P26" s="166"/>
      <c r="Q26" s="166"/>
      <c r="R26" s="166"/>
      <c r="S26" s="167"/>
      <c r="T26" s="274"/>
      <c r="U26" s="267">
        <f aca="true" t="shared" si="22" ref="U26:V31">E26+G26+I26+K26+M26+O26+Q26+S26</f>
        <v>6003.13</v>
      </c>
      <c r="V26" s="268">
        <f t="shared" si="22"/>
        <v>0</v>
      </c>
      <c r="W26" s="166">
        <v>425.57</v>
      </c>
      <c r="X26" s="166">
        <v>0</v>
      </c>
      <c r="Y26" s="166">
        <v>576.67</v>
      </c>
      <c r="Z26" s="166">
        <v>959.67</v>
      </c>
      <c r="AA26" s="166">
        <v>1385.23</v>
      </c>
      <c r="AB26" s="166">
        <v>374.97</v>
      </c>
      <c r="AC26" s="166"/>
      <c r="AD26" s="166"/>
      <c r="AE26" s="167"/>
      <c r="AF26" s="257">
        <f aca="true" t="shared" si="23" ref="AF26:AF31">SUM(W26:AE26)</f>
        <v>3722.1099999999997</v>
      </c>
      <c r="AG26" s="258">
        <f aca="true" t="shared" si="24" ref="AG26:AG37">D26+V26+AF26</f>
        <v>3890.41</v>
      </c>
      <c r="AH26" s="237">
        <f aca="true" t="shared" si="25" ref="AH26:AI37">AC26</f>
        <v>0</v>
      </c>
      <c r="AI26" s="237">
        <f t="shared" si="25"/>
        <v>0</v>
      </c>
      <c r="AJ26" s="212"/>
      <c r="AK26" s="228">
        <f aca="true" t="shared" si="26" ref="AK26:AK31">0.67*B26</f>
        <v>504.2755</v>
      </c>
      <c r="AL26" s="164">
        <f aca="true" t="shared" si="27" ref="AL26:AL37">B26*0.2</f>
        <v>150.53</v>
      </c>
      <c r="AM26" s="164">
        <f aca="true" t="shared" si="28" ref="AM26:AM37">B26*1</f>
        <v>752.65</v>
      </c>
      <c r="AN26" s="164">
        <f aca="true" t="shared" si="29" ref="AN26:AN37">B26*0.21</f>
        <v>158.0565</v>
      </c>
      <c r="AO26" s="164">
        <f aca="true" t="shared" si="30" ref="AO26:AO37">2.02*B26</f>
        <v>1520.353</v>
      </c>
      <c r="AP26" s="164">
        <f aca="true" t="shared" si="31" ref="AP26:AP37">B26*1.03</f>
        <v>775.2295</v>
      </c>
      <c r="AQ26" s="164">
        <f aca="true" t="shared" si="32" ref="AQ26:AQ37">B26*0.75</f>
        <v>564.4875</v>
      </c>
      <c r="AR26" s="164">
        <f aca="true" t="shared" si="33" ref="AR26:AR37">B26*0.75</f>
        <v>564.4875</v>
      </c>
      <c r="AS26" s="269">
        <f>B26*1.15</f>
        <v>865.5474999999999</v>
      </c>
      <c r="AT26" s="213"/>
      <c r="AU26" s="214"/>
      <c r="AV26" s="214"/>
      <c r="AW26" s="214"/>
      <c r="AX26" s="214"/>
      <c r="AY26" s="214"/>
      <c r="AZ26" s="214"/>
      <c r="BA26" s="164"/>
      <c r="BB26" s="213"/>
      <c r="BC26" s="265">
        <f aca="true" t="shared" si="34" ref="BC26:BC37">SUM(AK26:BB26)</f>
        <v>5855.616999999999</v>
      </c>
      <c r="BD26" s="215"/>
      <c r="BE26" s="275">
        <f>BC26</f>
        <v>5855.616999999999</v>
      </c>
      <c r="BF26" s="275">
        <f>AG26-BE26</f>
        <v>-1965.2069999999994</v>
      </c>
      <c r="BG26" s="130">
        <f>AF26-U26</f>
        <v>-2281.0200000000004</v>
      </c>
      <c r="BH26" s="163"/>
    </row>
    <row r="27" spans="1:59" ht="12.75">
      <c r="A27" s="13" t="s">
        <v>46</v>
      </c>
      <c r="B27" s="216">
        <v>752.65</v>
      </c>
      <c r="C27" s="187">
        <f t="shared" si="21"/>
        <v>6510.4225</v>
      </c>
      <c r="D27" s="271">
        <v>168.3</v>
      </c>
      <c r="E27" s="248">
        <v>686.3</v>
      </c>
      <c r="F27" s="248"/>
      <c r="G27" s="248"/>
      <c r="H27" s="248"/>
      <c r="I27" s="248">
        <v>929.85</v>
      </c>
      <c r="J27" s="248"/>
      <c r="K27" s="248">
        <v>1547.49</v>
      </c>
      <c r="L27" s="248"/>
      <c r="M27" s="248">
        <v>2233.8</v>
      </c>
      <c r="N27" s="248"/>
      <c r="O27" s="248">
        <v>602.12</v>
      </c>
      <c r="P27" s="248"/>
      <c r="Q27" s="248"/>
      <c r="R27" s="248"/>
      <c r="S27" s="249"/>
      <c r="T27" s="274"/>
      <c r="U27" s="267">
        <f t="shared" si="22"/>
        <v>5999.56</v>
      </c>
      <c r="V27" s="268">
        <f t="shared" si="22"/>
        <v>0</v>
      </c>
      <c r="W27" s="248">
        <v>517.53</v>
      </c>
      <c r="X27" s="248">
        <v>0</v>
      </c>
      <c r="Y27" s="248">
        <v>701.02</v>
      </c>
      <c r="Z27" s="248">
        <v>1166.83</v>
      </c>
      <c r="AA27" s="248">
        <v>1684.33</v>
      </c>
      <c r="AB27" s="248">
        <v>451.29</v>
      </c>
      <c r="AC27" s="248"/>
      <c r="AD27" s="248"/>
      <c r="AE27" s="249"/>
      <c r="AF27" s="257">
        <f t="shared" si="23"/>
        <v>4521</v>
      </c>
      <c r="AG27" s="258">
        <f t="shared" si="24"/>
        <v>4689.3</v>
      </c>
      <c r="AH27" s="237">
        <f t="shared" si="25"/>
        <v>0</v>
      </c>
      <c r="AI27" s="237">
        <f t="shared" si="25"/>
        <v>0</v>
      </c>
      <c r="AJ27" s="212"/>
      <c r="AK27" s="205">
        <f t="shared" si="26"/>
        <v>504.2755</v>
      </c>
      <c r="AL27" s="164">
        <f t="shared" si="27"/>
        <v>150.53</v>
      </c>
      <c r="AM27" s="164">
        <f t="shared" si="28"/>
        <v>752.65</v>
      </c>
      <c r="AN27" s="164">
        <f t="shared" si="29"/>
        <v>158.0565</v>
      </c>
      <c r="AO27" s="164">
        <f t="shared" si="30"/>
        <v>1520.353</v>
      </c>
      <c r="AP27" s="164">
        <f t="shared" si="31"/>
        <v>775.2295</v>
      </c>
      <c r="AQ27" s="164">
        <f t="shared" si="32"/>
        <v>564.4875</v>
      </c>
      <c r="AR27" s="164">
        <f t="shared" si="33"/>
        <v>564.4875</v>
      </c>
      <c r="AS27" s="269">
        <f>B27*1.15</f>
        <v>865.5474999999999</v>
      </c>
      <c r="AT27" s="213"/>
      <c r="AU27" s="214"/>
      <c r="AV27" s="214"/>
      <c r="AW27" s="214"/>
      <c r="AX27" s="214"/>
      <c r="AY27" s="214"/>
      <c r="AZ27" s="214"/>
      <c r="BA27" s="164"/>
      <c r="BB27" s="213"/>
      <c r="BC27" s="238">
        <f t="shared" si="34"/>
        <v>5855.616999999999</v>
      </c>
      <c r="BD27" s="215"/>
      <c r="BE27" s="275">
        <f aca="true" t="shared" si="35" ref="BE27:BE37">BC27</f>
        <v>5855.616999999999</v>
      </c>
      <c r="BF27" s="275">
        <f aca="true" t="shared" si="36" ref="BF27:BF37">AG27-BE27</f>
        <v>-1166.316999999999</v>
      </c>
      <c r="BG27" s="130">
        <f aca="true" t="shared" si="37" ref="BG27:BG37">AF27-U27</f>
        <v>-1478.5600000000004</v>
      </c>
    </row>
    <row r="28" spans="1:59" ht="12.75">
      <c r="A28" s="13" t="s">
        <v>47</v>
      </c>
      <c r="B28" s="216">
        <v>752.65</v>
      </c>
      <c r="C28" s="187">
        <f t="shared" si="21"/>
        <v>6510.4225</v>
      </c>
      <c r="D28" s="271">
        <v>168.3</v>
      </c>
      <c r="E28" s="248">
        <v>686.83</v>
      </c>
      <c r="F28" s="248"/>
      <c r="G28" s="248"/>
      <c r="H28" s="248"/>
      <c r="I28" s="248">
        <v>930.53</v>
      </c>
      <c r="J28" s="248"/>
      <c r="K28" s="248">
        <v>1548.67</v>
      </c>
      <c r="L28" s="248"/>
      <c r="M28" s="248">
        <v>2235.5</v>
      </c>
      <c r="N28" s="248"/>
      <c r="O28" s="248">
        <v>602.12</v>
      </c>
      <c r="P28" s="248"/>
      <c r="Q28" s="248"/>
      <c r="R28" s="248"/>
      <c r="S28" s="249"/>
      <c r="T28" s="274"/>
      <c r="U28" s="267">
        <f t="shared" si="22"/>
        <v>6003.650000000001</v>
      </c>
      <c r="V28" s="268">
        <f t="shared" si="22"/>
        <v>0</v>
      </c>
      <c r="W28" s="166">
        <v>461.02</v>
      </c>
      <c r="X28" s="166">
        <v>0</v>
      </c>
      <c r="Y28" s="166">
        <v>624.61</v>
      </c>
      <c r="Z28" s="166">
        <v>1039.51</v>
      </c>
      <c r="AA28" s="166">
        <v>1500.57</v>
      </c>
      <c r="AB28" s="166">
        <v>404.2</v>
      </c>
      <c r="AC28" s="166"/>
      <c r="AD28" s="166"/>
      <c r="AE28" s="167"/>
      <c r="AF28" s="257">
        <f t="shared" si="23"/>
        <v>4029.91</v>
      </c>
      <c r="AG28" s="258">
        <f t="shared" si="24"/>
        <v>4198.21</v>
      </c>
      <c r="AH28" s="237">
        <f t="shared" si="25"/>
        <v>0</v>
      </c>
      <c r="AI28" s="237">
        <f t="shared" si="25"/>
        <v>0</v>
      </c>
      <c r="AJ28" s="212"/>
      <c r="AK28" s="205">
        <f t="shared" si="26"/>
        <v>504.2755</v>
      </c>
      <c r="AL28" s="164">
        <f t="shared" si="27"/>
        <v>150.53</v>
      </c>
      <c r="AM28" s="164">
        <f t="shared" si="28"/>
        <v>752.65</v>
      </c>
      <c r="AN28" s="164">
        <f t="shared" si="29"/>
        <v>158.0565</v>
      </c>
      <c r="AO28" s="164">
        <f t="shared" si="30"/>
        <v>1520.353</v>
      </c>
      <c r="AP28" s="164">
        <f t="shared" si="31"/>
        <v>775.2295</v>
      </c>
      <c r="AQ28" s="164">
        <f t="shared" si="32"/>
        <v>564.4875</v>
      </c>
      <c r="AR28" s="164">
        <f t="shared" si="33"/>
        <v>564.4875</v>
      </c>
      <c r="AS28" s="269">
        <f>B28*1.15</f>
        <v>865.5474999999999</v>
      </c>
      <c r="AT28" s="213"/>
      <c r="AU28" s="214"/>
      <c r="AV28" s="214"/>
      <c r="AW28" s="214"/>
      <c r="AX28" s="214">
        <v>11.39</v>
      </c>
      <c r="AY28" s="214"/>
      <c r="AZ28" s="214"/>
      <c r="BA28" s="164"/>
      <c r="BB28" s="213"/>
      <c r="BC28" s="265">
        <f t="shared" si="34"/>
        <v>5867.007</v>
      </c>
      <c r="BD28" s="215"/>
      <c r="BE28" s="275">
        <f t="shared" si="35"/>
        <v>5867.007</v>
      </c>
      <c r="BF28" s="275">
        <f t="shared" si="36"/>
        <v>-1668.7969999999996</v>
      </c>
      <c r="BG28" s="130">
        <f t="shared" si="37"/>
        <v>-1973.7400000000007</v>
      </c>
    </row>
    <row r="29" spans="1:59" ht="12.75">
      <c r="A29" s="13" t="s">
        <v>48</v>
      </c>
      <c r="B29" s="216">
        <v>752.65</v>
      </c>
      <c r="C29" s="187">
        <f t="shared" si="21"/>
        <v>6510.4225</v>
      </c>
      <c r="D29" s="271">
        <v>168.3</v>
      </c>
      <c r="E29" s="248">
        <v>686.83</v>
      </c>
      <c r="F29" s="248"/>
      <c r="G29" s="248"/>
      <c r="H29" s="248"/>
      <c r="I29" s="248">
        <v>930.53</v>
      </c>
      <c r="J29" s="248"/>
      <c r="K29" s="248">
        <v>1548.67</v>
      </c>
      <c r="L29" s="248"/>
      <c r="M29" s="248">
        <v>2235.5</v>
      </c>
      <c r="N29" s="248"/>
      <c r="O29" s="248">
        <v>602.12</v>
      </c>
      <c r="P29" s="248"/>
      <c r="Q29" s="248"/>
      <c r="R29" s="248"/>
      <c r="S29" s="249"/>
      <c r="T29" s="274"/>
      <c r="U29" s="267">
        <f t="shared" si="22"/>
        <v>6003.650000000001</v>
      </c>
      <c r="V29" s="268">
        <f t="shared" si="22"/>
        <v>0</v>
      </c>
      <c r="W29" s="272">
        <v>313.77</v>
      </c>
      <c r="X29" s="272">
        <v>0</v>
      </c>
      <c r="Y29" s="272">
        <v>424.83</v>
      </c>
      <c r="Z29" s="272">
        <v>707.18</v>
      </c>
      <c r="AA29" s="272">
        <v>1020.95</v>
      </c>
      <c r="AB29" s="272">
        <v>271.2</v>
      </c>
      <c r="AC29" s="272"/>
      <c r="AD29" s="272"/>
      <c r="AE29" s="273"/>
      <c r="AF29" s="257">
        <f t="shared" si="23"/>
        <v>2737.9299999999994</v>
      </c>
      <c r="AG29" s="258">
        <f t="shared" si="24"/>
        <v>2906.2299999999996</v>
      </c>
      <c r="AH29" s="237">
        <f t="shared" si="25"/>
        <v>0</v>
      </c>
      <c r="AI29" s="237">
        <f t="shared" si="25"/>
        <v>0</v>
      </c>
      <c r="AJ29" s="212"/>
      <c r="AK29" s="205">
        <f t="shared" si="26"/>
        <v>504.2755</v>
      </c>
      <c r="AL29" s="164">
        <f t="shared" si="27"/>
        <v>150.53</v>
      </c>
      <c r="AM29" s="164">
        <f t="shared" si="28"/>
        <v>752.65</v>
      </c>
      <c r="AN29" s="164">
        <f t="shared" si="29"/>
        <v>158.0565</v>
      </c>
      <c r="AO29" s="164">
        <f t="shared" si="30"/>
        <v>1520.353</v>
      </c>
      <c r="AP29" s="164">
        <f t="shared" si="31"/>
        <v>775.2295</v>
      </c>
      <c r="AQ29" s="164">
        <f t="shared" si="32"/>
        <v>564.4875</v>
      </c>
      <c r="AR29" s="164">
        <f t="shared" si="33"/>
        <v>564.4875</v>
      </c>
      <c r="AS29" s="269"/>
      <c r="AT29" s="213"/>
      <c r="AU29" s="214"/>
      <c r="AV29" s="214"/>
      <c r="AW29" s="214"/>
      <c r="AX29" s="214">
        <f>520</f>
        <v>520</v>
      </c>
      <c r="AY29" s="214"/>
      <c r="AZ29" s="214"/>
      <c r="BA29" s="164"/>
      <c r="BB29" s="213"/>
      <c r="BC29" s="265">
        <f t="shared" si="34"/>
        <v>5510.0695</v>
      </c>
      <c r="BD29" s="215"/>
      <c r="BE29" s="275">
        <f t="shared" si="35"/>
        <v>5510.0695</v>
      </c>
      <c r="BF29" s="275">
        <f t="shared" si="36"/>
        <v>-2603.8395</v>
      </c>
      <c r="BG29" s="130">
        <f t="shared" si="37"/>
        <v>-3265.720000000001</v>
      </c>
    </row>
    <row r="30" spans="1:59" ht="12.75">
      <c r="A30" s="13" t="s">
        <v>49</v>
      </c>
      <c r="B30" s="216">
        <v>752.65</v>
      </c>
      <c r="C30" s="187">
        <f t="shared" si="21"/>
        <v>6510.4225</v>
      </c>
      <c r="D30" s="271">
        <v>168.3</v>
      </c>
      <c r="E30" s="248">
        <v>686.83</v>
      </c>
      <c r="F30" s="248"/>
      <c r="G30" s="248"/>
      <c r="H30" s="248"/>
      <c r="I30" s="248">
        <v>930.53</v>
      </c>
      <c r="J30" s="248"/>
      <c r="K30" s="248">
        <v>1548.67</v>
      </c>
      <c r="L30" s="248"/>
      <c r="M30" s="248">
        <v>2235.5</v>
      </c>
      <c r="N30" s="248"/>
      <c r="O30" s="248">
        <v>602.12</v>
      </c>
      <c r="P30" s="248"/>
      <c r="Q30" s="248"/>
      <c r="R30" s="248"/>
      <c r="S30" s="249"/>
      <c r="T30" s="274"/>
      <c r="U30" s="267">
        <f t="shared" si="22"/>
        <v>6003.650000000001</v>
      </c>
      <c r="V30" s="268">
        <f t="shared" si="22"/>
        <v>0</v>
      </c>
      <c r="W30" s="272">
        <v>298.06</v>
      </c>
      <c r="X30" s="272">
        <v>0</v>
      </c>
      <c r="Y30" s="272">
        <v>403.76</v>
      </c>
      <c r="Z30" s="272">
        <v>672.02</v>
      </c>
      <c r="AA30" s="272">
        <v>970.05</v>
      </c>
      <c r="AB30" s="272">
        <v>260.55</v>
      </c>
      <c r="AC30" s="272"/>
      <c r="AD30" s="272"/>
      <c r="AE30" s="272"/>
      <c r="AF30" s="257">
        <f t="shared" si="23"/>
        <v>2604.44</v>
      </c>
      <c r="AG30" s="258">
        <f t="shared" si="24"/>
        <v>2772.7400000000002</v>
      </c>
      <c r="AH30" s="237">
        <f t="shared" si="25"/>
        <v>0</v>
      </c>
      <c r="AI30" s="237">
        <f t="shared" si="25"/>
        <v>0</v>
      </c>
      <c r="AJ30" s="212"/>
      <c r="AK30" s="205">
        <f t="shared" si="26"/>
        <v>504.2755</v>
      </c>
      <c r="AL30" s="164">
        <f t="shared" si="27"/>
        <v>150.53</v>
      </c>
      <c r="AM30" s="164">
        <f t="shared" si="28"/>
        <v>752.65</v>
      </c>
      <c r="AN30" s="164">
        <f t="shared" si="29"/>
        <v>158.0565</v>
      </c>
      <c r="AO30" s="164">
        <f t="shared" si="30"/>
        <v>1520.353</v>
      </c>
      <c r="AP30" s="164">
        <f t="shared" si="31"/>
        <v>775.2295</v>
      </c>
      <c r="AQ30" s="164">
        <f t="shared" si="32"/>
        <v>564.4875</v>
      </c>
      <c r="AR30" s="164">
        <f t="shared" si="33"/>
        <v>564.4875</v>
      </c>
      <c r="AS30" s="269"/>
      <c r="AT30" s="213"/>
      <c r="AU30" s="214"/>
      <c r="AV30" s="214"/>
      <c r="AW30" s="214">
        <v>17041</v>
      </c>
      <c r="AX30" s="214">
        <f>3134.44</f>
        <v>3134.44</v>
      </c>
      <c r="AY30" s="214"/>
      <c r="AZ30" s="214"/>
      <c r="BA30" s="164"/>
      <c r="BB30" s="213"/>
      <c r="BC30" s="265">
        <f t="shared" si="34"/>
        <v>25165.509499999996</v>
      </c>
      <c r="BD30" s="215"/>
      <c r="BE30" s="275">
        <f t="shared" si="35"/>
        <v>25165.509499999996</v>
      </c>
      <c r="BF30" s="275">
        <f t="shared" si="36"/>
        <v>-22392.769499999995</v>
      </c>
      <c r="BG30" s="130">
        <f t="shared" si="37"/>
        <v>-3399.2100000000005</v>
      </c>
    </row>
    <row r="31" spans="1:59" ht="12.75">
      <c r="A31" s="13" t="s">
        <v>50</v>
      </c>
      <c r="B31" s="216">
        <v>752.65</v>
      </c>
      <c r="C31" s="187">
        <f t="shared" si="21"/>
        <v>6510.4225</v>
      </c>
      <c r="D31" s="271">
        <v>168.3</v>
      </c>
      <c r="E31" s="248"/>
      <c r="F31" s="248"/>
      <c r="G31" s="248">
        <f>1619.76+1550.96</f>
        <v>3170.7200000000003</v>
      </c>
      <c r="H31" s="248"/>
      <c r="I31" s="248"/>
      <c r="J31" s="248"/>
      <c r="K31" s="248"/>
      <c r="L31" s="248"/>
      <c r="M31" s="248">
        <v>2238.83</v>
      </c>
      <c r="N31" s="248"/>
      <c r="O31" s="248">
        <v>602.12</v>
      </c>
      <c r="P31" s="248"/>
      <c r="Q31" s="248"/>
      <c r="R31" s="248"/>
      <c r="S31" s="249"/>
      <c r="T31" s="274"/>
      <c r="U31" s="267">
        <f t="shared" si="22"/>
        <v>6011.67</v>
      </c>
      <c r="V31" s="268">
        <f t="shared" si="22"/>
        <v>0</v>
      </c>
      <c r="W31" s="272"/>
      <c r="X31" s="276">
        <f>407.8+552.38+919.39</f>
        <v>1879.5700000000002</v>
      </c>
      <c r="Y31" s="272"/>
      <c r="Z31" s="272"/>
      <c r="AA31" s="276">
        <v>1327.21</v>
      </c>
      <c r="AB31" s="276">
        <v>355.38</v>
      </c>
      <c r="AC31" s="272"/>
      <c r="AD31" s="276"/>
      <c r="AE31" s="277"/>
      <c r="AF31" s="257">
        <f t="shared" si="23"/>
        <v>3562.1600000000003</v>
      </c>
      <c r="AG31" s="258">
        <f t="shared" si="24"/>
        <v>3730.4600000000005</v>
      </c>
      <c r="AH31" s="237">
        <f t="shared" si="25"/>
        <v>0</v>
      </c>
      <c r="AI31" s="237">
        <f t="shared" si="25"/>
        <v>0</v>
      </c>
      <c r="AJ31" s="212"/>
      <c r="AK31" s="205">
        <f t="shared" si="26"/>
        <v>504.2755</v>
      </c>
      <c r="AL31" s="164">
        <f t="shared" si="27"/>
        <v>150.53</v>
      </c>
      <c r="AM31" s="164">
        <f t="shared" si="28"/>
        <v>752.65</v>
      </c>
      <c r="AN31" s="164">
        <f t="shared" si="29"/>
        <v>158.0565</v>
      </c>
      <c r="AO31" s="164">
        <f t="shared" si="30"/>
        <v>1520.353</v>
      </c>
      <c r="AP31" s="164">
        <f t="shared" si="31"/>
        <v>775.2295</v>
      </c>
      <c r="AQ31" s="164">
        <f t="shared" si="32"/>
        <v>564.4875</v>
      </c>
      <c r="AR31" s="164">
        <f t="shared" si="33"/>
        <v>564.4875</v>
      </c>
      <c r="AS31" s="269"/>
      <c r="AT31" s="213"/>
      <c r="AU31" s="214"/>
      <c r="AV31" s="214"/>
      <c r="AW31" s="214"/>
      <c r="AX31" s="214"/>
      <c r="AY31" s="214"/>
      <c r="AZ31" s="214"/>
      <c r="BA31" s="164"/>
      <c r="BB31" s="213"/>
      <c r="BC31" s="265">
        <f t="shared" si="34"/>
        <v>4990.0695</v>
      </c>
      <c r="BD31" s="215"/>
      <c r="BE31" s="275">
        <f t="shared" si="35"/>
        <v>4990.0695</v>
      </c>
      <c r="BF31" s="275">
        <f t="shared" si="36"/>
        <v>-1259.6094999999991</v>
      </c>
      <c r="BG31" s="130">
        <f t="shared" si="37"/>
        <v>-2449.5099999999998</v>
      </c>
    </row>
    <row r="32" spans="1:59" ht="12.75">
      <c r="A32" s="13" t="s">
        <v>51</v>
      </c>
      <c r="B32" s="216">
        <v>752.65</v>
      </c>
      <c r="C32" s="187">
        <f t="shared" si="21"/>
        <v>6510.4225</v>
      </c>
      <c r="D32" s="271">
        <v>225.225</v>
      </c>
      <c r="E32" s="248"/>
      <c r="F32" s="248"/>
      <c r="G32" s="248">
        <f>689.11+933.5+1553.69</f>
        <v>3176.3</v>
      </c>
      <c r="H32" s="248"/>
      <c r="I32" s="248"/>
      <c r="J32" s="248"/>
      <c r="K32" s="248"/>
      <c r="L32" s="248"/>
      <c r="M32" s="248">
        <v>2242.79</v>
      </c>
      <c r="N32" s="248"/>
      <c r="O32" s="248">
        <v>602.11</v>
      </c>
      <c r="P32" s="248"/>
      <c r="Q32" s="248"/>
      <c r="R32" s="248"/>
      <c r="S32" s="249"/>
      <c r="T32" s="274"/>
      <c r="U32" s="267">
        <f aca="true" t="shared" si="38" ref="U32:V37">G32+M32+O32+Q32+S32</f>
        <v>6021.2</v>
      </c>
      <c r="V32" s="278">
        <f t="shared" si="38"/>
        <v>0</v>
      </c>
      <c r="W32" s="272"/>
      <c r="X32" s="166">
        <f>300.42+406.77+677.09</f>
        <v>1384.2800000000002</v>
      </c>
      <c r="Y32" s="272"/>
      <c r="Z32" s="272"/>
      <c r="AA32" s="166">
        <v>977.5</v>
      </c>
      <c r="AB32" s="166">
        <v>259.13</v>
      </c>
      <c r="AC32" s="272"/>
      <c r="AD32" s="166"/>
      <c r="AE32" s="167"/>
      <c r="AF32" s="257">
        <f aca="true" t="shared" si="39" ref="AF32:AF37">SUM(X32:AE32)</f>
        <v>2620.9100000000003</v>
      </c>
      <c r="AG32" s="258">
        <f t="shared" si="24"/>
        <v>2846.135</v>
      </c>
      <c r="AH32" s="279">
        <v>0</v>
      </c>
      <c r="AI32" s="237">
        <f t="shared" si="25"/>
        <v>0</v>
      </c>
      <c r="AJ32" s="212"/>
      <c r="AK32" s="228">
        <f aca="true" t="shared" si="40" ref="AK32:AK37">0.75*B32</f>
        <v>564.4875</v>
      </c>
      <c r="AL32" s="164">
        <f t="shared" si="27"/>
        <v>150.53</v>
      </c>
      <c r="AM32" s="164">
        <f t="shared" si="28"/>
        <v>752.65</v>
      </c>
      <c r="AN32" s="164">
        <f t="shared" si="29"/>
        <v>158.0565</v>
      </c>
      <c r="AO32" s="164">
        <f t="shared" si="30"/>
        <v>1520.353</v>
      </c>
      <c r="AP32" s="164">
        <f t="shared" si="31"/>
        <v>775.2295</v>
      </c>
      <c r="AQ32" s="164">
        <f t="shared" si="32"/>
        <v>564.4875</v>
      </c>
      <c r="AR32" s="164">
        <f t="shared" si="33"/>
        <v>564.4875</v>
      </c>
      <c r="AS32" s="269"/>
      <c r="AT32" s="213"/>
      <c r="AU32" s="214"/>
      <c r="AV32" s="214"/>
      <c r="AW32" s="214">
        <v>858</v>
      </c>
      <c r="AX32" s="214"/>
      <c r="AY32" s="214"/>
      <c r="AZ32" s="214"/>
      <c r="BA32" s="164"/>
      <c r="BB32" s="213"/>
      <c r="BC32" s="265">
        <f t="shared" si="34"/>
        <v>5908.2815</v>
      </c>
      <c r="BD32" s="215"/>
      <c r="BE32" s="275">
        <f t="shared" si="35"/>
        <v>5908.2815</v>
      </c>
      <c r="BF32" s="275">
        <f t="shared" si="36"/>
        <v>-3062.1465</v>
      </c>
      <c r="BG32" s="130">
        <f t="shared" si="37"/>
        <v>-3400.2899999999995</v>
      </c>
    </row>
    <row r="33" spans="1:59" ht="12.75">
      <c r="A33" s="13" t="s">
        <v>52</v>
      </c>
      <c r="B33" s="216">
        <v>752.65</v>
      </c>
      <c r="C33" s="187">
        <f t="shared" si="21"/>
        <v>6510.4225</v>
      </c>
      <c r="D33" s="271"/>
      <c r="E33" s="248"/>
      <c r="F33" s="248"/>
      <c r="G33" s="248">
        <f>690.13+934.82+1555.93</f>
        <v>3180.88</v>
      </c>
      <c r="H33" s="248"/>
      <c r="I33" s="248"/>
      <c r="J33" s="248"/>
      <c r="K33" s="248"/>
      <c r="L33" s="248"/>
      <c r="M33" s="248">
        <v>2246.06</v>
      </c>
      <c r="N33" s="248"/>
      <c r="O33" s="248">
        <v>602.12</v>
      </c>
      <c r="P33" s="248"/>
      <c r="Q33" s="248"/>
      <c r="R33" s="248"/>
      <c r="S33" s="249"/>
      <c r="T33" s="274"/>
      <c r="U33" s="267">
        <f t="shared" si="38"/>
        <v>6029.06</v>
      </c>
      <c r="V33" s="278">
        <f t="shared" si="38"/>
        <v>0</v>
      </c>
      <c r="W33" s="272"/>
      <c r="X33" s="166">
        <f>429.53+581.69+968.27</f>
        <v>1979.49</v>
      </c>
      <c r="Y33" s="272"/>
      <c r="Z33" s="272"/>
      <c r="AA33" s="166">
        <v>1397.77</v>
      </c>
      <c r="AB33" s="166">
        <v>373.01</v>
      </c>
      <c r="AC33" s="272"/>
      <c r="AD33" s="166"/>
      <c r="AE33" s="167"/>
      <c r="AF33" s="257">
        <f t="shared" si="39"/>
        <v>3750.2700000000004</v>
      </c>
      <c r="AG33" s="258">
        <f t="shared" si="24"/>
        <v>3750.2700000000004</v>
      </c>
      <c r="AH33" s="279">
        <v>0</v>
      </c>
      <c r="AI33" s="237">
        <f t="shared" si="25"/>
        <v>0</v>
      </c>
      <c r="AJ33" s="212"/>
      <c r="AK33" s="228">
        <f t="shared" si="40"/>
        <v>564.4875</v>
      </c>
      <c r="AL33" s="164">
        <f t="shared" si="27"/>
        <v>150.53</v>
      </c>
      <c r="AM33" s="164">
        <f t="shared" si="28"/>
        <v>752.65</v>
      </c>
      <c r="AN33" s="164">
        <f t="shared" si="29"/>
        <v>158.0565</v>
      </c>
      <c r="AO33" s="164">
        <f t="shared" si="30"/>
        <v>1520.353</v>
      </c>
      <c r="AP33" s="164">
        <f t="shared" si="31"/>
        <v>775.2295</v>
      </c>
      <c r="AQ33" s="164">
        <f t="shared" si="32"/>
        <v>564.4875</v>
      </c>
      <c r="AR33" s="164">
        <f t="shared" si="33"/>
        <v>564.4875</v>
      </c>
      <c r="AS33" s="269"/>
      <c r="AT33" s="213"/>
      <c r="AU33" s="214"/>
      <c r="AV33" s="214"/>
      <c r="AW33" s="214">
        <v>3308</v>
      </c>
      <c r="AX33" s="214"/>
      <c r="AY33" s="214"/>
      <c r="AZ33" s="214"/>
      <c r="BA33" s="164"/>
      <c r="BB33" s="213"/>
      <c r="BC33" s="265">
        <f t="shared" si="34"/>
        <v>8358.281500000001</v>
      </c>
      <c r="BD33" s="215"/>
      <c r="BE33" s="275">
        <f t="shared" si="35"/>
        <v>8358.281500000001</v>
      </c>
      <c r="BF33" s="275">
        <f t="shared" si="36"/>
        <v>-4608.0115000000005</v>
      </c>
      <c r="BG33" s="130">
        <f t="shared" si="37"/>
        <v>-2278.79</v>
      </c>
    </row>
    <row r="34" spans="1:59" ht="12.75">
      <c r="A34" s="13" t="s">
        <v>53</v>
      </c>
      <c r="B34" s="216">
        <v>752.65</v>
      </c>
      <c r="C34" s="187">
        <f t="shared" si="21"/>
        <v>6510.4225</v>
      </c>
      <c r="D34" s="271"/>
      <c r="E34" s="248"/>
      <c r="F34" s="248"/>
      <c r="G34" s="248">
        <v>4015.44</v>
      </c>
      <c r="H34" s="248"/>
      <c r="I34" s="248"/>
      <c r="J34" s="248"/>
      <c r="K34" s="248"/>
      <c r="L34" s="248"/>
      <c r="M34" s="248">
        <v>2804.44</v>
      </c>
      <c r="N34" s="248"/>
      <c r="O34" s="248">
        <v>602.12</v>
      </c>
      <c r="P34" s="248"/>
      <c r="Q34" s="248"/>
      <c r="R34" s="248"/>
      <c r="S34" s="249"/>
      <c r="T34" s="274"/>
      <c r="U34" s="267">
        <f t="shared" si="38"/>
        <v>7422</v>
      </c>
      <c r="V34" s="278">
        <f t="shared" si="38"/>
        <v>0</v>
      </c>
      <c r="W34" s="272"/>
      <c r="X34" s="166">
        <f>442.88+609.46+1014.4</f>
        <v>2066.7400000000002</v>
      </c>
      <c r="Y34" s="272"/>
      <c r="Z34" s="272"/>
      <c r="AA34" s="166">
        <v>1440.29</v>
      </c>
      <c r="AB34" s="166">
        <v>369.52</v>
      </c>
      <c r="AC34" s="272"/>
      <c r="AD34" s="166"/>
      <c r="AE34" s="167"/>
      <c r="AF34" s="257">
        <f t="shared" si="39"/>
        <v>3876.55</v>
      </c>
      <c r="AG34" s="258">
        <f t="shared" si="24"/>
        <v>3876.55</v>
      </c>
      <c r="AH34" s="279">
        <v>0</v>
      </c>
      <c r="AI34" s="237">
        <f t="shared" si="25"/>
        <v>0</v>
      </c>
      <c r="AJ34" s="212"/>
      <c r="AK34" s="228">
        <f t="shared" si="40"/>
        <v>564.4875</v>
      </c>
      <c r="AL34" s="164">
        <f t="shared" si="27"/>
        <v>150.53</v>
      </c>
      <c r="AM34" s="164">
        <f t="shared" si="28"/>
        <v>752.65</v>
      </c>
      <c r="AN34" s="164">
        <f t="shared" si="29"/>
        <v>158.0565</v>
      </c>
      <c r="AO34" s="164">
        <f t="shared" si="30"/>
        <v>1520.353</v>
      </c>
      <c r="AP34" s="164">
        <f t="shared" si="31"/>
        <v>775.2295</v>
      </c>
      <c r="AQ34" s="164">
        <f t="shared" si="32"/>
        <v>564.4875</v>
      </c>
      <c r="AR34" s="164">
        <f t="shared" si="33"/>
        <v>564.4875</v>
      </c>
      <c r="AS34" s="269"/>
      <c r="AT34" s="213"/>
      <c r="AU34" s="214"/>
      <c r="AV34" s="214"/>
      <c r="AW34" s="214"/>
      <c r="AX34" s="214">
        <f>4138.88</f>
        <v>4138.88</v>
      </c>
      <c r="AY34" s="214"/>
      <c r="AZ34" s="214"/>
      <c r="BA34" s="164"/>
      <c r="BB34" s="213"/>
      <c r="BC34" s="265">
        <f t="shared" si="34"/>
        <v>9189.1615</v>
      </c>
      <c r="BD34" s="215"/>
      <c r="BE34" s="275">
        <f t="shared" si="35"/>
        <v>9189.1615</v>
      </c>
      <c r="BF34" s="275">
        <f t="shared" si="36"/>
        <v>-5312.6115</v>
      </c>
      <c r="BG34" s="130">
        <f t="shared" si="37"/>
        <v>-3545.45</v>
      </c>
    </row>
    <row r="35" spans="1:59" ht="12.75">
      <c r="A35" s="13" t="s">
        <v>41</v>
      </c>
      <c r="B35" s="216">
        <v>752.65</v>
      </c>
      <c r="C35" s="187">
        <f t="shared" si="21"/>
        <v>6510.4225</v>
      </c>
      <c r="D35" s="271"/>
      <c r="E35" s="248"/>
      <c r="F35" s="248"/>
      <c r="G35" s="248">
        <v>3458.05</v>
      </c>
      <c r="H35" s="248"/>
      <c r="I35" s="248"/>
      <c r="J35" s="248"/>
      <c r="K35" s="248"/>
      <c r="L35" s="248"/>
      <c r="M35" s="248">
        <v>2432.7</v>
      </c>
      <c r="N35" s="248"/>
      <c r="O35" s="248">
        <v>602.12</v>
      </c>
      <c r="P35" s="248"/>
      <c r="Q35" s="248"/>
      <c r="R35" s="248"/>
      <c r="S35" s="249"/>
      <c r="T35" s="274"/>
      <c r="U35" s="267">
        <f t="shared" si="38"/>
        <v>6492.87</v>
      </c>
      <c r="V35" s="278">
        <f t="shared" si="38"/>
        <v>0</v>
      </c>
      <c r="W35" s="272"/>
      <c r="X35" s="166">
        <v>2157.73</v>
      </c>
      <c r="Y35" s="272"/>
      <c r="Z35" s="272"/>
      <c r="AA35" s="166">
        <v>1510.19</v>
      </c>
      <c r="AB35" s="166">
        <v>358.82</v>
      </c>
      <c r="AC35" s="272"/>
      <c r="AD35" s="166"/>
      <c r="AE35" s="167"/>
      <c r="AF35" s="257">
        <f t="shared" si="39"/>
        <v>4026.7400000000002</v>
      </c>
      <c r="AG35" s="258">
        <f t="shared" si="24"/>
        <v>4026.7400000000002</v>
      </c>
      <c r="AH35" s="279">
        <v>0</v>
      </c>
      <c r="AI35" s="237">
        <f t="shared" si="25"/>
        <v>0</v>
      </c>
      <c r="AJ35" s="212"/>
      <c r="AK35" s="228">
        <f t="shared" si="40"/>
        <v>564.4875</v>
      </c>
      <c r="AL35" s="164">
        <f t="shared" si="27"/>
        <v>150.53</v>
      </c>
      <c r="AM35" s="164">
        <f t="shared" si="28"/>
        <v>752.65</v>
      </c>
      <c r="AN35" s="164">
        <f t="shared" si="29"/>
        <v>158.0565</v>
      </c>
      <c r="AO35" s="164">
        <f t="shared" si="30"/>
        <v>1520.353</v>
      </c>
      <c r="AP35" s="164">
        <f t="shared" si="31"/>
        <v>775.2295</v>
      </c>
      <c r="AQ35" s="164">
        <f t="shared" si="32"/>
        <v>564.4875</v>
      </c>
      <c r="AR35" s="164">
        <f t="shared" si="33"/>
        <v>564.4875</v>
      </c>
      <c r="AS35" s="269">
        <f>B35*1.15</f>
        <v>865.5474999999999</v>
      </c>
      <c r="AT35" s="213"/>
      <c r="AU35" s="280">
        <v>1052</v>
      </c>
      <c r="AV35" s="214"/>
      <c r="AW35" s="214"/>
      <c r="AX35" s="214">
        <f>106</f>
        <v>106</v>
      </c>
      <c r="AY35" s="214"/>
      <c r="AZ35" s="214"/>
      <c r="BA35" s="164"/>
      <c r="BB35" s="213"/>
      <c r="BC35" s="265">
        <f t="shared" si="34"/>
        <v>7073.829</v>
      </c>
      <c r="BD35" s="215"/>
      <c r="BE35" s="275">
        <f t="shared" si="35"/>
        <v>7073.829</v>
      </c>
      <c r="BF35" s="275">
        <f t="shared" si="36"/>
        <v>-3047.0889999999995</v>
      </c>
      <c r="BG35" s="130">
        <f t="shared" si="37"/>
        <v>-2466.1299999999997</v>
      </c>
    </row>
    <row r="36" spans="1:59" ht="12.75">
      <c r="A36" s="13" t="s">
        <v>42</v>
      </c>
      <c r="B36" s="281">
        <v>752.65</v>
      </c>
      <c r="C36" s="187">
        <f t="shared" si="21"/>
        <v>6510.4225</v>
      </c>
      <c r="D36" s="271"/>
      <c r="E36" s="248"/>
      <c r="F36" s="248"/>
      <c r="G36" s="166">
        <f>748.45+1016.11+1693.49</f>
        <v>3458.05</v>
      </c>
      <c r="H36" s="166"/>
      <c r="I36" s="248"/>
      <c r="J36" s="248"/>
      <c r="K36" s="248"/>
      <c r="L36" s="248"/>
      <c r="M36" s="166">
        <v>2432.7</v>
      </c>
      <c r="N36" s="166"/>
      <c r="O36" s="166">
        <v>602.12</v>
      </c>
      <c r="P36" s="166"/>
      <c r="Q36" s="166"/>
      <c r="R36" s="166"/>
      <c r="S36" s="167"/>
      <c r="T36" s="274"/>
      <c r="U36" s="267">
        <f t="shared" si="38"/>
        <v>6492.87</v>
      </c>
      <c r="V36" s="278">
        <f t="shared" si="38"/>
        <v>0</v>
      </c>
      <c r="W36" s="272"/>
      <c r="X36" s="166">
        <f>391.7+534.71+891.04</f>
        <v>1817.45</v>
      </c>
      <c r="Y36" s="272"/>
      <c r="Z36" s="272"/>
      <c r="AA36" s="166">
        <v>1273.49</v>
      </c>
      <c r="AB36" s="166">
        <v>372.19</v>
      </c>
      <c r="AC36" s="272"/>
      <c r="AD36" s="166"/>
      <c r="AE36" s="167"/>
      <c r="AF36" s="257">
        <f t="shared" si="39"/>
        <v>3463.13</v>
      </c>
      <c r="AG36" s="258">
        <f t="shared" si="24"/>
        <v>3463.13</v>
      </c>
      <c r="AH36" s="279">
        <v>0</v>
      </c>
      <c r="AI36" s="237">
        <f t="shared" si="25"/>
        <v>0</v>
      </c>
      <c r="AJ36" s="212"/>
      <c r="AK36" s="228">
        <f t="shared" si="40"/>
        <v>564.4875</v>
      </c>
      <c r="AL36" s="164">
        <f t="shared" si="27"/>
        <v>150.53</v>
      </c>
      <c r="AM36" s="164">
        <f t="shared" si="28"/>
        <v>752.65</v>
      </c>
      <c r="AN36" s="164">
        <f t="shared" si="29"/>
        <v>158.0565</v>
      </c>
      <c r="AO36" s="164">
        <f t="shared" si="30"/>
        <v>1520.353</v>
      </c>
      <c r="AP36" s="164">
        <f t="shared" si="31"/>
        <v>775.2295</v>
      </c>
      <c r="AQ36" s="164">
        <f t="shared" si="32"/>
        <v>564.4875</v>
      </c>
      <c r="AR36" s="164">
        <f t="shared" si="33"/>
        <v>564.4875</v>
      </c>
      <c r="AS36" s="269">
        <f>B36*1.15</f>
        <v>865.5474999999999</v>
      </c>
      <c r="AT36" s="213"/>
      <c r="AU36" s="214">
        <v>3800</v>
      </c>
      <c r="AV36" s="214"/>
      <c r="AW36" s="214"/>
      <c r="AX36" s="214">
        <f>803</f>
        <v>803</v>
      </c>
      <c r="AY36" s="214"/>
      <c r="AZ36" s="214"/>
      <c r="BA36" s="164"/>
      <c r="BB36" s="213"/>
      <c r="BC36" s="265">
        <f t="shared" si="34"/>
        <v>10518.829</v>
      </c>
      <c r="BD36" s="215"/>
      <c r="BE36" s="275">
        <f t="shared" si="35"/>
        <v>10518.829</v>
      </c>
      <c r="BF36" s="275">
        <f t="shared" si="36"/>
        <v>-7055.699</v>
      </c>
      <c r="BG36" s="130">
        <f t="shared" si="37"/>
        <v>-3029.74</v>
      </c>
    </row>
    <row r="37" spans="1:59" ht="13.5" thickBot="1">
      <c r="A37" s="13" t="s">
        <v>43</v>
      </c>
      <c r="B37" s="281">
        <v>752.65</v>
      </c>
      <c r="C37" s="187">
        <f t="shared" si="21"/>
        <v>6510.4225</v>
      </c>
      <c r="D37" s="271"/>
      <c r="E37" s="166"/>
      <c r="F37" s="166"/>
      <c r="G37" s="166">
        <f>748.45+1016.11+1693.49</f>
        <v>3458.05</v>
      </c>
      <c r="H37" s="166"/>
      <c r="I37" s="166"/>
      <c r="J37" s="166"/>
      <c r="K37" s="166"/>
      <c r="L37" s="166"/>
      <c r="M37" s="166">
        <v>2432.7</v>
      </c>
      <c r="N37" s="166"/>
      <c r="O37" s="166">
        <v>602.12</v>
      </c>
      <c r="P37" s="166"/>
      <c r="Q37" s="166"/>
      <c r="R37" s="166"/>
      <c r="S37" s="167"/>
      <c r="T37" s="274"/>
      <c r="U37" s="267">
        <f t="shared" si="38"/>
        <v>6492.87</v>
      </c>
      <c r="V37" s="278">
        <f t="shared" si="38"/>
        <v>0</v>
      </c>
      <c r="W37" s="272"/>
      <c r="X37" s="166">
        <f>297.92+407.86+679.77</f>
        <v>1385.55</v>
      </c>
      <c r="Y37" s="166"/>
      <c r="Z37" s="166"/>
      <c r="AA37" s="166">
        <v>968.46</v>
      </c>
      <c r="AB37" s="166">
        <v>240.9</v>
      </c>
      <c r="AC37" s="166"/>
      <c r="AD37" s="166"/>
      <c r="AE37" s="167"/>
      <c r="AF37" s="257">
        <f t="shared" si="39"/>
        <v>2594.9100000000003</v>
      </c>
      <c r="AG37" s="258">
        <f t="shared" si="24"/>
        <v>2594.9100000000003</v>
      </c>
      <c r="AH37" s="279">
        <v>0</v>
      </c>
      <c r="AI37" s="237">
        <f t="shared" si="25"/>
        <v>0</v>
      </c>
      <c r="AJ37" s="212"/>
      <c r="AK37" s="228">
        <f t="shared" si="40"/>
        <v>564.4875</v>
      </c>
      <c r="AL37" s="164">
        <f t="shared" si="27"/>
        <v>150.53</v>
      </c>
      <c r="AM37" s="164">
        <f t="shared" si="28"/>
        <v>752.65</v>
      </c>
      <c r="AN37" s="164">
        <f t="shared" si="29"/>
        <v>158.0565</v>
      </c>
      <c r="AO37" s="164">
        <f t="shared" si="30"/>
        <v>1520.353</v>
      </c>
      <c r="AP37" s="164">
        <f t="shared" si="31"/>
        <v>775.2295</v>
      </c>
      <c r="AQ37" s="164">
        <f t="shared" si="32"/>
        <v>564.4875</v>
      </c>
      <c r="AR37" s="164">
        <f t="shared" si="33"/>
        <v>564.4875</v>
      </c>
      <c r="AS37" s="269">
        <f>B37*1.15</f>
        <v>865.5474999999999</v>
      </c>
      <c r="AT37" s="213"/>
      <c r="AU37" s="214">
        <v>800</v>
      </c>
      <c r="AV37" s="214"/>
      <c r="AW37" s="214"/>
      <c r="AX37" s="214">
        <f>242</f>
        <v>242</v>
      </c>
      <c r="AY37" s="214"/>
      <c r="AZ37" s="214"/>
      <c r="BA37" s="164"/>
      <c r="BB37" s="213"/>
      <c r="BC37" s="265">
        <f t="shared" si="34"/>
        <v>6957.829</v>
      </c>
      <c r="BD37" s="215"/>
      <c r="BE37" s="275">
        <f t="shared" si="35"/>
        <v>6957.829</v>
      </c>
      <c r="BF37" s="275">
        <f t="shared" si="36"/>
        <v>-4362.919</v>
      </c>
      <c r="BG37" s="130">
        <f t="shared" si="37"/>
        <v>-3897.9599999999996</v>
      </c>
    </row>
    <row r="38" spans="1:59" s="28" customFormat="1" ht="13.5" thickBot="1">
      <c r="A38" s="170" t="s">
        <v>5</v>
      </c>
      <c r="B38" s="171"/>
      <c r="C38" s="172">
        <f aca="true" t="shared" si="41" ref="C38:AX38">SUM(C26:C37)</f>
        <v>78125.06999999999</v>
      </c>
      <c r="D38" s="172">
        <f t="shared" si="41"/>
        <v>1235.0249999999999</v>
      </c>
      <c r="E38" s="172">
        <f t="shared" si="41"/>
        <v>3433.5499999999997</v>
      </c>
      <c r="F38" s="172">
        <f t="shared" si="41"/>
        <v>0</v>
      </c>
      <c r="G38" s="172">
        <f t="shared" si="41"/>
        <v>23917.49</v>
      </c>
      <c r="H38" s="172">
        <f t="shared" si="41"/>
        <v>0</v>
      </c>
      <c r="I38" s="172">
        <f t="shared" si="41"/>
        <v>4651.889999999999</v>
      </c>
      <c r="J38" s="172">
        <f t="shared" si="41"/>
        <v>0</v>
      </c>
      <c r="K38" s="172">
        <f t="shared" si="41"/>
        <v>7742.02</v>
      </c>
      <c r="L38" s="172">
        <f t="shared" si="41"/>
        <v>0</v>
      </c>
      <c r="M38" s="172">
        <f t="shared" si="41"/>
        <v>28005.800000000003</v>
      </c>
      <c r="N38" s="172">
        <f t="shared" si="41"/>
        <v>0</v>
      </c>
      <c r="O38" s="172">
        <f t="shared" si="41"/>
        <v>7225.429999999999</v>
      </c>
      <c r="P38" s="172">
        <f t="shared" si="41"/>
        <v>0</v>
      </c>
      <c r="Q38" s="172">
        <f t="shared" si="41"/>
        <v>0</v>
      </c>
      <c r="R38" s="172">
        <f t="shared" si="41"/>
        <v>0</v>
      </c>
      <c r="S38" s="172">
        <f t="shared" si="41"/>
        <v>0</v>
      </c>
      <c r="T38" s="172">
        <f t="shared" si="41"/>
        <v>0</v>
      </c>
      <c r="U38" s="172">
        <f t="shared" si="41"/>
        <v>74976.18</v>
      </c>
      <c r="V38" s="172">
        <f t="shared" si="41"/>
        <v>0</v>
      </c>
      <c r="W38" s="172">
        <f t="shared" si="41"/>
        <v>2015.9499999999998</v>
      </c>
      <c r="X38" s="172">
        <f t="shared" si="41"/>
        <v>12670.81</v>
      </c>
      <c r="Y38" s="172">
        <f t="shared" si="41"/>
        <v>2730.8900000000003</v>
      </c>
      <c r="Z38" s="172">
        <f t="shared" si="41"/>
        <v>4545.21</v>
      </c>
      <c r="AA38" s="172">
        <f t="shared" si="41"/>
        <v>15456.04</v>
      </c>
      <c r="AB38" s="172">
        <f t="shared" si="41"/>
        <v>4091.1600000000008</v>
      </c>
      <c r="AC38" s="172">
        <f t="shared" si="41"/>
        <v>0</v>
      </c>
      <c r="AD38" s="172">
        <f t="shared" si="41"/>
        <v>0</v>
      </c>
      <c r="AE38" s="172">
        <f t="shared" si="41"/>
        <v>0</v>
      </c>
      <c r="AF38" s="172">
        <f t="shared" si="41"/>
        <v>41510.06</v>
      </c>
      <c r="AG38" s="172">
        <f t="shared" si="41"/>
        <v>42745.085</v>
      </c>
      <c r="AH38" s="172">
        <f t="shared" si="41"/>
        <v>0</v>
      </c>
      <c r="AI38" s="172">
        <f t="shared" si="41"/>
        <v>0</v>
      </c>
      <c r="AJ38" s="172">
        <f t="shared" si="41"/>
        <v>0</v>
      </c>
      <c r="AK38" s="172">
        <f t="shared" si="41"/>
        <v>6412.578000000001</v>
      </c>
      <c r="AL38" s="172">
        <f t="shared" si="41"/>
        <v>1806.36</v>
      </c>
      <c r="AM38" s="172">
        <f t="shared" si="41"/>
        <v>9031.799999999997</v>
      </c>
      <c r="AN38" s="172">
        <f t="shared" si="41"/>
        <v>1896.6779999999997</v>
      </c>
      <c r="AO38" s="172">
        <f t="shared" si="41"/>
        <v>18244.235999999997</v>
      </c>
      <c r="AP38" s="172">
        <f t="shared" si="41"/>
        <v>9302.754</v>
      </c>
      <c r="AQ38" s="172">
        <f t="shared" si="41"/>
        <v>6773.850000000001</v>
      </c>
      <c r="AR38" s="172">
        <f t="shared" si="41"/>
        <v>6773.850000000001</v>
      </c>
      <c r="AS38" s="172">
        <f t="shared" si="41"/>
        <v>5193.284999999999</v>
      </c>
      <c r="AT38" s="172">
        <f t="shared" si="41"/>
        <v>0</v>
      </c>
      <c r="AU38" s="172">
        <f t="shared" si="41"/>
        <v>5652</v>
      </c>
      <c r="AV38" s="172">
        <f t="shared" si="41"/>
        <v>0</v>
      </c>
      <c r="AW38" s="172">
        <f t="shared" si="41"/>
        <v>21207</v>
      </c>
      <c r="AX38" s="172">
        <f t="shared" si="41"/>
        <v>8955.71</v>
      </c>
      <c r="AY38" s="172">
        <f>SUM(BA26:BA37)</f>
        <v>0</v>
      </c>
      <c r="AZ38" s="172">
        <f aca="true" t="shared" si="42" ref="AZ38:BE38">SUM(AZ26:AZ37)</f>
        <v>0</v>
      </c>
      <c r="BA38" s="172">
        <f t="shared" si="42"/>
        <v>0</v>
      </c>
      <c r="BB38" s="172">
        <f t="shared" si="42"/>
        <v>0</v>
      </c>
      <c r="BC38" s="172">
        <f t="shared" si="42"/>
        <v>101250.10099999998</v>
      </c>
      <c r="BD38" s="172">
        <f t="shared" si="42"/>
        <v>0</v>
      </c>
      <c r="BE38" s="172">
        <f t="shared" si="42"/>
        <v>101250.10099999998</v>
      </c>
      <c r="BF38" s="172">
        <f>SUM(BF26:BF37)</f>
        <v>-58505.015999999996</v>
      </c>
      <c r="BG38" s="172">
        <f>SUM(BG26:BG37)</f>
        <v>-33466.12</v>
      </c>
    </row>
    <row r="39" spans="1:59" s="28" customFormat="1" ht="13.5" thickBot="1">
      <c r="A39" s="173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5"/>
      <c r="BF39" s="174"/>
      <c r="BG39" s="176"/>
    </row>
    <row r="40" spans="1:59" s="28" customFormat="1" ht="13.5" thickBot="1">
      <c r="A40" s="33" t="s">
        <v>54</v>
      </c>
      <c r="B40" s="174"/>
      <c r="C40" s="177">
        <f aca="true" t="shared" si="43" ref="C40:AD40">C38+C24</f>
        <v>331741.7725</v>
      </c>
      <c r="D40" s="177">
        <f t="shared" si="43"/>
        <v>73626.340128</v>
      </c>
      <c r="E40" s="177">
        <f t="shared" si="43"/>
        <v>28201.000000000004</v>
      </c>
      <c r="F40" s="177">
        <f t="shared" si="43"/>
        <v>1352.01</v>
      </c>
      <c r="G40" s="177">
        <f t="shared" si="43"/>
        <v>23917.49</v>
      </c>
      <c r="H40" s="177">
        <f t="shared" si="43"/>
        <v>0</v>
      </c>
      <c r="I40" s="177">
        <f t="shared" si="43"/>
        <v>38192.71</v>
      </c>
      <c r="J40" s="177">
        <f t="shared" si="43"/>
        <v>1748.9</v>
      </c>
      <c r="K40" s="177">
        <f t="shared" si="43"/>
        <v>63570.05</v>
      </c>
      <c r="L40" s="177">
        <f t="shared" si="43"/>
        <v>3046.9299999999994</v>
      </c>
      <c r="M40" s="177">
        <f t="shared" si="43"/>
        <v>108604.27</v>
      </c>
      <c r="N40" s="177">
        <f t="shared" si="43"/>
        <v>4398.66</v>
      </c>
      <c r="O40" s="177">
        <f t="shared" si="43"/>
        <v>27244.74</v>
      </c>
      <c r="P40" s="177">
        <f t="shared" si="43"/>
        <v>1081.34</v>
      </c>
      <c r="Q40" s="177">
        <f t="shared" si="43"/>
        <v>0</v>
      </c>
      <c r="R40" s="177">
        <f t="shared" si="43"/>
        <v>0</v>
      </c>
      <c r="S40" s="177">
        <f t="shared" si="43"/>
        <v>0</v>
      </c>
      <c r="T40" s="177">
        <f t="shared" si="43"/>
        <v>0</v>
      </c>
      <c r="U40" s="177">
        <f t="shared" si="43"/>
        <v>289730.26</v>
      </c>
      <c r="V40" s="177">
        <f t="shared" si="43"/>
        <v>11627.840000000002</v>
      </c>
      <c r="W40" s="177">
        <f t="shared" si="43"/>
        <v>18016.34</v>
      </c>
      <c r="X40" s="177">
        <f t="shared" si="43"/>
        <v>12670.81</v>
      </c>
      <c r="Y40" s="177">
        <f t="shared" si="43"/>
        <v>24393.869999999995</v>
      </c>
      <c r="Z40" s="177">
        <f t="shared" si="43"/>
        <v>40607.85</v>
      </c>
      <c r="AA40" s="177">
        <f t="shared" si="43"/>
        <v>67519.13</v>
      </c>
      <c r="AB40" s="177">
        <f t="shared" si="43"/>
        <v>17025.940000000002</v>
      </c>
      <c r="AC40" s="177">
        <f t="shared" si="43"/>
        <v>0</v>
      </c>
      <c r="AD40" s="177">
        <f t="shared" si="43"/>
        <v>0</v>
      </c>
      <c r="AE40" s="177">
        <f>AE38+AF24</f>
        <v>220440.691128</v>
      </c>
      <c r="AF40" s="177">
        <f>AF38+AG24</f>
        <v>264253.095128</v>
      </c>
      <c r="AG40" s="177">
        <f aca="true" t="shared" si="44" ref="AG40:AQ40">AG38+AG24</f>
        <v>265488.12012800004</v>
      </c>
      <c r="AH40" s="177">
        <f t="shared" si="44"/>
        <v>0</v>
      </c>
      <c r="AI40" s="177">
        <f t="shared" si="44"/>
        <v>0</v>
      </c>
      <c r="AJ40" s="177">
        <f t="shared" si="44"/>
        <v>0</v>
      </c>
      <c r="AK40" s="177">
        <f t="shared" si="44"/>
        <v>24457.133499999996</v>
      </c>
      <c r="AL40" s="177">
        <f t="shared" si="44"/>
        <v>7631.1621568</v>
      </c>
      <c r="AM40" s="177">
        <f t="shared" si="44"/>
        <v>37971.318549359996</v>
      </c>
      <c r="AN40" s="177">
        <f t="shared" si="44"/>
        <v>3796.0544999999993</v>
      </c>
      <c r="AO40" s="177">
        <f t="shared" si="44"/>
        <v>56358.5373566176</v>
      </c>
      <c r="AP40" s="177">
        <f t="shared" si="44"/>
        <v>63009.81550422401</v>
      </c>
      <c r="AQ40" s="177">
        <f t="shared" si="44"/>
        <v>13557.337500000001</v>
      </c>
      <c r="AR40" s="177"/>
      <c r="AS40" s="177">
        <f aca="true" t="shared" si="45" ref="AS40:BG40">AS38+AS24</f>
        <v>7793.147499999999</v>
      </c>
      <c r="AT40" s="177">
        <f t="shared" si="45"/>
        <v>0</v>
      </c>
      <c r="AU40" s="177">
        <f t="shared" si="45"/>
        <v>10116.562600000001</v>
      </c>
      <c r="AV40" s="177">
        <f t="shared" si="45"/>
        <v>353</v>
      </c>
      <c r="AW40" s="177">
        <f t="shared" si="45"/>
        <v>73796.56</v>
      </c>
      <c r="AX40" s="177">
        <f t="shared" si="45"/>
        <v>15190.55</v>
      </c>
      <c r="AY40" s="177">
        <f t="shared" si="45"/>
        <v>3592.5119999999997</v>
      </c>
      <c r="AZ40" s="177">
        <f t="shared" si="45"/>
        <v>0</v>
      </c>
      <c r="BA40" s="177">
        <f t="shared" si="45"/>
        <v>0</v>
      </c>
      <c r="BB40" s="177">
        <f t="shared" si="45"/>
        <v>0</v>
      </c>
      <c r="BC40" s="177">
        <f t="shared" si="45"/>
        <v>331181.0286670016</v>
      </c>
      <c r="BD40" s="177">
        <f t="shared" si="45"/>
        <v>0</v>
      </c>
      <c r="BE40" s="178">
        <f t="shared" si="45"/>
        <v>331181.0286670016</v>
      </c>
      <c r="BF40" s="177">
        <f t="shared" si="45"/>
        <v>-65692.90853900157</v>
      </c>
      <c r="BG40" s="179">
        <f t="shared" si="45"/>
        <v>-109496.32</v>
      </c>
    </row>
  </sheetData>
  <sheetProtection/>
  <mergeCells count="56">
    <mergeCell ref="AR5:AR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AE5:AE6"/>
    <mergeCell ref="E3:R4"/>
    <mergeCell ref="U3:V4"/>
    <mergeCell ref="W3:AI4"/>
    <mergeCell ref="S3:T4"/>
    <mergeCell ref="AF5:AF6"/>
    <mergeCell ref="AG5:AG6"/>
    <mergeCell ref="U5:U6"/>
    <mergeCell ref="AB5:AB6"/>
    <mergeCell ref="AD5:AD6"/>
    <mergeCell ref="A1:N1"/>
    <mergeCell ref="A3:A6"/>
    <mergeCell ref="B3:B6"/>
    <mergeCell ref="C3:C6"/>
    <mergeCell ref="D3:D6"/>
    <mergeCell ref="AC5:AC6"/>
    <mergeCell ref="BF3:BF6"/>
    <mergeCell ref="AH5:AH6"/>
    <mergeCell ref="AI5:AI6"/>
    <mergeCell ref="AK5:AK6"/>
    <mergeCell ref="AL5:AL6"/>
    <mergeCell ref="AM5:AM6"/>
    <mergeCell ref="AP5:AP6"/>
    <mergeCell ref="AT5:AT6"/>
    <mergeCell ref="BC5:BC6"/>
    <mergeCell ref="AV5:AV6"/>
    <mergeCell ref="AZ5:AZ6"/>
    <mergeCell ref="AK3:BE4"/>
    <mergeCell ref="AW5:AW6"/>
    <mergeCell ref="BB5:BB6"/>
    <mergeCell ref="AQ5:AQ6"/>
    <mergeCell ref="AS5:AS6"/>
    <mergeCell ref="AU5:AU6"/>
    <mergeCell ref="BA5:BA6"/>
    <mergeCell ref="BD5:BD6"/>
    <mergeCell ref="BE5:BE6"/>
    <mergeCell ref="AX5:AX6"/>
    <mergeCell ref="Z5:Z6"/>
    <mergeCell ref="AA5:AA6"/>
    <mergeCell ref="V5:V6"/>
    <mergeCell ref="W5:W6"/>
    <mergeCell ref="X5:X6"/>
    <mergeCell ref="Y5:Y6"/>
    <mergeCell ref="AN5:AN6"/>
    <mergeCell ref="AO5:AO6"/>
    <mergeCell ref="AJ3:A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G73" sqref="G73"/>
    </sheetView>
  </sheetViews>
  <sheetFormatPr defaultColWidth="9.00390625" defaultRowHeight="12.75"/>
  <cols>
    <col min="1" max="1" width="10.00390625" style="2" customWidth="1"/>
    <col min="2" max="2" width="10.37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hidden="1" customWidth="1"/>
    <col min="14" max="14" width="10.375" style="2" customWidth="1"/>
    <col min="15" max="15" width="10.75390625" style="2" customWidth="1"/>
    <col min="16" max="16" width="12.625" style="2" customWidth="1"/>
    <col min="17" max="16384" width="9.125" style="2" customWidth="1"/>
  </cols>
  <sheetData>
    <row r="1" spans="2:8" ht="20.25" customHeight="1">
      <c r="B1" s="439" t="s">
        <v>55</v>
      </c>
      <c r="C1" s="439"/>
      <c r="D1" s="439"/>
      <c r="E1" s="439"/>
      <c r="F1" s="439"/>
      <c r="G1" s="439"/>
      <c r="H1" s="439"/>
    </row>
    <row r="2" spans="2:8" ht="21" customHeight="1">
      <c r="B2" s="439" t="s">
        <v>56</v>
      </c>
      <c r="C2" s="439"/>
      <c r="D2" s="439"/>
      <c r="E2" s="439"/>
      <c r="F2" s="439"/>
      <c r="G2" s="439"/>
      <c r="H2" s="439"/>
    </row>
    <row r="5" spans="1:15" ht="12.75">
      <c r="A5" s="333" t="s">
        <v>119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</row>
    <row r="6" spans="1:15" ht="12.75">
      <c r="A6" s="358" t="s">
        <v>123</v>
      </c>
      <c r="B6" s="358"/>
      <c r="C6" s="358"/>
      <c r="D6" s="358"/>
      <c r="E6" s="358"/>
      <c r="F6" s="358"/>
      <c r="G6" s="358"/>
      <c r="H6" s="111"/>
      <c r="I6" s="111"/>
      <c r="J6" s="111"/>
      <c r="K6" s="111"/>
      <c r="L6" s="111"/>
      <c r="M6" s="111"/>
      <c r="N6" s="111"/>
      <c r="O6" s="111"/>
    </row>
    <row r="7" spans="1:6" ht="13.5" thickBot="1">
      <c r="A7" s="440" t="s">
        <v>57</v>
      </c>
      <c r="B7" s="440"/>
      <c r="C7" s="440"/>
      <c r="D7" s="440"/>
      <c r="E7" s="440">
        <v>8.65</v>
      </c>
      <c r="F7" s="440"/>
    </row>
    <row r="8" spans="1:16" ht="12.75" customHeight="1">
      <c r="A8" s="293" t="s">
        <v>58</v>
      </c>
      <c r="B8" s="335" t="s">
        <v>1</v>
      </c>
      <c r="C8" s="338" t="s">
        <v>59</v>
      </c>
      <c r="D8" s="341" t="s">
        <v>3</v>
      </c>
      <c r="E8" s="344" t="s">
        <v>60</v>
      </c>
      <c r="F8" s="345"/>
      <c r="G8" s="441" t="s">
        <v>115</v>
      </c>
      <c r="H8" s="442"/>
      <c r="I8" s="348" t="s">
        <v>10</v>
      </c>
      <c r="J8" s="319"/>
      <c r="K8" s="319"/>
      <c r="L8" s="319"/>
      <c r="M8" s="319"/>
      <c r="N8" s="349"/>
      <c r="O8" s="352" t="s">
        <v>61</v>
      </c>
      <c r="P8" s="352" t="s">
        <v>12</v>
      </c>
    </row>
    <row r="9" spans="1:16" ht="12.75">
      <c r="A9" s="294"/>
      <c r="B9" s="336"/>
      <c r="C9" s="339"/>
      <c r="D9" s="342"/>
      <c r="E9" s="346"/>
      <c r="F9" s="347"/>
      <c r="G9" s="443"/>
      <c r="H9" s="444"/>
      <c r="I9" s="350"/>
      <c r="J9" s="309"/>
      <c r="K9" s="309"/>
      <c r="L9" s="309"/>
      <c r="M9" s="309"/>
      <c r="N9" s="351"/>
      <c r="O9" s="353"/>
      <c r="P9" s="353"/>
    </row>
    <row r="10" spans="1:16" ht="26.25" customHeight="1">
      <c r="A10" s="294"/>
      <c r="B10" s="336"/>
      <c r="C10" s="339"/>
      <c r="D10" s="342"/>
      <c r="E10" s="363" t="s">
        <v>62</v>
      </c>
      <c r="F10" s="364"/>
      <c r="G10" s="180" t="s">
        <v>63</v>
      </c>
      <c r="H10" s="331" t="s">
        <v>7</v>
      </c>
      <c r="I10" s="367" t="s">
        <v>64</v>
      </c>
      <c r="J10" s="329" t="s">
        <v>116</v>
      </c>
      <c r="K10" s="329" t="s">
        <v>65</v>
      </c>
      <c r="L10" s="329" t="s">
        <v>37</v>
      </c>
      <c r="M10" s="329" t="s">
        <v>66</v>
      </c>
      <c r="N10" s="331" t="s">
        <v>39</v>
      </c>
      <c r="O10" s="353"/>
      <c r="P10" s="353"/>
    </row>
    <row r="11" spans="1:16" ht="66.75" customHeight="1" thickBot="1">
      <c r="A11" s="334"/>
      <c r="B11" s="337"/>
      <c r="C11" s="340"/>
      <c r="D11" s="343"/>
      <c r="E11" s="40" t="s">
        <v>67</v>
      </c>
      <c r="F11" s="41" t="s">
        <v>21</v>
      </c>
      <c r="G11" s="151" t="s">
        <v>117</v>
      </c>
      <c r="H11" s="332"/>
      <c r="I11" s="368"/>
      <c r="J11" s="330"/>
      <c r="K11" s="330"/>
      <c r="L11" s="330"/>
      <c r="M11" s="330"/>
      <c r="N11" s="332"/>
      <c r="O11" s="354"/>
      <c r="P11" s="354"/>
    </row>
    <row r="12" spans="1:16" ht="22.5" customHeight="1" thickBot="1">
      <c r="A12" s="43">
        <v>1</v>
      </c>
      <c r="B12" s="44">
        <v>2</v>
      </c>
      <c r="C12" s="43">
        <v>3</v>
      </c>
      <c r="D12" s="44">
        <v>4</v>
      </c>
      <c r="E12" s="43">
        <v>5</v>
      </c>
      <c r="F12" s="44">
        <v>6</v>
      </c>
      <c r="G12" s="43">
        <v>7</v>
      </c>
      <c r="H12" s="44">
        <v>8</v>
      </c>
      <c r="I12" s="43">
        <v>9</v>
      </c>
      <c r="J12" s="44">
        <v>10</v>
      </c>
      <c r="K12" s="43">
        <v>11</v>
      </c>
      <c r="L12" s="44">
        <v>12</v>
      </c>
      <c r="M12" s="43">
        <v>13</v>
      </c>
      <c r="N12" s="44">
        <v>13</v>
      </c>
      <c r="O12" s="43">
        <v>14</v>
      </c>
      <c r="P12" s="44">
        <v>15</v>
      </c>
    </row>
    <row r="13" spans="1:16" ht="16.5" customHeight="1" hidden="1">
      <c r="A13" s="282"/>
      <c r="B13" s="284">
        <f>'2012 полн'!B8</f>
        <v>0</v>
      </c>
      <c r="C13" s="285">
        <f>'2012 полн'!C8</f>
        <v>175380.48000000004</v>
      </c>
      <c r="D13" s="286">
        <f>'2012 полн'!D8</f>
        <v>70088.971128</v>
      </c>
      <c r="E13" s="286">
        <f>'2012 полн'!U8</f>
        <v>143055.87000000002</v>
      </c>
      <c r="F13" s="287">
        <f>'2012 полн'!V8</f>
        <v>11627.840000000002</v>
      </c>
      <c r="G13" s="288">
        <f>'2012 полн'!AF8</f>
        <v>88839.69</v>
      </c>
      <c r="H13" s="287">
        <f>'2012 полн'!AG8</f>
        <v>170556.501128</v>
      </c>
      <c r="I13" s="288">
        <f>'2012 полн'!AK8</f>
        <v>11984.639999999996</v>
      </c>
      <c r="J13" s="284">
        <f>'2012 полн'!AL8</f>
        <v>4015.8721568</v>
      </c>
      <c r="K13" s="286">
        <f>'2012 полн'!AM8+'2012 полн'!AO8+'2012 полн'!AP8+'2012 полн'!AY8</f>
        <v>87722.56091020162</v>
      </c>
      <c r="L13" s="284">
        <f>'2012 полн'!AU8+'2012 полн'!AV8+'2012 полн'!AW8+'2012 полн'!AX8</f>
        <v>53344.122599999995</v>
      </c>
      <c r="M13" s="283"/>
      <c r="N13" s="287">
        <f>'2012 полн'!BE8</f>
        <v>157067.1956670016</v>
      </c>
      <c r="O13" s="287">
        <f>'2012 полн'!BF8</f>
        <v>13489.305460998417</v>
      </c>
      <c r="P13" s="287">
        <f>'2012 полн'!BG8</f>
        <v>-54216.18</v>
      </c>
    </row>
    <row r="14" spans="1:18" ht="12.75" hidden="1">
      <c r="A14" s="8" t="s">
        <v>114</v>
      </c>
      <c r="B14" s="181"/>
      <c r="C14" s="65"/>
      <c r="D14" s="66"/>
      <c r="E14" s="67"/>
      <c r="F14" s="68"/>
      <c r="G14" s="70"/>
      <c r="H14" s="68"/>
      <c r="I14" s="70"/>
      <c r="J14" s="19"/>
      <c r="K14" s="19"/>
      <c r="L14" s="20"/>
      <c r="M14" s="182"/>
      <c r="N14" s="21"/>
      <c r="O14" s="53"/>
      <c r="P14" s="53"/>
      <c r="Q14" s="1"/>
      <c r="R14" s="1"/>
    </row>
    <row r="15" spans="1:18" ht="12.75" hidden="1">
      <c r="A15" s="13" t="s">
        <v>45</v>
      </c>
      <c r="B15" s="183">
        <f>'2012 полн'!B10</f>
        <v>750.4</v>
      </c>
      <c r="C15" s="49">
        <f>'2012 полн'!C10</f>
        <v>6490.96</v>
      </c>
      <c r="D15" s="50">
        <f>'2012 полн'!D10</f>
        <v>208.692</v>
      </c>
      <c r="E15" s="19">
        <f>'2012 полн'!U10</f>
        <v>5923.389999999999</v>
      </c>
      <c r="F15" s="21">
        <f>'2012 полн'!V10</f>
        <v>0</v>
      </c>
      <c r="G15" s="52">
        <f>'2012 полн'!AF10</f>
        <v>3331.28</v>
      </c>
      <c r="H15" s="21">
        <f>'2012 полн'!AG10</f>
        <v>3539.972</v>
      </c>
      <c r="I15" s="52">
        <f>'2012 полн'!AK10</f>
        <v>502.76800000000003</v>
      </c>
      <c r="J15" s="52">
        <f>'2012 полн'!AL10</f>
        <v>150.08</v>
      </c>
      <c r="K15" s="19">
        <f>'2012 полн'!AM10+'2012 полн'!AN10+'2012 полн'!AO10+'2012 полн'!AP10+'2012 полн'!AQ10+'2012 полн'!AR10+'2012 полн'!AS10</f>
        <v>4322.304</v>
      </c>
      <c r="L15" s="20">
        <f>'2012 полн'!AU10+'2012 полн'!AV10+'2012 полн'!AW10+'2012 полн'!AX10</f>
        <v>2264</v>
      </c>
      <c r="M15" s="20">
        <f>'[4]Лист1'!AX8</f>
        <v>0</v>
      </c>
      <c r="N15" s="21">
        <f>'2012 полн'!BE10</f>
        <v>7239.152000000001</v>
      </c>
      <c r="O15" s="21">
        <f>'2012 полн'!BF10</f>
        <v>-3699.1800000000007</v>
      </c>
      <c r="P15" s="21">
        <f>'2012 полн'!BG10</f>
        <v>-2592.109999999999</v>
      </c>
      <c r="Q15" s="1"/>
      <c r="R15" s="1"/>
    </row>
    <row r="16" spans="1:18" ht="12.75" hidden="1">
      <c r="A16" s="13" t="s">
        <v>46</v>
      </c>
      <c r="B16" s="183">
        <f>'2012 полн'!B11</f>
        <v>750.4</v>
      </c>
      <c r="C16" s="49">
        <f>'2012 полн'!C11</f>
        <v>6490.96</v>
      </c>
      <c r="D16" s="50">
        <f>'2012 полн'!D11</f>
        <v>208.692</v>
      </c>
      <c r="E16" s="19">
        <f>'2012 полн'!U11</f>
        <v>5909.889999999999</v>
      </c>
      <c r="F16" s="21">
        <f>'2012 полн'!V11</f>
        <v>0</v>
      </c>
      <c r="G16" s="52">
        <f>'2012 полн'!AF11</f>
        <v>2437.5099999999998</v>
      </c>
      <c r="H16" s="21">
        <f>'2012 полн'!AG11</f>
        <v>2646.2019999999998</v>
      </c>
      <c r="I16" s="52">
        <f>'2012 полн'!AK11</f>
        <v>502.76800000000003</v>
      </c>
      <c r="J16" s="52">
        <f>'2012 полн'!AL11</f>
        <v>150.08</v>
      </c>
      <c r="K16" s="19">
        <f>'2012 полн'!AM11+'2012 полн'!AN11+'2012 полн'!AO11+'2012 полн'!AP11+'2012 полн'!AQ11+'2012 полн'!AR11+'2012 полн'!AS11</f>
        <v>4322.304</v>
      </c>
      <c r="L16" s="20">
        <f>'2012 полн'!AU11+'2012 полн'!AV11+'2012 полн'!AW11+'2012 полн'!AX11</f>
        <v>33.84</v>
      </c>
      <c r="M16" s="20">
        <f>'[4]Лист1'!AX9</f>
        <v>100.70592</v>
      </c>
      <c r="N16" s="21">
        <f>'2012 полн'!BE11</f>
        <v>5008.992000000001</v>
      </c>
      <c r="O16" s="21">
        <f>'2012 полн'!BF11</f>
        <v>-2362.7900000000013</v>
      </c>
      <c r="P16" s="21">
        <f>'2012 полн'!BG11</f>
        <v>-3472.3799999999997</v>
      </c>
      <c r="Q16" s="1"/>
      <c r="R16" s="1"/>
    </row>
    <row r="17" spans="1:18" ht="12.75" hidden="1">
      <c r="A17" s="13" t="s">
        <v>47</v>
      </c>
      <c r="B17" s="183">
        <f>'2012 полн'!B12</f>
        <v>750.4</v>
      </c>
      <c r="C17" s="49">
        <f>'2012 полн'!C12</f>
        <v>6490.96</v>
      </c>
      <c r="D17" s="50">
        <f>'2012 полн'!D12</f>
        <v>208.692</v>
      </c>
      <c r="E17" s="19">
        <f>'2012 полн'!U12</f>
        <v>5933.64</v>
      </c>
      <c r="F17" s="21">
        <f>'2012 полн'!V12</f>
        <v>0</v>
      </c>
      <c r="G17" s="52">
        <f>'2012 полн'!AF12</f>
        <v>4468.87</v>
      </c>
      <c r="H17" s="21">
        <f>'2012 полн'!AG12</f>
        <v>4677.562</v>
      </c>
      <c r="I17" s="52">
        <f>'2012 полн'!AK12</f>
        <v>502.76800000000003</v>
      </c>
      <c r="J17" s="52">
        <f>'2012 полн'!AL12</f>
        <v>150.08</v>
      </c>
      <c r="K17" s="19">
        <f>'2012 полн'!AM12+'2012 полн'!AN12+'2012 полн'!AO12+'2012 полн'!AP12+'2012 полн'!AQ12+'2012 полн'!AR12+'2012 полн'!AS12</f>
        <v>4322.304</v>
      </c>
      <c r="L17" s="20">
        <f>'2012 полн'!AU12+'2012 полн'!AV12+'2012 полн'!AW12+'2012 полн'!AX12</f>
        <v>0</v>
      </c>
      <c r="M17" s="20">
        <f>'[4]Лист1'!AX10</f>
        <v>80.68368</v>
      </c>
      <c r="N17" s="21">
        <f>'2012 полн'!BE12</f>
        <v>4975.152000000001</v>
      </c>
      <c r="O17" s="21">
        <f>'2012 полн'!BF12</f>
        <v>-297.59000000000106</v>
      </c>
      <c r="P17" s="21">
        <f>'2012 полн'!BG12</f>
        <v>-1464.7700000000004</v>
      </c>
      <c r="Q17" s="1"/>
      <c r="R17" s="1"/>
    </row>
    <row r="18" spans="1:18" ht="12.75" hidden="1">
      <c r="A18" s="13" t="s">
        <v>48</v>
      </c>
      <c r="B18" s="183">
        <f>'2012 полн'!B13</f>
        <v>755.45</v>
      </c>
      <c r="C18" s="49">
        <f>'2012 полн'!C13</f>
        <v>6534.642500000001</v>
      </c>
      <c r="D18" s="50">
        <f>'2012 полн'!D13</f>
        <v>208.692</v>
      </c>
      <c r="E18" s="19">
        <f>'2012 полн'!U13</f>
        <v>5973.050000000001</v>
      </c>
      <c r="F18" s="21">
        <f>'2012 полн'!V13</f>
        <v>0</v>
      </c>
      <c r="G18" s="52">
        <f>'2012 полн'!AF13</f>
        <v>2530.73</v>
      </c>
      <c r="H18" s="21">
        <f>'2012 полн'!AG13</f>
        <v>2739.422</v>
      </c>
      <c r="I18" s="52">
        <f>'2012 полн'!AK13</f>
        <v>506.15150000000006</v>
      </c>
      <c r="J18" s="52">
        <f>'2012 полн'!AL13</f>
        <v>151.09</v>
      </c>
      <c r="K18" s="19">
        <f>'2012 полн'!AM13+'2012 полн'!AN13+'2012 полн'!AO13+'2012 полн'!AP13+'2012 полн'!AQ13+'2012 полн'!AR13+'2012 полн'!AS13</f>
        <v>4351.392</v>
      </c>
      <c r="L18" s="20">
        <f>'2012 полн'!AU13+'2012 полн'!AV13+'2012 полн'!AW13+'2012 полн'!AX13</f>
        <v>15</v>
      </c>
      <c r="M18" s="20">
        <f>'[4]Лист1'!AX11</f>
        <v>75.92592</v>
      </c>
      <c r="N18" s="21">
        <f>'2012 полн'!BE13</f>
        <v>5023.6335</v>
      </c>
      <c r="O18" s="21">
        <f>'2012 полн'!BF13</f>
        <v>-2284.2115</v>
      </c>
      <c r="P18" s="21">
        <f>'2012 полн'!BG13</f>
        <v>-3442.320000000001</v>
      </c>
      <c r="Q18" s="1"/>
      <c r="R18" s="1"/>
    </row>
    <row r="19" spans="1:18" ht="12.75" hidden="1">
      <c r="A19" s="13" t="s">
        <v>49</v>
      </c>
      <c r="B19" s="183">
        <f>'2012 полн'!B14</f>
        <v>755.45</v>
      </c>
      <c r="C19" s="49">
        <f>'2012 полн'!C14</f>
        <v>6534.642500000001</v>
      </c>
      <c r="D19" s="50">
        <f>'2012 полн'!D14</f>
        <v>208.692</v>
      </c>
      <c r="E19" s="19">
        <f>'2012 полн'!U14</f>
        <v>5973.040000000001</v>
      </c>
      <c r="F19" s="21">
        <f>'2012 полн'!V14</f>
        <v>0</v>
      </c>
      <c r="G19" s="52">
        <f>'2012 полн'!AF14</f>
        <v>3402.9299999999994</v>
      </c>
      <c r="H19" s="21">
        <f>'2012 полн'!AG14</f>
        <v>3611.6219999999994</v>
      </c>
      <c r="I19" s="52">
        <f>'2012 полн'!AK14</f>
        <v>506.15150000000006</v>
      </c>
      <c r="J19" s="52">
        <f>'2012 полн'!AL14</f>
        <v>151.09</v>
      </c>
      <c r="K19" s="19">
        <f>'2012 полн'!AM14+'2012 полн'!AN14+'2012 полн'!AO14+'2012 полн'!AP14+'2012 полн'!AQ14+'2012 полн'!AR14+'2012 полн'!AS14</f>
        <v>4351.392</v>
      </c>
      <c r="L19" s="20">
        <f>'2012 полн'!AU14+'2012 полн'!AV14+'2012 полн'!AW14+'2012 полн'!AX14</f>
        <v>0</v>
      </c>
      <c r="M19" s="20">
        <f>'[4]Лист1'!AX12</f>
        <v>60.85968</v>
      </c>
      <c r="N19" s="21">
        <f>'2012 полн'!BE14</f>
        <v>5008.6335</v>
      </c>
      <c r="O19" s="21">
        <f>'2012 полн'!BF14</f>
        <v>-1397.0115000000005</v>
      </c>
      <c r="P19" s="21">
        <f>'2012 полн'!BG14</f>
        <v>-2570.1100000000015</v>
      </c>
      <c r="Q19" s="1"/>
      <c r="R19" s="1"/>
    </row>
    <row r="20" spans="1:18" ht="12.75" hidden="1">
      <c r="A20" s="13" t="s">
        <v>50</v>
      </c>
      <c r="B20" s="183">
        <f>'2012 полн'!B15</f>
        <v>755.45</v>
      </c>
      <c r="C20" s="49">
        <f>'2012 полн'!C15</f>
        <v>6534.642500000001</v>
      </c>
      <c r="D20" s="50">
        <f>'2012 полн'!D15</f>
        <v>208.692</v>
      </c>
      <c r="E20" s="19">
        <f>'2012 полн'!U15</f>
        <v>5973.050000000001</v>
      </c>
      <c r="F20" s="21">
        <f>'2012 полн'!V15</f>
        <v>0</v>
      </c>
      <c r="G20" s="52">
        <f>'2012 полн'!AF15</f>
        <v>1788.28</v>
      </c>
      <c r="H20" s="21">
        <f>'2012 полн'!AG15</f>
        <v>1996.972</v>
      </c>
      <c r="I20" s="52">
        <f>'2012 полн'!AK15</f>
        <v>506.15150000000006</v>
      </c>
      <c r="J20" s="52">
        <f>'2012 полн'!AL15</f>
        <v>151.09</v>
      </c>
      <c r="K20" s="19">
        <f>'2012 полн'!AM15+'2012 полн'!AN15+'2012 полн'!AO15+'2012 полн'!AP15+'2012 полн'!AQ15+'2012 полн'!AR15+'2012 полн'!AS15</f>
        <v>4351.392</v>
      </c>
      <c r="L20" s="20">
        <f>'2012 полн'!AU15+'2012 полн'!AV15+'2012 полн'!AW15+'2012 полн'!AX15</f>
        <v>0</v>
      </c>
      <c r="M20" s="20">
        <f>'[4]Лист1'!AX13</f>
        <v>52.137119999999996</v>
      </c>
      <c r="N20" s="21">
        <f>'2012 полн'!BE15</f>
        <v>5008.6335</v>
      </c>
      <c r="O20" s="21">
        <f>'2012 полн'!BF15</f>
        <v>-3011.6615</v>
      </c>
      <c r="P20" s="21">
        <f>'2012 полн'!BG15</f>
        <v>-4184.770000000001</v>
      </c>
      <c r="Q20" s="1"/>
      <c r="R20" s="1"/>
    </row>
    <row r="21" spans="1:18" ht="12.75" hidden="1">
      <c r="A21" s="13" t="s">
        <v>51</v>
      </c>
      <c r="B21" s="183">
        <f>'2012 полн'!B16</f>
        <v>755.45</v>
      </c>
      <c r="C21" s="49">
        <f>'2012 полн'!C16</f>
        <v>6534.642500000001</v>
      </c>
      <c r="D21" s="50">
        <f>'2012 полн'!D16</f>
        <v>208.692</v>
      </c>
      <c r="E21" s="19">
        <f>'2012 полн'!U16</f>
        <v>5973.050000000001</v>
      </c>
      <c r="F21" s="21">
        <f>'2012 полн'!V16</f>
        <v>0</v>
      </c>
      <c r="G21" s="52">
        <f>'2012 полн'!AF16</f>
        <v>3820.6800000000003</v>
      </c>
      <c r="H21" s="21">
        <f>'2012 полн'!AG16</f>
        <v>4029.3720000000003</v>
      </c>
      <c r="I21" s="52">
        <f>'2012 полн'!AK16</f>
        <v>506.15150000000006</v>
      </c>
      <c r="J21" s="52">
        <f>'2012 полн'!AL16</f>
        <v>151.09</v>
      </c>
      <c r="K21" s="19">
        <f>'2012 полн'!AM16+'2012 полн'!AN16+'2012 полн'!AO16+'2012 полн'!AP16+'2012 полн'!AQ16+'2012 полн'!AR16+'2012 полн'!AS16</f>
        <v>4351.392</v>
      </c>
      <c r="L21" s="20">
        <f>'2012 полн'!AU16+'2012 полн'!AV16+'2012 полн'!AW16+'2012 полн'!AX16</f>
        <v>0</v>
      </c>
      <c r="M21" s="20">
        <f>'[4]Лист1'!AX14</f>
        <v>46.189919999999994</v>
      </c>
      <c r="N21" s="21">
        <f>'2012 полн'!BE16</f>
        <v>5008.6335</v>
      </c>
      <c r="O21" s="21">
        <f>'2012 полн'!BF16</f>
        <v>-979.2614999999996</v>
      </c>
      <c r="P21" s="21">
        <f>'2012 полн'!BG16</f>
        <v>-2152.370000000001</v>
      </c>
      <c r="Q21" s="1"/>
      <c r="R21" s="1"/>
    </row>
    <row r="22" spans="1:18" ht="12.75" hidden="1">
      <c r="A22" s="13" t="s">
        <v>52</v>
      </c>
      <c r="B22" s="183">
        <f>'2012 полн'!B17</f>
        <v>755.45</v>
      </c>
      <c r="C22" s="49">
        <f>'2012 полн'!C17</f>
        <v>6534.642500000001</v>
      </c>
      <c r="D22" s="50">
        <f>'2012 полн'!D17</f>
        <v>168.3</v>
      </c>
      <c r="E22" s="19">
        <f>'2012 полн'!U17</f>
        <v>5973.06</v>
      </c>
      <c r="F22" s="21">
        <f>'2012 полн'!V17</f>
        <v>0</v>
      </c>
      <c r="G22" s="52">
        <f>'2012 полн'!AF17</f>
        <v>5829.370000000001</v>
      </c>
      <c r="H22" s="21">
        <f>'2012 полн'!AG17</f>
        <v>5997.670000000001</v>
      </c>
      <c r="I22" s="52">
        <f>'2012 полн'!AK17</f>
        <v>506.15150000000006</v>
      </c>
      <c r="J22" s="52">
        <f>'2012 полн'!AL17</f>
        <v>151.09</v>
      </c>
      <c r="K22" s="19">
        <f>'2012 полн'!AM17+'2012 полн'!AN17+'2012 полн'!AO17+'2012 полн'!AP17+'2012 полн'!AQ17+'2012 полн'!AR17+'2012 полн'!AS17</f>
        <v>4351.392</v>
      </c>
      <c r="L22" s="20">
        <f>'2012 полн'!AU17+'2012 полн'!AV17+'2012 полн'!AW17+'2012 полн'!AX17</f>
        <v>6208</v>
      </c>
      <c r="M22" s="20">
        <f>'[4]Лист1'!AX15</f>
        <v>49.16352</v>
      </c>
      <c r="N22" s="21">
        <f>'2012 полн'!BE17</f>
        <v>11216.6335</v>
      </c>
      <c r="O22" s="21">
        <f>'2012 полн'!BF17</f>
        <v>-5218.963499999999</v>
      </c>
      <c r="P22" s="21">
        <f>'2012 полн'!BG17</f>
        <v>-143.6899999999996</v>
      </c>
      <c r="Q22" s="1"/>
      <c r="R22" s="1"/>
    </row>
    <row r="23" spans="1:18" ht="12.75" hidden="1">
      <c r="A23" s="13" t="s">
        <v>53</v>
      </c>
      <c r="B23" s="183">
        <f>'2012 полн'!B18</f>
        <v>755.45</v>
      </c>
      <c r="C23" s="49">
        <f>'2012 полн'!C18</f>
        <v>6534.642500000001</v>
      </c>
      <c r="D23" s="50">
        <f>'2012 полн'!D18</f>
        <v>168.3</v>
      </c>
      <c r="E23" s="19">
        <f>'2012 полн'!U18</f>
        <v>6025.95</v>
      </c>
      <c r="F23" s="21">
        <f>'2012 полн'!V18</f>
        <v>0</v>
      </c>
      <c r="G23" s="52">
        <f>'2012 полн'!AF18</f>
        <v>6497.749999999999</v>
      </c>
      <c r="H23" s="21">
        <f>'2012 полн'!AG18</f>
        <v>6666.049999999999</v>
      </c>
      <c r="I23" s="52">
        <f>'2012 полн'!AK18</f>
        <v>506.15150000000006</v>
      </c>
      <c r="J23" s="52">
        <f>'2012 полн'!AL18</f>
        <v>151.09</v>
      </c>
      <c r="K23" s="19">
        <f>'2012 полн'!AM18+'2012 полн'!AN18+'2012 полн'!AO18+'2012 полн'!AP18+'2012 полн'!AQ18+'2012 полн'!AR18+'2012 полн'!AS18</f>
        <v>4351.392</v>
      </c>
      <c r="L23" s="20">
        <f>'2012 полн'!AU18+'2012 полн'!AV18+'2012 полн'!AW18+'2012 полн'!AX18</f>
        <v>0</v>
      </c>
      <c r="M23" s="20">
        <f>'[4]Лист1'!AX16</f>
        <v>58.08431999999999</v>
      </c>
      <c r="N23" s="21">
        <f>'2012 полн'!BE18</f>
        <v>5008.6335</v>
      </c>
      <c r="O23" s="21">
        <f>'2012 полн'!BF18</f>
        <v>1657.4164999999994</v>
      </c>
      <c r="P23" s="21">
        <f>'2012 полн'!BG18</f>
        <v>471.7999999999993</v>
      </c>
      <c r="Q23" s="1"/>
      <c r="R23" s="1"/>
    </row>
    <row r="24" spans="1:18" ht="12.75" hidden="1">
      <c r="A24" s="13" t="s">
        <v>41</v>
      </c>
      <c r="B24" s="183">
        <f>'2012 полн'!B19</f>
        <v>755.45</v>
      </c>
      <c r="C24" s="49">
        <f>'2012 полн'!C19</f>
        <v>6534.642500000001</v>
      </c>
      <c r="D24" s="50">
        <f>'2012 полн'!D19</f>
        <v>168.3</v>
      </c>
      <c r="E24" s="19">
        <f>'2012 полн'!U19</f>
        <v>6053.169999999999</v>
      </c>
      <c r="F24" s="21">
        <f>'2012 полн'!V19</f>
        <v>0</v>
      </c>
      <c r="G24" s="52">
        <f>'2012 полн'!AF19</f>
        <v>5545.42</v>
      </c>
      <c r="H24" s="21">
        <f>'2012 полн'!AG19</f>
        <v>5713.72</v>
      </c>
      <c r="I24" s="52">
        <f>'2012 полн'!AK19</f>
        <v>506.15150000000006</v>
      </c>
      <c r="J24" s="52">
        <f>'2012 полн'!AL19</f>
        <v>151.09</v>
      </c>
      <c r="K24" s="19">
        <f>'2012 полн'!AM19+'2012 полн'!AN19+'2012 полн'!AO19+'2012 полн'!AP19+'2012 полн'!AQ19+'2012 полн'!AR19+'2012 полн'!AS19</f>
        <v>5220.1595</v>
      </c>
      <c r="L24" s="20">
        <f>'2012 полн'!AU19+'2012 полн'!AV19+'2012 полн'!AW19+'2012 полн'!AX19</f>
        <v>0</v>
      </c>
      <c r="M24" s="20">
        <f>'[4]Лист1'!AX17</f>
        <v>69.18576</v>
      </c>
      <c r="N24" s="21">
        <f>'2012 полн'!BE19</f>
        <v>5877.401</v>
      </c>
      <c r="O24" s="21">
        <f>'2012 полн'!BF19</f>
        <v>-163.68099999999959</v>
      </c>
      <c r="P24" s="21">
        <f>'2012 полн'!BG19</f>
        <v>-507.7499999999991</v>
      </c>
      <c r="Q24" s="1"/>
      <c r="R24" s="1"/>
    </row>
    <row r="25" spans="1:18" ht="12.75" hidden="1">
      <c r="A25" s="13" t="s">
        <v>42</v>
      </c>
      <c r="B25" s="183">
        <f>'2012 полн'!B20</f>
        <v>752.65</v>
      </c>
      <c r="C25" s="49">
        <f>'2012 полн'!C20</f>
        <v>6510.4225</v>
      </c>
      <c r="D25" s="50">
        <f>'2012 полн'!D20</f>
        <v>168.3</v>
      </c>
      <c r="E25" s="19">
        <f>'2012 полн'!U20</f>
        <v>6056.45</v>
      </c>
      <c r="F25" s="21">
        <f>'2012 полн'!V20</f>
        <v>0</v>
      </c>
      <c r="G25" s="52">
        <f>'2012 полн'!AF20</f>
        <v>4824.88</v>
      </c>
      <c r="H25" s="21">
        <f>'2012 полн'!AG20</f>
        <v>4993.18</v>
      </c>
      <c r="I25" s="52">
        <f>'2012 полн'!AK20</f>
        <v>504.2755</v>
      </c>
      <c r="J25" s="52">
        <f>'2012 полн'!AL20</f>
        <v>150.53</v>
      </c>
      <c r="K25" s="19">
        <f>'2012 полн'!AM20+'2012 полн'!AN20+'2012 полн'!AO20+'2012 полн'!AP20+'2012 полн'!AQ20+'2012 полн'!AR20+'2012 полн'!AS20</f>
        <v>5200.8115</v>
      </c>
      <c r="L25" s="20">
        <f>'2012 полн'!AU20+'2012 полн'!AV20+'2012 полн'!AW20+'2012 полн'!AX20</f>
        <v>1777</v>
      </c>
      <c r="M25" s="20">
        <f>'[4]Лист1'!AX18</f>
        <v>84.252</v>
      </c>
      <c r="N25" s="21">
        <f>'2012 полн'!BE20</f>
        <v>7632.616999999999</v>
      </c>
      <c r="O25" s="21">
        <f>'2012 полн'!BF20</f>
        <v>-2639.436999999999</v>
      </c>
      <c r="P25" s="21">
        <f>'2012 полн'!BG20</f>
        <v>-1231.5699999999997</v>
      </c>
      <c r="Q25" s="1"/>
      <c r="R25" s="1"/>
    </row>
    <row r="26" spans="1:18" ht="13.5" hidden="1" thickBot="1">
      <c r="A26" s="54" t="s">
        <v>43</v>
      </c>
      <c r="B26" s="183">
        <f>'2012 полн'!B21</f>
        <v>752.65</v>
      </c>
      <c r="C26" s="49">
        <f>'2012 полн'!C21</f>
        <v>6510.4225</v>
      </c>
      <c r="D26" s="50">
        <f>'2012 полн'!D21</f>
        <v>168.3</v>
      </c>
      <c r="E26" s="19">
        <f>'2012 полн'!U21</f>
        <v>5930.469999999999</v>
      </c>
      <c r="F26" s="21">
        <f>'2012 полн'!V21</f>
        <v>0</v>
      </c>
      <c r="G26" s="52">
        <f>'2012 полн'!AF21</f>
        <v>5406.49</v>
      </c>
      <c r="H26" s="21">
        <f>'2012 полн'!AG21</f>
        <v>5574.79</v>
      </c>
      <c r="I26" s="52">
        <f>'2012 полн'!AK21</f>
        <v>504.2755</v>
      </c>
      <c r="J26" s="52">
        <f>'2012 полн'!AL21</f>
        <v>150.53</v>
      </c>
      <c r="K26" s="19">
        <f>'2012 полн'!AM21+'2012 полн'!AN21+'2012 полн'!AO21+'2012 полн'!AP21+'2012 полн'!AQ21+'2012 полн'!AR21+'2012 полн'!AS21</f>
        <v>5200.8115</v>
      </c>
      <c r="L26" s="20">
        <f>'2012 полн'!AU21+'2012 полн'!AV21+'2012 полн'!AW21+'2012 полн'!AX21</f>
        <v>0</v>
      </c>
      <c r="M26" s="20">
        <f>'[4]Лист1'!AX19</f>
        <v>93.17280000000001</v>
      </c>
      <c r="N26" s="21">
        <f>'2012 полн'!BE21</f>
        <v>5855.616999999999</v>
      </c>
      <c r="O26" s="21">
        <f>'2012 полн'!BF21</f>
        <v>-280.8269999999993</v>
      </c>
      <c r="P26" s="21">
        <f>'2012 полн'!BG21</f>
        <v>-523.9799999999996</v>
      </c>
      <c r="Q26" s="1"/>
      <c r="R26" s="1"/>
    </row>
    <row r="27" spans="1:18" s="28" customFormat="1" ht="13.5" hidden="1" thickBot="1">
      <c r="A27" s="56" t="s">
        <v>5</v>
      </c>
      <c r="B27" s="57"/>
      <c r="C27" s="58">
        <f aca="true" t="shared" si="0" ref="C27:P27">SUM(C15:C26)</f>
        <v>78236.2225</v>
      </c>
      <c r="D27" s="59">
        <f t="shared" si="0"/>
        <v>2302.344</v>
      </c>
      <c r="E27" s="58">
        <f t="shared" si="0"/>
        <v>71698.21</v>
      </c>
      <c r="F27" s="60">
        <f t="shared" si="0"/>
        <v>0</v>
      </c>
      <c r="G27" s="59">
        <f t="shared" si="0"/>
        <v>49884.189999999995</v>
      </c>
      <c r="H27" s="60">
        <f t="shared" si="0"/>
        <v>52186.534</v>
      </c>
      <c r="I27" s="59">
        <f t="shared" si="0"/>
        <v>6059.915499999999</v>
      </c>
      <c r="J27" s="58">
        <f t="shared" si="0"/>
        <v>1808.9299999999998</v>
      </c>
      <c r="K27" s="58">
        <f t="shared" si="0"/>
        <v>54697.0465</v>
      </c>
      <c r="L27" s="58">
        <f t="shared" si="0"/>
        <v>10297.84</v>
      </c>
      <c r="M27" s="58">
        <f t="shared" si="0"/>
        <v>770.36064</v>
      </c>
      <c r="N27" s="60">
        <f t="shared" si="0"/>
        <v>72863.73199999999</v>
      </c>
      <c r="O27" s="62">
        <f t="shared" si="0"/>
        <v>-20677.197999999997</v>
      </c>
      <c r="P27" s="62">
        <f t="shared" si="0"/>
        <v>-21814.02</v>
      </c>
      <c r="Q27" s="64"/>
      <c r="R27" s="64"/>
    </row>
    <row r="28" spans="1:18" ht="13.5" thickBot="1">
      <c r="A28" s="356" t="s">
        <v>118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71"/>
      <c r="Q28" s="1"/>
      <c r="R28" s="1"/>
    </row>
    <row r="29" spans="1:18" s="28" customFormat="1" ht="13.5" hidden="1" thickBot="1">
      <c r="A29" s="72" t="s">
        <v>54</v>
      </c>
      <c r="B29" s="73"/>
      <c r="C29" s="74">
        <f>'2012 полн'!C8</f>
        <v>175380.48000000004</v>
      </c>
      <c r="D29" s="74">
        <f>'2012 полн'!D8</f>
        <v>70088.971128</v>
      </c>
      <c r="E29" s="74">
        <f>'2012 полн'!U8</f>
        <v>143055.87000000002</v>
      </c>
      <c r="F29" s="74">
        <f>'2012 полн'!V8</f>
        <v>11627.840000000002</v>
      </c>
      <c r="G29" s="74">
        <f>'2012 полн'!AF8</f>
        <v>88839.69</v>
      </c>
      <c r="H29" s="74">
        <f>'2012 полн'!AG8</f>
        <v>170556.501128</v>
      </c>
      <c r="I29" s="74">
        <f>'2012 полн'!AK8</f>
        <v>11984.639999999996</v>
      </c>
      <c r="J29" s="74">
        <f>'2012 полн'!AL8</f>
        <v>4015.8721568</v>
      </c>
      <c r="K29" s="74">
        <f>'2012 полн'!AM8+'2012 полн'!AN8+'2012 полн'!AO8+'2012 полн'!AP8+'2012 полн'!AQ8+'2012 полн'!AS8+'2012 полн'!AT8+'2012 полн'!AX8+3592.51</f>
        <v>87722.55891020161</v>
      </c>
      <c r="L29" s="74">
        <f>'2012 полн'!AV8+'2012 полн'!AW8+'2012 полн'!AU8</f>
        <v>53344.122599999995</v>
      </c>
      <c r="M29" s="74">
        <v>0</v>
      </c>
      <c r="N29" s="74">
        <f>'2012 полн'!BC8</f>
        <v>157067.1956670016</v>
      </c>
      <c r="O29" s="74">
        <f>'2012 полн'!BF8</f>
        <v>13489.305460998417</v>
      </c>
      <c r="P29" s="74">
        <f>'2012 полн'!BG8</f>
        <v>-54216.18</v>
      </c>
      <c r="Q29" s="75"/>
      <c r="R29" s="64"/>
    </row>
    <row r="30" spans="1:18" ht="12.75" hidden="1">
      <c r="A30" s="8" t="s">
        <v>114</v>
      </c>
      <c r="B30" s="181"/>
      <c r="C30" s="65"/>
      <c r="D30" s="66"/>
      <c r="E30" s="67"/>
      <c r="F30" s="68"/>
      <c r="G30" s="70"/>
      <c r="H30" s="68"/>
      <c r="I30" s="70"/>
      <c r="J30" s="19"/>
      <c r="K30" s="19"/>
      <c r="L30" s="20"/>
      <c r="M30" s="182"/>
      <c r="N30" s="21"/>
      <c r="O30" s="53"/>
      <c r="P30" s="53"/>
      <c r="Q30" s="1"/>
      <c r="R30" s="1"/>
    </row>
    <row r="31" spans="1:18" ht="12.75" hidden="1">
      <c r="A31" s="13" t="s">
        <v>45</v>
      </c>
      <c r="B31" s="183">
        <f>'2012 полн'!B10</f>
        <v>750.4</v>
      </c>
      <c r="C31" s="49">
        <f>'2012 полн'!C10</f>
        <v>6490.96</v>
      </c>
      <c r="D31" s="50">
        <f>'2012 полн'!D10</f>
        <v>208.692</v>
      </c>
      <c r="E31" s="19">
        <f>'2012 полн'!U10</f>
        <v>5923.389999999999</v>
      </c>
      <c r="F31" s="19">
        <f>0</f>
        <v>0</v>
      </c>
      <c r="G31" s="52">
        <f>'2012 полн'!AF10</f>
        <v>3331.28</v>
      </c>
      <c r="H31" s="52">
        <f>'2012 полн'!AG10</f>
        <v>3539.972</v>
      </c>
      <c r="I31" s="52">
        <f>'2012 полн'!AK10</f>
        <v>502.76800000000003</v>
      </c>
      <c r="J31" s="52">
        <f>'2012 полн'!AL10</f>
        <v>150.08</v>
      </c>
      <c r="K31" s="19">
        <f>'2012 полн'!AM10+'2012 полн'!AN10+'2012 полн'!AO10+'2012 полн'!AP10+'2012 полн'!AQ10+'2012 полн'!AR10+'2012 полн'!AS10+'2012 полн'!AX10</f>
        <v>5322.304</v>
      </c>
      <c r="L31" s="20">
        <f>'2012 полн'!AU10+'2012 полн'!AV10+'2012 полн'!AW10</f>
        <v>1264</v>
      </c>
      <c r="M31" s="20">
        <v>0</v>
      </c>
      <c r="N31" s="21">
        <f>'2012 полн'!BE10</f>
        <v>7239.152000000001</v>
      </c>
      <c r="O31" s="53">
        <f>'2012 полн'!BF10</f>
        <v>-3699.1800000000007</v>
      </c>
      <c r="P31" s="53">
        <f>'2012 полн'!BG10</f>
        <v>-2592.109999999999</v>
      </c>
      <c r="Q31" s="1"/>
      <c r="R31" s="1"/>
    </row>
    <row r="32" spans="1:18" ht="12.75" hidden="1">
      <c r="A32" s="13" t="s">
        <v>46</v>
      </c>
      <c r="B32" s="183">
        <f>'2012 полн'!B11</f>
        <v>750.4</v>
      </c>
      <c r="C32" s="49">
        <f>'2012 полн'!C11</f>
        <v>6490.96</v>
      </c>
      <c r="D32" s="50">
        <f>'2012 полн'!D11</f>
        <v>208.692</v>
      </c>
      <c r="E32" s="19">
        <f>'2012 полн'!U11</f>
        <v>5909.889999999999</v>
      </c>
      <c r="F32" s="19">
        <f>0</f>
        <v>0</v>
      </c>
      <c r="G32" s="52">
        <f>'2012 полн'!AF11</f>
        <v>2437.5099999999998</v>
      </c>
      <c r="H32" s="52">
        <f>'2012 полн'!AG11</f>
        <v>2646.2019999999998</v>
      </c>
      <c r="I32" s="52">
        <f>'2012 полн'!AK11</f>
        <v>502.76800000000003</v>
      </c>
      <c r="J32" s="52">
        <f>'2012 полн'!AL11</f>
        <v>150.08</v>
      </c>
      <c r="K32" s="19">
        <f>'2012 полн'!AM11+'2012 полн'!AN11+'2012 полн'!AO11+'2012 полн'!AP11+'2012 полн'!AQ11+'2012 полн'!AR11+'2012 полн'!AS11+'2012 полн'!AX11</f>
        <v>4356.144</v>
      </c>
      <c r="L32" s="20">
        <f>'2012 полн'!AU11+'2012 полн'!AV11+'2012 полн'!AW11</f>
        <v>0</v>
      </c>
      <c r="M32" s="20">
        <v>0</v>
      </c>
      <c r="N32" s="21">
        <f>'2012 полн'!BE11</f>
        <v>5008.992000000001</v>
      </c>
      <c r="O32" s="53">
        <f>'2012 полн'!BF11</f>
        <v>-2362.7900000000013</v>
      </c>
      <c r="P32" s="53">
        <f>'2012 полн'!BG11</f>
        <v>-3472.3799999999997</v>
      </c>
      <c r="Q32" s="1"/>
      <c r="R32" s="1"/>
    </row>
    <row r="33" spans="1:18" ht="12.75" hidden="1">
      <c r="A33" s="13" t="s">
        <v>47</v>
      </c>
      <c r="B33" s="183">
        <f>'2012 полн'!B12</f>
        <v>750.4</v>
      </c>
      <c r="C33" s="49">
        <f>'2012 полн'!C12</f>
        <v>6490.96</v>
      </c>
      <c r="D33" s="50">
        <f>'2012 полн'!D12</f>
        <v>208.692</v>
      </c>
      <c r="E33" s="19">
        <f>'2012 полн'!U12</f>
        <v>5933.64</v>
      </c>
      <c r="F33" s="19">
        <f>0</f>
        <v>0</v>
      </c>
      <c r="G33" s="52">
        <f>'2012 полн'!AF12</f>
        <v>4468.87</v>
      </c>
      <c r="H33" s="52">
        <f>'2012 полн'!AG12</f>
        <v>4677.562</v>
      </c>
      <c r="I33" s="52">
        <f>'2012 полн'!AK12</f>
        <v>502.76800000000003</v>
      </c>
      <c r="J33" s="52">
        <f>'2012 полн'!AL12</f>
        <v>150.08</v>
      </c>
      <c r="K33" s="19">
        <f>'2012 полн'!AM12+'2012 полн'!AN12+'2012 полн'!AO12+'2012 полн'!AP12+'2012 полн'!AQ12+'2012 полн'!AR12+'2012 полн'!AS12+'2012 полн'!AX12</f>
        <v>4322.304</v>
      </c>
      <c r="L33" s="20">
        <f>'2012 полн'!AU12+'2012 полн'!AV12+'2012 полн'!AW12</f>
        <v>0</v>
      </c>
      <c r="M33" s="20">
        <v>0</v>
      </c>
      <c r="N33" s="21">
        <f>'2012 полн'!BE12</f>
        <v>4975.152000000001</v>
      </c>
      <c r="O33" s="53">
        <f>'2012 полн'!BF12</f>
        <v>-297.59000000000106</v>
      </c>
      <c r="P33" s="53">
        <f>'2012 полн'!BG12</f>
        <v>-1464.7700000000004</v>
      </c>
      <c r="Q33" s="1"/>
      <c r="R33" s="1"/>
    </row>
    <row r="34" spans="1:18" ht="12.75" hidden="1">
      <c r="A34" s="13" t="s">
        <v>48</v>
      </c>
      <c r="B34" s="183">
        <f>'2012 полн'!B13</f>
        <v>755.45</v>
      </c>
      <c r="C34" s="49">
        <f>'2012 полн'!C13</f>
        <v>6534.642500000001</v>
      </c>
      <c r="D34" s="50">
        <f>'2012 полн'!D13</f>
        <v>208.692</v>
      </c>
      <c r="E34" s="19">
        <f>'2012 полн'!U13</f>
        <v>5973.050000000001</v>
      </c>
      <c r="F34" s="19">
        <f>0</f>
        <v>0</v>
      </c>
      <c r="G34" s="52">
        <f>'2012 полн'!AF13</f>
        <v>2530.73</v>
      </c>
      <c r="H34" s="52">
        <f>'2012 полн'!AG13</f>
        <v>2739.422</v>
      </c>
      <c r="I34" s="52">
        <f>'2012 полн'!AK13</f>
        <v>506.15150000000006</v>
      </c>
      <c r="J34" s="52">
        <f>'2012 полн'!AL13</f>
        <v>151.09</v>
      </c>
      <c r="K34" s="19">
        <f>'2012 полн'!AM13+'2012 полн'!AN13+'2012 полн'!AO13+'2012 полн'!AP13+'2012 полн'!AQ13+'2012 полн'!AR13+'2012 полн'!AS13+'2012 полн'!AX13</f>
        <v>4366.392</v>
      </c>
      <c r="L34" s="20">
        <f>'2012 полн'!AU13+'2012 полн'!AV13+'2012 полн'!AW13</f>
        <v>0</v>
      </c>
      <c r="M34" s="20">
        <v>0</v>
      </c>
      <c r="N34" s="21">
        <f>'2012 полн'!BE13</f>
        <v>5023.6335</v>
      </c>
      <c r="O34" s="53">
        <f>'2012 полн'!BF13</f>
        <v>-2284.2115</v>
      </c>
      <c r="P34" s="53">
        <f>'2012 полн'!BG13</f>
        <v>-3442.320000000001</v>
      </c>
      <c r="Q34" s="1"/>
      <c r="R34" s="1"/>
    </row>
    <row r="35" spans="1:18" ht="12.75" hidden="1">
      <c r="A35" s="13" t="s">
        <v>49</v>
      </c>
      <c r="B35" s="183">
        <f>'2012 полн'!B14</f>
        <v>755.45</v>
      </c>
      <c r="C35" s="49">
        <f>'2012 полн'!C14</f>
        <v>6534.642500000001</v>
      </c>
      <c r="D35" s="50">
        <f>'2012 полн'!D14</f>
        <v>208.692</v>
      </c>
      <c r="E35" s="19">
        <f>'2012 полн'!U14</f>
        <v>5973.040000000001</v>
      </c>
      <c r="F35" s="19">
        <f>0</f>
        <v>0</v>
      </c>
      <c r="G35" s="52">
        <f>'2012 полн'!AF14</f>
        <v>3402.9299999999994</v>
      </c>
      <c r="H35" s="52">
        <f>'2012 полн'!AG14</f>
        <v>3611.6219999999994</v>
      </c>
      <c r="I35" s="52">
        <f>'2012 полн'!AK14</f>
        <v>506.15150000000006</v>
      </c>
      <c r="J35" s="52">
        <f>'2012 полн'!AL14</f>
        <v>151.09</v>
      </c>
      <c r="K35" s="19">
        <f>'2012 полн'!AM14+'2012 полн'!AN14+'2012 полн'!AO14+'2012 полн'!AP14+'2012 полн'!AQ14+'2012 полн'!AR14+'2012 полн'!AS14+'2012 полн'!AX14</f>
        <v>4351.392</v>
      </c>
      <c r="L35" s="20">
        <f>'2012 полн'!AU14+'2012 полн'!AV14+'2012 полн'!AW14</f>
        <v>0</v>
      </c>
      <c r="M35" s="20">
        <v>0</v>
      </c>
      <c r="N35" s="21">
        <f>'2012 полн'!BE14</f>
        <v>5008.6335</v>
      </c>
      <c r="O35" s="53">
        <f>'2012 полн'!BF14</f>
        <v>-1397.0115000000005</v>
      </c>
      <c r="P35" s="53">
        <f>'2012 полн'!BG14</f>
        <v>-2570.1100000000015</v>
      </c>
      <c r="Q35" s="1"/>
      <c r="R35" s="1"/>
    </row>
    <row r="36" spans="1:18" ht="12.75" hidden="1">
      <c r="A36" s="13" t="s">
        <v>50</v>
      </c>
      <c r="B36" s="183">
        <f>'2012 полн'!B15</f>
        <v>755.45</v>
      </c>
      <c r="C36" s="49">
        <f>'2012 полн'!C15</f>
        <v>6534.642500000001</v>
      </c>
      <c r="D36" s="50">
        <f>'2012 полн'!D15</f>
        <v>208.692</v>
      </c>
      <c r="E36" s="19">
        <f>'2012 полн'!U15</f>
        <v>5973.050000000001</v>
      </c>
      <c r="F36" s="19">
        <f>0</f>
        <v>0</v>
      </c>
      <c r="G36" s="52">
        <f>'2012 полн'!AF15</f>
        <v>1788.28</v>
      </c>
      <c r="H36" s="52">
        <f>'2012 полн'!AG15</f>
        <v>1996.972</v>
      </c>
      <c r="I36" s="52">
        <f>'2012 полн'!AK15</f>
        <v>506.15150000000006</v>
      </c>
      <c r="J36" s="52">
        <f>'2012 полн'!AL15</f>
        <v>151.09</v>
      </c>
      <c r="K36" s="19">
        <f>'2012 полн'!AM15+'2012 полн'!AN15+'2012 полн'!AO15+'2012 полн'!AP15+'2012 полн'!AQ15+'2012 полн'!AR15+'2012 полн'!AS15+'2012 полн'!AX15</f>
        <v>4351.392</v>
      </c>
      <c r="L36" s="20">
        <f>'2012 полн'!AU15+'2012 полн'!AV15+'2012 полн'!AW15</f>
        <v>0</v>
      </c>
      <c r="M36" s="20">
        <v>0</v>
      </c>
      <c r="N36" s="21">
        <f>'2012 полн'!BE15</f>
        <v>5008.6335</v>
      </c>
      <c r="O36" s="53">
        <f>'2012 полн'!BF15</f>
        <v>-3011.6615</v>
      </c>
      <c r="P36" s="53">
        <f>'2012 полн'!BG15</f>
        <v>-4184.770000000001</v>
      </c>
      <c r="Q36" s="1"/>
      <c r="R36" s="1"/>
    </row>
    <row r="37" spans="1:16" ht="12.75" hidden="1">
      <c r="A37" s="13" t="s">
        <v>51</v>
      </c>
      <c r="B37" s="183">
        <f>'2012 полн'!B16</f>
        <v>755.45</v>
      </c>
      <c r="C37" s="49">
        <f>'2012 полн'!C16</f>
        <v>6534.642500000001</v>
      </c>
      <c r="D37" s="50">
        <f>'2012 полн'!D16</f>
        <v>208.692</v>
      </c>
      <c r="E37" s="19">
        <f>'2012 полн'!U16</f>
        <v>5973.050000000001</v>
      </c>
      <c r="F37" s="19">
        <f>0</f>
        <v>0</v>
      </c>
      <c r="G37" s="52">
        <f>'2012 полн'!AF16</f>
        <v>3820.6800000000003</v>
      </c>
      <c r="H37" s="52">
        <f>'2012 полн'!AG16</f>
        <v>4029.3720000000003</v>
      </c>
      <c r="I37" s="52">
        <f>'2012 полн'!AK16</f>
        <v>506.15150000000006</v>
      </c>
      <c r="J37" s="52">
        <f>'2012 полн'!AL16</f>
        <v>151.09</v>
      </c>
      <c r="K37" s="19">
        <f>'2012 полн'!AM16+'2012 полн'!AN16+'2012 полн'!AO16+'2012 полн'!AP16+'2012 полн'!AQ16+'2012 полн'!AR16+'2012 полн'!AS16+'2012 полн'!AX16</f>
        <v>4351.392</v>
      </c>
      <c r="L37" s="20">
        <f>'2012 полн'!AU16+'2012 полн'!AV16+'2012 полн'!AW16</f>
        <v>0</v>
      </c>
      <c r="M37" s="20">
        <v>0</v>
      </c>
      <c r="N37" s="21">
        <f>'2012 полн'!BE16</f>
        <v>5008.6335</v>
      </c>
      <c r="O37" s="53">
        <f>'2012 полн'!BF16</f>
        <v>-979.2614999999996</v>
      </c>
      <c r="P37" s="53">
        <f>'2012 полн'!BG16</f>
        <v>-2152.370000000001</v>
      </c>
    </row>
    <row r="38" spans="1:16" ht="12.75" hidden="1">
      <c r="A38" s="13" t="s">
        <v>52</v>
      </c>
      <c r="B38" s="183">
        <f>'2012 полн'!B17</f>
        <v>755.45</v>
      </c>
      <c r="C38" s="49">
        <f>'2012 полн'!C17</f>
        <v>6534.642500000001</v>
      </c>
      <c r="D38" s="50">
        <f>'2012 полн'!D17</f>
        <v>168.3</v>
      </c>
      <c r="E38" s="19">
        <f>'2012 полн'!U17</f>
        <v>5973.06</v>
      </c>
      <c r="F38" s="19">
        <f>0</f>
        <v>0</v>
      </c>
      <c r="G38" s="52">
        <f>'2012 полн'!AF17</f>
        <v>5829.370000000001</v>
      </c>
      <c r="H38" s="52">
        <f>'2012 полн'!AG17</f>
        <v>5997.670000000001</v>
      </c>
      <c r="I38" s="52">
        <f>'2012 полн'!AK17</f>
        <v>506.15150000000006</v>
      </c>
      <c r="J38" s="52">
        <f>'2012 полн'!AL17</f>
        <v>151.09</v>
      </c>
      <c r="K38" s="19">
        <f>'2012 полн'!AM17+'2012 полн'!AN17+'2012 полн'!AO17+'2012 полн'!AP17+'2012 полн'!AQ17+'2012 полн'!AR17+'2012 полн'!AS17+'2012 полн'!AX17</f>
        <v>9074.392</v>
      </c>
      <c r="L38" s="20">
        <f>'2012 полн'!AU17+'2012 полн'!AV17+'2012 полн'!AW17</f>
        <v>1485</v>
      </c>
      <c r="M38" s="20">
        <v>0</v>
      </c>
      <c r="N38" s="21">
        <f>'2012 полн'!BE17</f>
        <v>11216.6335</v>
      </c>
      <c r="O38" s="53">
        <f>'2012 полн'!BF17</f>
        <v>-5218.963499999999</v>
      </c>
      <c r="P38" s="53">
        <f>'2012 полн'!BG17</f>
        <v>-143.6899999999996</v>
      </c>
    </row>
    <row r="39" spans="1:16" ht="12.75" hidden="1">
      <c r="A39" s="13" t="s">
        <v>53</v>
      </c>
      <c r="B39" s="183">
        <f>'2012 полн'!B18</f>
        <v>755.45</v>
      </c>
      <c r="C39" s="49">
        <f>'2012 полн'!C18</f>
        <v>6534.642500000001</v>
      </c>
      <c r="D39" s="50">
        <f>'2012 полн'!D18</f>
        <v>168.3</v>
      </c>
      <c r="E39" s="19">
        <f>'2012 полн'!U18</f>
        <v>6025.95</v>
      </c>
      <c r="F39" s="19">
        <f>0</f>
        <v>0</v>
      </c>
      <c r="G39" s="52">
        <f>'2012 полн'!AF18</f>
        <v>6497.749999999999</v>
      </c>
      <c r="H39" s="52">
        <f>'2012 полн'!AG18</f>
        <v>6666.049999999999</v>
      </c>
      <c r="I39" s="52">
        <f>'2012 полн'!AK18</f>
        <v>506.15150000000006</v>
      </c>
      <c r="J39" s="52">
        <f>'2012 полн'!AL18</f>
        <v>151.09</v>
      </c>
      <c r="K39" s="19">
        <f>'2012 полн'!AM18+'2012 полн'!AN18+'2012 полн'!AO18+'2012 полн'!AP18+'2012 полн'!AQ18+'2012 полн'!AR18+'2012 полн'!AS18+'2012 полн'!AX18</f>
        <v>4351.392</v>
      </c>
      <c r="L39" s="20">
        <f>'2012 полн'!AU18+'2012 полн'!AV18+'2012 полн'!AW18</f>
        <v>0</v>
      </c>
      <c r="M39" s="20">
        <v>0</v>
      </c>
      <c r="N39" s="21">
        <f>'2012 полн'!BE18</f>
        <v>5008.6335</v>
      </c>
      <c r="O39" s="53">
        <f>'2012 полн'!BF18</f>
        <v>1657.4164999999994</v>
      </c>
      <c r="P39" s="53">
        <f>'2012 полн'!BG18</f>
        <v>471.7999999999993</v>
      </c>
    </row>
    <row r="40" spans="1:16" ht="12.75" hidden="1">
      <c r="A40" s="13" t="s">
        <v>41</v>
      </c>
      <c r="B40" s="183">
        <f>'2012 полн'!B19</f>
        <v>755.45</v>
      </c>
      <c r="C40" s="49">
        <f>'2012 полн'!C19</f>
        <v>6534.642500000001</v>
      </c>
      <c r="D40" s="50">
        <f>'2012 полн'!D19</f>
        <v>168.3</v>
      </c>
      <c r="E40" s="19">
        <f>'2012 полн'!U19</f>
        <v>6053.169999999999</v>
      </c>
      <c r="F40" s="19">
        <f>0</f>
        <v>0</v>
      </c>
      <c r="G40" s="52">
        <f>'2012 полн'!AF19</f>
        <v>5545.42</v>
      </c>
      <c r="H40" s="52">
        <f>'2012 полн'!AG19</f>
        <v>5713.72</v>
      </c>
      <c r="I40" s="52">
        <f>'2012 полн'!AK19</f>
        <v>506.15150000000006</v>
      </c>
      <c r="J40" s="52">
        <f>'2012 полн'!AL19</f>
        <v>151.09</v>
      </c>
      <c r="K40" s="19">
        <f>'2012 полн'!AM19+'2012 полн'!AN19+'2012 полн'!AO19+'2012 полн'!AP19+'2012 полн'!AQ19+'2012 полн'!AR19+'2012 полн'!AS19+'2012 полн'!AX19</f>
        <v>5220.1595</v>
      </c>
      <c r="L40" s="20">
        <f>'2012 полн'!AU19+'2012 полн'!AV19+'2012 полн'!AW19</f>
        <v>0</v>
      </c>
      <c r="M40" s="20">
        <v>0</v>
      </c>
      <c r="N40" s="21">
        <f>'2012 полн'!BE19</f>
        <v>5877.401</v>
      </c>
      <c r="O40" s="53">
        <f>'2012 полн'!BF19</f>
        <v>-163.68099999999959</v>
      </c>
      <c r="P40" s="53">
        <f>'2012 полн'!BG19</f>
        <v>-507.7499999999991</v>
      </c>
    </row>
    <row r="41" spans="1:16" ht="12.75" hidden="1">
      <c r="A41" s="13" t="s">
        <v>42</v>
      </c>
      <c r="B41" s="183">
        <f>'2012 полн'!B20</f>
        <v>752.65</v>
      </c>
      <c r="C41" s="49">
        <f>'2012 полн'!C20</f>
        <v>6510.4225</v>
      </c>
      <c r="D41" s="50">
        <f>'2012 полн'!D20</f>
        <v>168.3</v>
      </c>
      <c r="E41" s="19">
        <f>'2012 полн'!U20</f>
        <v>6056.45</v>
      </c>
      <c r="F41" s="19">
        <f>0</f>
        <v>0</v>
      </c>
      <c r="G41" s="52">
        <f>'2012 полн'!AF20</f>
        <v>4824.88</v>
      </c>
      <c r="H41" s="52">
        <f>'2012 полн'!AG20</f>
        <v>4993.18</v>
      </c>
      <c r="I41" s="52">
        <f>'2012 полн'!AK20</f>
        <v>504.2755</v>
      </c>
      <c r="J41" s="52">
        <f>'2012 полн'!AL20</f>
        <v>150.53</v>
      </c>
      <c r="K41" s="19">
        <f>'2012 полн'!AM20+'2012 полн'!AN20+'2012 полн'!AO20+'2012 полн'!AP20+'2012 полн'!AQ20+'2012 полн'!AR20+'2012 полн'!AS20+'2012 полн'!AX20</f>
        <v>5663.8115</v>
      </c>
      <c r="L41" s="20">
        <f>'2012 полн'!AU20+'2012 полн'!AV20+'2012 полн'!AW20</f>
        <v>1314</v>
      </c>
      <c r="M41" s="20">
        <v>0</v>
      </c>
      <c r="N41" s="21">
        <f>'2012 полн'!BE20</f>
        <v>7632.616999999999</v>
      </c>
      <c r="O41" s="53">
        <f>'2012 полн'!BF20</f>
        <v>-2639.436999999999</v>
      </c>
      <c r="P41" s="53">
        <f>'2012 полн'!BG20</f>
        <v>-1231.5699999999997</v>
      </c>
    </row>
    <row r="42" spans="1:16" ht="13.5" hidden="1" thickBot="1">
      <c r="A42" s="13" t="s">
        <v>43</v>
      </c>
      <c r="B42" s="183">
        <f>'2012 полн'!B21</f>
        <v>752.65</v>
      </c>
      <c r="C42" s="49">
        <f>'2012 полн'!C21</f>
        <v>6510.4225</v>
      </c>
      <c r="D42" s="50">
        <f>'2012 полн'!D21</f>
        <v>168.3</v>
      </c>
      <c r="E42" s="19">
        <f>'2012 полн'!U21</f>
        <v>5930.469999999999</v>
      </c>
      <c r="F42" s="19">
        <f>0</f>
        <v>0</v>
      </c>
      <c r="G42" s="52">
        <f>'2012 полн'!AF21</f>
        <v>5406.49</v>
      </c>
      <c r="H42" s="52">
        <f>'2012 полн'!AG21</f>
        <v>5574.79</v>
      </c>
      <c r="I42" s="52">
        <f>'2012 полн'!AK21</f>
        <v>504.2755</v>
      </c>
      <c r="J42" s="52">
        <f>'2012 полн'!AL21</f>
        <v>150.53</v>
      </c>
      <c r="K42" s="19">
        <f>'2012 полн'!AM21+'2012 полн'!AN21+'2012 полн'!AO21+'2012 полн'!AP21+'2012 полн'!AQ21+'2012 полн'!AR21+'2012 полн'!AS21+'2012 полн'!AX21</f>
        <v>5200.8115</v>
      </c>
      <c r="L42" s="20">
        <f>'2012 полн'!AU21+'2012 полн'!AV21+'2012 полн'!AW21</f>
        <v>0</v>
      </c>
      <c r="M42" s="20">
        <v>0</v>
      </c>
      <c r="N42" s="21">
        <f>'2012 полн'!BE21</f>
        <v>5855.616999999999</v>
      </c>
      <c r="O42" s="53">
        <f>'2012 полн'!BF21</f>
        <v>-280.8269999999993</v>
      </c>
      <c r="P42" s="53">
        <f>'2012 полн'!BG21</f>
        <v>-523.9799999999996</v>
      </c>
    </row>
    <row r="43" spans="1:18" s="28" customFormat="1" ht="13.5" hidden="1" thickBot="1">
      <c r="A43" s="56" t="s">
        <v>5</v>
      </c>
      <c r="B43" s="57"/>
      <c r="C43" s="62">
        <f aca="true" t="shared" si="1" ref="C43:O43">SUM(C31:C42)</f>
        <v>78236.2225</v>
      </c>
      <c r="D43" s="62">
        <f t="shared" si="1"/>
        <v>2302.344</v>
      </c>
      <c r="E43" s="62">
        <f t="shared" si="1"/>
        <v>71698.21</v>
      </c>
      <c r="F43" s="62">
        <f t="shared" si="1"/>
        <v>0</v>
      </c>
      <c r="G43" s="62">
        <f t="shared" si="1"/>
        <v>49884.189999999995</v>
      </c>
      <c r="H43" s="62">
        <f t="shared" si="1"/>
        <v>52186.534</v>
      </c>
      <c r="I43" s="62">
        <f t="shared" si="1"/>
        <v>6059.915499999999</v>
      </c>
      <c r="J43" s="62">
        <f t="shared" si="1"/>
        <v>1808.9299999999998</v>
      </c>
      <c r="K43" s="62">
        <f t="shared" si="1"/>
        <v>60931.88649999999</v>
      </c>
      <c r="L43" s="62">
        <f t="shared" si="1"/>
        <v>4063</v>
      </c>
      <c r="M43" s="62">
        <f t="shared" si="1"/>
        <v>0</v>
      </c>
      <c r="N43" s="62">
        <f t="shared" si="1"/>
        <v>72863.73199999999</v>
      </c>
      <c r="O43" s="62">
        <f t="shared" si="1"/>
        <v>-20677.197999999997</v>
      </c>
      <c r="P43" s="62">
        <f>SUM(P31:P42)</f>
        <v>-21814.02</v>
      </c>
      <c r="Q43" s="64"/>
      <c r="R43" s="64"/>
    </row>
    <row r="44" spans="1:18" ht="13.5" hidden="1" thickBot="1">
      <c r="A44" s="356" t="s">
        <v>68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71"/>
      <c r="Q44" s="1"/>
      <c r="R44" s="1"/>
    </row>
    <row r="45" spans="1:18" s="28" customFormat="1" ht="13.5" thickBot="1">
      <c r="A45" s="72" t="s">
        <v>54</v>
      </c>
      <c r="B45" s="73"/>
      <c r="C45" s="74">
        <f aca="true" t="shared" si="2" ref="C45:P45">C43+C29</f>
        <v>253616.70250000004</v>
      </c>
      <c r="D45" s="74">
        <f t="shared" si="2"/>
        <v>72391.315128</v>
      </c>
      <c r="E45" s="74">
        <f t="shared" si="2"/>
        <v>214754.08000000002</v>
      </c>
      <c r="F45" s="74">
        <f t="shared" si="2"/>
        <v>11627.840000000002</v>
      </c>
      <c r="G45" s="74">
        <f t="shared" si="2"/>
        <v>138723.88</v>
      </c>
      <c r="H45" s="74">
        <f t="shared" si="2"/>
        <v>222743.03512800002</v>
      </c>
      <c r="I45" s="74">
        <f t="shared" si="2"/>
        <v>18044.555499999995</v>
      </c>
      <c r="J45" s="74">
        <f t="shared" si="2"/>
        <v>5824.8021568</v>
      </c>
      <c r="K45" s="74">
        <f t="shared" si="2"/>
        <v>148654.44541020162</v>
      </c>
      <c r="L45" s="74">
        <f t="shared" si="2"/>
        <v>57407.122599999995</v>
      </c>
      <c r="M45" s="74">
        <f t="shared" si="2"/>
        <v>0</v>
      </c>
      <c r="N45" s="74">
        <f t="shared" si="2"/>
        <v>229930.92766700158</v>
      </c>
      <c r="O45" s="74">
        <f t="shared" si="2"/>
        <v>-7187.892539001579</v>
      </c>
      <c r="P45" s="74">
        <f t="shared" si="2"/>
        <v>-76030.2</v>
      </c>
      <c r="Q45" s="75"/>
      <c r="R45" s="64"/>
    </row>
    <row r="46" spans="1:18" ht="12.75">
      <c r="A46" s="8" t="s">
        <v>122</v>
      </c>
      <c r="B46" s="181"/>
      <c r="C46" s="65"/>
      <c r="D46" s="66"/>
      <c r="E46" s="67"/>
      <c r="F46" s="68"/>
      <c r="G46" s="70"/>
      <c r="H46" s="68"/>
      <c r="I46" s="70"/>
      <c r="J46" s="19"/>
      <c r="K46" s="19"/>
      <c r="L46" s="20"/>
      <c r="M46" s="182"/>
      <c r="N46" s="21"/>
      <c r="O46" s="53"/>
      <c r="P46" s="53"/>
      <c r="Q46" s="1"/>
      <c r="R46" s="1"/>
    </row>
    <row r="47" spans="1:18" ht="12.75">
      <c r="A47" s="13" t="s">
        <v>45</v>
      </c>
      <c r="B47" s="183">
        <f>'2012 полн'!B26</f>
        <v>752.65</v>
      </c>
      <c r="C47" s="49">
        <f>'2012 полн'!C26</f>
        <v>6510.4225</v>
      </c>
      <c r="D47" s="50">
        <f>'2012 полн'!D26</f>
        <v>168.3</v>
      </c>
      <c r="E47" s="19">
        <f>'2012 полн'!U26</f>
        <v>6003.13</v>
      </c>
      <c r="F47" s="19">
        <f>0</f>
        <v>0</v>
      </c>
      <c r="G47" s="52">
        <f>'2012 полн'!AF26</f>
        <v>3722.1099999999997</v>
      </c>
      <c r="H47" s="52">
        <f>'2012 полн'!AG26</f>
        <v>3890.41</v>
      </c>
      <c r="I47" s="52">
        <f>'2012 полн'!AK26</f>
        <v>504.2755</v>
      </c>
      <c r="J47" s="52">
        <f>'2012 полн'!AL26</f>
        <v>150.53</v>
      </c>
      <c r="K47" s="19">
        <f>'2012 полн'!AM26+'2012 полн'!AN26+'2012 полн'!AO26+'2012 полн'!AP26+'2012 полн'!AQ26+'2012 полн'!AR26+'2012 полн'!AS26</f>
        <v>5200.8115</v>
      </c>
      <c r="L47" s="20">
        <f>'2012 полн'!AU26+'2012 полн'!AV26+'2012 полн'!AW26+'2012 полн'!AX26</f>
        <v>0</v>
      </c>
      <c r="M47" s="20">
        <v>0</v>
      </c>
      <c r="N47" s="21">
        <f>'2012 полн'!BE26</f>
        <v>5855.616999999999</v>
      </c>
      <c r="O47" s="53">
        <f>'2012 полн'!BF26</f>
        <v>-1965.2069999999994</v>
      </c>
      <c r="P47" s="53">
        <f>'2012 полн'!BG26</f>
        <v>-2281.0200000000004</v>
      </c>
      <c r="Q47" s="1"/>
      <c r="R47" s="1"/>
    </row>
    <row r="48" spans="1:18" ht="12.75">
      <c r="A48" s="13" t="s">
        <v>46</v>
      </c>
      <c r="B48" s="183">
        <f>'2012 полн'!B27</f>
        <v>752.65</v>
      </c>
      <c r="C48" s="49">
        <f>'2012 полн'!C27</f>
        <v>6510.4225</v>
      </c>
      <c r="D48" s="50">
        <f>'2012 полн'!D27</f>
        <v>168.3</v>
      </c>
      <c r="E48" s="19">
        <f>'2012 полн'!U27</f>
        <v>5999.56</v>
      </c>
      <c r="F48" s="19">
        <f>0</f>
        <v>0</v>
      </c>
      <c r="G48" s="52">
        <f>'2012 полн'!AF27</f>
        <v>4521</v>
      </c>
      <c r="H48" s="52">
        <f>'2012 полн'!AG27</f>
        <v>4689.3</v>
      </c>
      <c r="I48" s="52">
        <f>'2012 полн'!AK27</f>
        <v>504.2755</v>
      </c>
      <c r="J48" s="52">
        <f>'2012 полн'!AL27</f>
        <v>150.53</v>
      </c>
      <c r="K48" s="19">
        <f>'2012 полн'!AM27+'2012 полн'!AN27+'2012 полн'!AO27+'2012 полн'!AP27+'2012 полн'!AQ27+'2012 полн'!AR27+'2012 полн'!AS27</f>
        <v>5200.8115</v>
      </c>
      <c r="L48" s="20">
        <f>'2012 полн'!AU27+'2012 полн'!AV27+'2012 полн'!AW27+'2012 полн'!AX27</f>
        <v>0</v>
      </c>
      <c r="M48" s="20">
        <v>0</v>
      </c>
      <c r="N48" s="21">
        <f>'2012 полн'!BE27</f>
        <v>5855.616999999999</v>
      </c>
      <c r="O48" s="53">
        <f>'2012 полн'!BF27</f>
        <v>-1166.316999999999</v>
      </c>
      <c r="P48" s="53">
        <f>'2012 полн'!BG27</f>
        <v>-1478.5600000000004</v>
      </c>
      <c r="Q48" s="1"/>
      <c r="R48" s="1"/>
    </row>
    <row r="49" spans="1:18" ht="12.75">
      <c r="A49" s="13" t="s">
        <v>47</v>
      </c>
      <c r="B49" s="183">
        <f>'2012 полн'!B28</f>
        <v>752.65</v>
      </c>
      <c r="C49" s="49">
        <f>'2012 полн'!C28</f>
        <v>6510.4225</v>
      </c>
      <c r="D49" s="50">
        <f>'2012 полн'!D28</f>
        <v>168.3</v>
      </c>
      <c r="E49" s="19">
        <f>'2012 полн'!U28</f>
        <v>6003.650000000001</v>
      </c>
      <c r="F49" s="19">
        <f>0</f>
        <v>0</v>
      </c>
      <c r="G49" s="52">
        <f>'2012 полн'!AF28</f>
        <v>4029.91</v>
      </c>
      <c r="H49" s="52">
        <f>'2012 полн'!AG28</f>
        <v>4198.21</v>
      </c>
      <c r="I49" s="52">
        <f>'2012 полн'!AK28</f>
        <v>504.2755</v>
      </c>
      <c r="J49" s="52">
        <f>'2012 полн'!AL28</f>
        <v>150.53</v>
      </c>
      <c r="K49" s="19">
        <f>'2012 полн'!AM28+'2012 полн'!AN28+'2012 полн'!AO28+'2012 полн'!AP28+'2012 полн'!AQ28+'2012 полн'!AR28+'2012 полн'!AS28</f>
        <v>5200.8115</v>
      </c>
      <c r="L49" s="20">
        <f>'2012 полн'!AU28+'2012 полн'!AV28+'2012 полн'!AW28+'2012 полн'!AX28</f>
        <v>11.39</v>
      </c>
      <c r="M49" s="20">
        <v>0</v>
      </c>
      <c r="N49" s="21">
        <f>'2012 полн'!BE28</f>
        <v>5867.007</v>
      </c>
      <c r="O49" s="53">
        <f>'2012 полн'!BF28</f>
        <v>-1668.7969999999996</v>
      </c>
      <c r="P49" s="53">
        <f>'2012 полн'!BG28</f>
        <v>-1973.7400000000007</v>
      </c>
      <c r="Q49" s="1"/>
      <c r="R49" s="1"/>
    </row>
    <row r="50" spans="1:18" ht="12.75">
      <c r="A50" s="13" t="s">
        <v>48</v>
      </c>
      <c r="B50" s="183">
        <f>'2012 полн'!B29</f>
        <v>752.65</v>
      </c>
      <c r="C50" s="49">
        <f>'2012 полн'!C29</f>
        <v>6510.4225</v>
      </c>
      <c r="D50" s="50">
        <f>'2012 полн'!D29</f>
        <v>168.3</v>
      </c>
      <c r="E50" s="19">
        <f>'2012 полн'!U29</f>
        <v>6003.650000000001</v>
      </c>
      <c r="F50" s="19">
        <f>0</f>
        <v>0</v>
      </c>
      <c r="G50" s="52">
        <f>'2012 полн'!AF29</f>
        <v>2737.9299999999994</v>
      </c>
      <c r="H50" s="52">
        <f>'2012 полн'!AG29</f>
        <v>2906.2299999999996</v>
      </c>
      <c r="I50" s="52">
        <f>'2012 полн'!AK29</f>
        <v>504.2755</v>
      </c>
      <c r="J50" s="52">
        <f>'2012 полн'!AL29</f>
        <v>150.53</v>
      </c>
      <c r="K50" s="19">
        <f>'2012 полн'!AM29+'2012 полн'!AN29+'2012 полн'!AO29+'2012 полн'!AP29+'2012 полн'!AQ29+'2012 полн'!AR29+'2012 полн'!AS29</f>
        <v>4335.264</v>
      </c>
      <c r="L50" s="20">
        <f>'2012 полн'!AU29+'2012 полн'!AV29+'2012 полн'!AW29+'2012 полн'!AX29</f>
        <v>520</v>
      </c>
      <c r="M50" s="20">
        <v>0</v>
      </c>
      <c r="N50" s="21">
        <f>'2012 полн'!BE29</f>
        <v>5510.0695</v>
      </c>
      <c r="O50" s="53">
        <f>'2012 полн'!BF29</f>
        <v>-2603.8395</v>
      </c>
      <c r="P50" s="53">
        <f>'2012 полн'!BG29</f>
        <v>-3265.720000000001</v>
      </c>
      <c r="Q50" s="1"/>
      <c r="R50" s="1"/>
    </row>
    <row r="51" spans="1:18" ht="12.75">
      <c r="A51" s="13" t="s">
        <v>49</v>
      </c>
      <c r="B51" s="183">
        <f>'2012 полн'!B30</f>
        <v>752.65</v>
      </c>
      <c r="C51" s="49">
        <f>'2012 полн'!C30</f>
        <v>6510.4225</v>
      </c>
      <c r="D51" s="50">
        <f>'2012 полн'!D30</f>
        <v>168.3</v>
      </c>
      <c r="E51" s="19">
        <f>'2012 полн'!U30</f>
        <v>6003.650000000001</v>
      </c>
      <c r="F51" s="19">
        <f>0</f>
        <v>0</v>
      </c>
      <c r="G51" s="52">
        <f>'2012 полн'!AF30</f>
        <v>2604.44</v>
      </c>
      <c r="H51" s="52">
        <f>'2012 полн'!AG30</f>
        <v>2772.7400000000002</v>
      </c>
      <c r="I51" s="52">
        <f>'2012 полн'!AK30</f>
        <v>504.2755</v>
      </c>
      <c r="J51" s="52">
        <f>'2012 полн'!AL30</f>
        <v>150.53</v>
      </c>
      <c r="K51" s="19">
        <f>'2012 полн'!AM30+'2012 полн'!AN30+'2012 полн'!AO30+'2012 полн'!AP30+'2012 полн'!AQ30+'2012 полн'!AR30+'2012 полн'!AS30</f>
        <v>4335.264</v>
      </c>
      <c r="L51" s="20">
        <f>'2012 полн'!AU30+'2012 полн'!AV30+'2012 полн'!AW30+'2012 полн'!AX30</f>
        <v>20175.44</v>
      </c>
      <c r="M51" s="20">
        <v>0</v>
      </c>
      <c r="N51" s="21">
        <f>'2012 полн'!BE30</f>
        <v>25165.509499999996</v>
      </c>
      <c r="O51" s="53">
        <f>'2012 полн'!BF30</f>
        <v>-22392.769499999995</v>
      </c>
      <c r="P51" s="53">
        <f>'2012 полн'!BG30</f>
        <v>-3399.2100000000005</v>
      </c>
      <c r="Q51" s="1"/>
      <c r="R51" s="1"/>
    </row>
    <row r="52" spans="1:18" ht="12.75">
      <c r="A52" s="13" t="s">
        <v>50</v>
      </c>
      <c r="B52" s="183">
        <f>'2012 полн'!B31</f>
        <v>752.65</v>
      </c>
      <c r="C52" s="49">
        <f>'2012 полн'!C31</f>
        <v>6510.4225</v>
      </c>
      <c r="D52" s="50">
        <f>'2012 полн'!D31</f>
        <v>168.3</v>
      </c>
      <c r="E52" s="19">
        <f>'2012 полн'!U31</f>
        <v>6011.67</v>
      </c>
      <c r="F52" s="19">
        <f>0</f>
        <v>0</v>
      </c>
      <c r="G52" s="52">
        <f>'2012 полн'!AF31</f>
        <v>3562.1600000000003</v>
      </c>
      <c r="H52" s="52">
        <f>'2012 полн'!AG31</f>
        <v>3730.4600000000005</v>
      </c>
      <c r="I52" s="52">
        <f>'2012 полн'!AK31</f>
        <v>504.2755</v>
      </c>
      <c r="J52" s="52">
        <f>'2012 полн'!AL31</f>
        <v>150.53</v>
      </c>
      <c r="K52" s="19">
        <f>'2012 полн'!AM31+'2012 полн'!AN31+'2012 полн'!AO31+'2012 полн'!AP31+'2012 полн'!AQ31+'2012 полн'!AR31+'2012 полн'!AS31</f>
        <v>4335.264</v>
      </c>
      <c r="L52" s="20">
        <f>'2012 полн'!AU31+'2012 полн'!AV31+'2012 полн'!AW31+'2012 полн'!AX31</f>
        <v>0</v>
      </c>
      <c r="M52" s="20">
        <v>0</v>
      </c>
      <c r="N52" s="21">
        <f>'2012 полн'!BE31</f>
        <v>4990.0695</v>
      </c>
      <c r="O52" s="53">
        <f>'2012 полн'!BF31</f>
        <v>-1259.6094999999991</v>
      </c>
      <c r="P52" s="53">
        <f>'2012 полн'!BG31</f>
        <v>-2449.5099999999998</v>
      </c>
      <c r="Q52" s="1"/>
      <c r="R52" s="1"/>
    </row>
    <row r="53" spans="1:16" ht="12.75">
      <c r="A53" s="13" t="s">
        <v>51</v>
      </c>
      <c r="B53" s="183">
        <f>'2012 полн'!B32</f>
        <v>752.65</v>
      </c>
      <c r="C53" s="49">
        <f>'2012 полн'!C32</f>
        <v>6510.4225</v>
      </c>
      <c r="D53" s="50">
        <f>'2012 полн'!D32</f>
        <v>225.225</v>
      </c>
      <c r="E53" s="19">
        <f>'2012 полн'!U32</f>
        <v>6021.2</v>
      </c>
      <c r="F53" s="19">
        <f>0</f>
        <v>0</v>
      </c>
      <c r="G53" s="52">
        <f>'2012 полн'!AF32</f>
        <v>2620.9100000000003</v>
      </c>
      <c r="H53" s="52">
        <f>'2012 полн'!AG32</f>
        <v>2846.135</v>
      </c>
      <c r="I53" s="52">
        <f>'2012 полн'!AK32</f>
        <v>564.4875</v>
      </c>
      <c r="J53" s="52">
        <f>'2012 полн'!AL32</f>
        <v>150.53</v>
      </c>
      <c r="K53" s="19">
        <f>'2012 полн'!AM32+'2012 полн'!AN32+'2012 полн'!AO32+'2012 полн'!AP32+'2012 полн'!AQ32+'2012 полн'!AR32+'2012 полн'!AS32</f>
        <v>4335.264</v>
      </c>
      <c r="L53" s="20">
        <f>'2012 полн'!AU32+'2012 полн'!AV32+'2012 полн'!AW32+'2012 полн'!AX32</f>
        <v>858</v>
      </c>
      <c r="M53" s="20">
        <v>0</v>
      </c>
      <c r="N53" s="21">
        <f>'2012 полн'!BE32</f>
        <v>5908.2815</v>
      </c>
      <c r="O53" s="53">
        <f>'2012 полн'!BF32</f>
        <v>-3062.1465</v>
      </c>
      <c r="P53" s="53">
        <f>'2012 полн'!BG32</f>
        <v>-3400.2899999999995</v>
      </c>
    </row>
    <row r="54" spans="1:16" ht="12.75">
      <c r="A54" s="13" t="s">
        <v>52</v>
      </c>
      <c r="B54" s="183">
        <f>'2012 полн'!B33</f>
        <v>752.65</v>
      </c>
      <c r="C54" s="49">
        <f>'2012 полн'!C33</f>
        <v>6510.4225</v>
      </c>
      <c r="D54" s="50">
        <f>'2012 полн'!D33</f>
        <v>0</v>
      </c>
      <c r="E54" s="19">
        <f>'2012 полн'!U33</f>
        <v>6029.06</v>
      </c>
      <c r="F54" s="19">
        <f>0</f>
        <v>0</v>
      </c>
      <c r="G54" s="52">
        <f>'2012 полн'!AF33</f>
        <v>3750.2700000000004</v>
      </c>
      <c r="H54" s="52">
        <f>'2012 полн'!AG33</f>
        <v>3750.2700000000004</v>
      </c>
      <c r="I54" s="52">
        <f>'2012 полн'!AK33</f>
        <v>564.4875</v>
      </c>
      <c r="J54" s="52">
        <f>'2012 полн'!AL33</f>
        <v>150.53</v>
      </c>
      <c r="K54" s="19">
        <f>'2012 полн'!AM33+'2012 полн'!AN33+'2012 полн'!AO33+'2012 полн'!AP33+'2012 полн'!AQ33+'2012 полн'!AR33+'2012 полн'!AS33</f>
        <v>4335.264</v>
      </c>
      <c r="L54" s="20">
        <f>'2012 полн'!AU33+'2012 полн'!AV33+'2012 полн'!AW33+'2012 полн'!AX33</f>
        <v>3308</v>
      </c>
      <c r="M54" s="20">
        <v>0</v>
      </c>
      <c r="N54" s="21">
        <f>'2012 полн'!BE33</f>
        <v>8358.281500000001</v>
      </c>
      <c r="O54" s="53">
        <f>'2012 полн'!BF33</f>
        <v>-4608.0115000000005</v>
      </c>
      <c r="P54" s="53">
        <f>'2012 полн'!BG33</f>
        <v>-2278.79</v>
      </c>
    </row>
    <row r="55" spans="1:16" ht="12.75">
      <c r="A55" s="13" t="s">
        <v>53</v>
      </c>
      <c r="B55" s="183">
        <f>'2012 полн'!B34</f>
        <v>752.65</v>
      </c>
      <c r="C55" s="49">
        <f>'2012 полн'!C34</f>
        <v>6510.4225</v>
      </c>
      <c r="D55" s="50">
        <f>'2012 полн'!D34</f>
        <v>0</v>
      </c>
      <c r="E55" s="19">
        <f>'2012 полн'!U34</f>
        <v>7422</v>
      </c>
      <c r="F55" s="19">
        <f>0</f>
        <v>0</v>
      </c>
      <c r="G55" s="52">
        <f>'2012 полн'!AF34</f>
        <v>3876.55</v>
      </c>
      <c r="H55" s="52">
        <f>'2012 полн'!AG34</f>
        <v>3876.55</v>
      </c>
      <c r="I55" s="52">
        <f>'2012 полн'!AK34</f>
        <v>564.4875</v>
      </c>
      <c r="J55" s="52">
        <f>'2012 полн'!AL34</f>
        <v>150.53</v>
      </c>
      <c r="K55" s="19">
        <f>'2012 полн'!AM34+'2012 полн'!AN34+'2012 полн'!AO34+'2012 полн'!AP34+'2012 полн'!AQ34+'2012 полн'!AR34+'2012 полн'!AS34</f>
        <v>4335.264</v>
      </c>
      <c r="L55" s="20">
        <f>'2012 полн'!AU34+'2012 полн'!AV34+'2012 полн'!AW34+'2012 полн'!AX34</f>
        <v>4138.88</v>
      </c>
      <c r="M55" s="20">
        <v>0</v>
      </c>
      <c r="N55" s="21">
        <f>'2012 полн'!BE34</f>
        <v>9189.1615</v>
      </c>
      <c r="O55" s="53">
        <f>'2012 полн'!BF34</f>
        <v>-5312.6115</v>
      </c>
      <c r="P55" s="53">
        <f>'2012 полн'!BG34</f>
        <v>-3545.45</v>
      </c>
    </row>
    <row r="56" spans="1:16" ht="12.75">
      <c r="A56" s="13" t="s">
        <v>41</v>
      </c>
      <c r="B56" s="183">
        <f>'2012 полн'!B35</f>
        <v>752.65</v>
      </c>
      <c r="C56" s="49">
        <f>'2012 полн'!C35</f>
        <v>6510.4225</v>
      </c>
      <c r="D56" s="50">
        <f>'2012 полн'!D35</f>
        <v>0</v>
      </c>
      <c r="E56" s="19">
        <f>'2012 полн'!U35</f>
        <v>6492.87</v>
      </c>
      <c r="F56" s="19">
        <f>0</f>
        <v>0</v>
      </c>
      <c r="G56" s="52">
        <f>'2012 полн'!AF35</f>
        <v>4026.7400000000002</v>
      </c>
      <c r="H56" s="52">
        <f>'2012 полн'!AG35</f>
        <v>4026.7400000000002</v>
      </c>
      <c r="I56" s="52">
        <f>'2012 полн'!AK35</f>
        <v>564.4875</v>
      </c>
      <c r="J56" s="52">
        <f>'2012 полн'!AL35</f>
        <v>150.53</v>
      </c>
      <c r="K56" s="19">
        <f>'2012 полн'!AM35+'2012 полн'!AN35+'2012 полн'!AO35+'2012 полн'!AP35+'2012 полн'!AQ35+'2012 полн'!AR35+'2012 полн'!AS35</f>
        <v>5200.8115</v>
      </c>
      <c r="L56" s="20">
        <f>'2012 полн'!AU35+'2012 полн'!AV35+'2012 полн'!AW35+'2012 полн'!AX35</f>
        <v>1158</v>
      </c>
      <c r="M56" s="20">
        <v>0</v>
      </c>
      <c r="N56" s="21">
        <f>'2012 полн'!BE35</f>
        <v>7073.829</v>
      </c>
      <c r="O56" s="53">
        <f>'2012 полн'!BF35</f>
        <v>-3047.0889999999995</v>
      </c>
      <c r="P56" s="53">
        <f>'2012 полн'!BG35</f>
        <v>-2466.1299999999997</v>
      </c>
    </row>
    <row r="57" spans="1:16" ht="12.75">
      <c r="A57" s="13" t="s">
        <v>42</v>
      </c>
      <c r="B57" s="183">
        <f>'2012 полн'!B36</f>
        <v>752.65</v>
      </c>
      <c r="C57" s="49">
        <f>'2012 полн'!C36</f>
        <v>6510.4225</v>
      </c>
      <c r="D57" s="50">
        <f>'2012 полн'!D36</f>
        <v>0</v>
      </c>
      <c r="E57" s="19">
        <f>'2012 полн'!U36</f>
        <v>6492.87</v>
      </c>
      <c r="F57" s="19">
        <f>0</f>
        <v>0</v>
      </c>
      <c r="G57" s="52">
        <f>'2012 полн'!AF36</f>
        <v>3463.13</v>
      </c>
      <c r="H57" s="52">
        <f>'2012 полн'!AG36</f>
        <v>3463.13</v>
      </c>
      <c r="I57" s="52">
        <f>'2012 полн'!AK36</f>
        <v>564.4875</v>
      </c>
      <c r="J57" s="52">
        <f>'2012 полн'!AL36</f>
        <v>150.53</v>
      </c>
      <c r="K57" s="19">
        <f>'2012 полн'!AM36+'2012 полн'!AN36+'2012 полн'!AO36+'2012 полн'!AP36+'2012 полн'!AQ36+'2012 полн'!AR36+'2012 полн'!AS36</f>
        <v>5200.8115</v>
      </c>
      <c r="L57" s="20">
        <f>'2012 полн'!AU36+'2012 полн'!AV36+'2012 полн'!AW36+'2012 полн'!AX36</f>
        <v>4603</v>
      </c>
      <c r="M57" s="20">
        <v>0</v>
      </c>
      <c r="N57" s="21">
        <f>'2012 полн'!BE36</f>
        <v>10518.829</v>
      </c>
      <c r="O57" s="53">
        <f>'2012 полн'!BF36</f>
        <v>-7055.699</v>
      </c>
      <c r="P57" s="53">
        <f>'2012 полн'!BG36</f>
        <v>-3029.74</v>
      </c>
    </row>
    <row r="58" spans="1:16" ht="13.5" thickBot="1">
      <c r="A58" s="13" t="s">
        <v>43</v>
      </c>
      <c r="B58" s="183">
        <f>'2012 полн'!B37</f>
        <v>752.65</v>
      </c>
      <c r="C58" s="49">
        <f>'2012 полн'!C37</f>
        <v>6510.4225</v>
      </c>
      <c r="D58" s="50">
        <f>'2012 полн'!D37</f>
        <v>0</v>
      </c>
      <c r="E58" s="19">
        <f>'2012 полн'!U37</f>
        <v>6492.87</v>
      </c>
      <c r="F58" s="19">
        <f>0</f>
        <v>0</v>
      </c>
      <c r="G58" s="52">
        <f>'2012 полн'!AF37</f>
        <v>2594.9100000000003</v>
      </c>
      <c r="H58" s="52">
        <f>'2012 полн'!AG37</f>
        <v>2594.9100000000003</v>
      </c>
      <c r="I58" s="52">
        <f>'2012 полн'!AK37</f>
        <v>564.4875</v>
      </c>
      <c r="J58" s="52">
        <f>'2012 полн'!AL37</f>
        <v>150.53</v>
      </c>
      <c r="K58" s="19">
        <f>'2012 полн'!AM37+'2012 полн'!AN37+'2012 полн'!AO37+'2012 полн'!AP37+'2012 полн'!AQ37+'2012 полн'!AR37+'2012 полн'!AS37</f>
        <v>5200.8115</v>
      </c>
      <c r="L58" s="20">
        <f>'2012 полн'!AU37+'2012 полн'!AV37+'2012 полн'!AW37+'2012 полн'!AX37</f>
        <v>1042</v>
      </c>
      <c r="M58" s="20">
        <v>0</v>
      </c>
      <c r="N58" s="21">
        <f>'2012 полн'!BE37</f>
        <v>6957.829</v>
      </c>
      <c r="O58" s="53">
        <f>'2012 полн'!BF37</f>
        <v>-4362.919</v>
      </c>
      <c r="P58" s="53">
        <f>'2012 полн'!BG37</f>
        <v>-3897.9599999999996</v>
      </c>
    </row>
    <row r="59" spans="1:18" s="28" customFormat="1" ht="13.5" thickBot="1">
      <c r="A59" s="56" t="s">
        <v>5</v>
      </c>
      <c r="B59" s="57"/>
      <c r="C59" s="62">
        <f aca="true" t="shared" si="3" ref="C59:O59">SUM(C47:C58)</f>
        <v>78125.06999999999</v>
      </c>
      <c r="D59" s="62">
        <f t="shared" si="3"/>
        <v>1235.0249999999999</v>
      </c>
      <c r="E59" s="62">
        <f t="shared" si="3"/>
        <v>74976.18</v>
      </c>
      <c r="F59" s="62">
        <f t="shared" si="3"/>
        <v>0</v>
      </c>
      <c r="G59" s="62">
        <f t="shared" si="3"/>
        <v>41510.06</v>
      </c>
      <c r="H59" s="62">
        <f t="shared" si="3"/>
        <v>42745.085</v>
      </c>
      <c r="I59" s="62">
        <f t="shared" si="3"/>
        <v>6412.578000000001</v>
      </c>
      <c r="J59" s="62">
        <f t="shared" si="3"/>
        <v>1806.36</v>
      </c>
      <c r="K59" s="62">
        <f t="shared" si="3"/>
        <v>57216.452999999994</v>
      </c>
      <c r="L59" s="62">
        <f t="shared" si="3"/>
        <v>35814.71</v>
      </c>
      <c r="M59" s="62">
        <f t="shared" si="3"/>
        <v>0</v>
      </c>
      <c r="N59" s="62">
        <f t="shared" si="3"/>
        <v>101250.10099999998</v>
      </c>
      <c r="O59" s="62">
        <f t="shared" si="3"/>
        <v>-58505.015999999996</v>
      </c>
      <c r="P59" s="62">
        <f>SUM(P47:P58)</f>
        <v>-33466.12</v>
      </c>
      <c r="Q59" s="64"/>
      <c r="R59" s="64"/>
    </row>
    <row r="60" spans="1:18" ht="13.5" thickBot="1">
      <c r="A60" s="356" t="s">
        <v>68</v>
      </c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71"/>
      <c r="Q60" s="1"/>
      <c r="R60" s="1"/>
    </row>
    <row r="61" spans="1:18" s="28" customFormat="1" ht="13.5" thickBot="1">
      <c r="A61" s="72" t="s">
        <v>54</v>
      </c>
      <c r="B61" s="73"/>
      <c r="C61" s="74">
        <f aca="true" t="shared" si="4" ref="C61:P61">C59+C45</f>
        <v>331741.7725</v>
      </c>
      <c r="D61" s="74">
        <f t="shared" si="4"/>
        <v>73626.340128</v>
      </c>
      <c r="E61" s="74">
        <f t="shared" si="4"/>
        <v>289730.26</v>
      </c>
      <c r="F61" s="74">
        <f t="shared" si="4"/>
        <v>11627.840000000002</v>
      </c>
      <c r="G61" s="74">
        <f t="shared" si="4"/>
        <v>180233.94</v>
      </c>
      <c r="H61" s="74">
        <f t="shared" si="4"/>
        <v>265488.12012800004</v>
      </c>
      <c r="I61" s="74">
        <f t="shared" si="4"/>
        <v>24457.133499999996</v>
      </c>
      <c r="J61" s="74">
        <f t="shared" si="4"/>
        <v>7631.1621568</v>
      </c>
      <c r="K61" s="74">
        <f t="shared" si="4"/>
        <v>205870.8984102016</v>
      </c>
      <c r="L61" s="74">
        <f t="shared" si="4"/>
        <v>93221.8326</v>
      </c>
      <c r="M61" s="74">
        <f t="shared" si="4"/>
        <v>0</v>
      </c>
      <c r="N61" s="74">
        <f t="shared" si="4"/>
        <v>331181.0286670016</v>
      </c>
      <c r="O61" s="74">
        <f t="shared" si="4"/>
        <v>-65692.90853900157</v>
      </c>
      <c r="P61" s="74">
        <f t="shared" si="4"/>
        <v>-109496.32</v>
      </c>
      <c r="Q61" s="75"/>
      <c r="R61" s="64"/>
    </row>
    <row r="62" ht="6.75" customHeight="1"/>
    <row r="63" spans="1:18" ht="12.75">
      <c r="A63" s="28" t="s">
        <v>88</v>
      </c>
      <c r="D63" s="184" t="s">
        <v>124</v>
      </c>
      <c r="Q63" s="1"/>
      <c r="R63" s="1"/>
    </row>
    <row r="64" spans="1:18" ht="12.75">
      <c r="A64" s="32" t="s">
        <v>69</v>
      </c>
      <c r="B64" s="32" t="s">
        <v>70</v>
      </c>
      <c r="C64" s="437" t="s">
        <v>71</v>
      </c>
      <c r="D64" s="438"/>
      <c r="Q64" s="1"/>
      <c r="R64" s="1"/>
    </row>
    <row r="65" spans="1:18" ht="12.75">
      <c r="A65" s="185">
        <v>71249.02</v>
      </c>
      <c r="B65" s="186">
        <v>0</v>
      </c>
      <c r="C65" s="160">
        <f>A65-B65</f>
        <v>71249.02</v>
      </c>
      <c r="D65" s="196"/>
      <c r="Q65" s="1"/>
      <c r="R65" s="1"/>
    </row>
    <row r="66" spans="1:18" ht="9.75" customHeight="1">
      <c r="A66" s="76"/>
      <c r="Q66" s="1"/>
      <c r="R66" s="1"/>
    </row>
    <row r="67" spans="1:18" ht="12.75">
      <c r="A67" s="2" t="s">
        <v>72</v>
      </c>
      <c r="G67" s="2" t="s">
        <v>73</v>
      </c>
      <c r="Q67" s="1"/>
      <c r="R67" s="1"/>
    </row>
    <row r="68" ht="9" customHeight="1">
      <c r="A68" s="1"/>
    </row>
    <row r="69" ht="12.75">
      <c r="A69" s="184" t="s">
        <v>125</v>
      </c>
    </row>
    <row r="70" ht="12.75">
      <c r="A70" s="2" t="s">
        <v>74</v>
      </c>
    </row>
  </sheetData>
  <sheetProtection/>
  <mergeCells count="27">
    <mergeCell ref="A44:O44"/>
    <mergeCell ref="G8:H9"/>
    <mergeCell ref="I8:N9"/>
    <mergeCell ref="O8:O11"/>
    <mergeCell ref="C8:C11"/>
    <mergeCell ref="D8:D11"/>
    <mergeCell ref="E8:F9"/>
    <mergeCell ref="E10:F10"/>
    <mergeCell ref="A28:O28"/>
    <mergeCell ref="P8:P11"/>
    <mergeCell ref="H10:H11"/>
    <mergeCell ref="I10:I11"/>
    <mergeCell ref="J10:J11"/>
    <mergeCell ref="K10:K11"/>
    <mergeCell ref="L10:L11"/>
    <mergeCell ref="M10:M11"/>
    <mergeCell ref="N10:N11"/>
    <mergeCell ref="A60:O60"/>
    <mergeCell ref="C64:D64"/>
    <mergeCell ref="B1:H1"/>
    <mergeCell ref="B2:H2"/>
    <mergeCell ref="A5:O5"/>
    <mergeCell ref="A6:G6"/>
    <mergeCell ref="A7:D7"/>
    <mergeCell ref="E7:F7"/>
    <mergeCell ref="A8:A11"/>
    <mergeCell ref="B8:B11"/>
  </mergeCells>
  <printOptions/>
  <pageMargins left="0.25" right="0.17" top="0.29" bottom="0.47" header="0.18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2011-11-08T08:28:50Z</cp:lastPrinted>
  <dcterms:created xsi:type="dcterms:W3CDTF">2010-04-03T04:08:20Z</dcterms:created>
  <dcterms:modified xsi:type="dcterms:W3CDTF">2013-07-18T02:20:13Z</dcterms:modified>
  <cp:category/>
  <cp:version/>
  <cp:contentType/>
  <cp:contentStatus/>
</cp:coreProperties>
</file>