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firstSheet="3" activeTab="3"/>
  </bookViews>
  <sheets>
    <sheet name="Лист1" sheetId="1" state="hidden" r:id="rId1"/>
    <sheet name="Лист2" sheetId="2" state="hidden" r:id="rId2"/>
    <sheet name="2012 полн" sheetId="3" state="hidden" r:id="rId3"/>
    <sheet name="2012 печать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<sst xmlns="http://schemas.openxmlformats.org/spreadsheetml/2006/main" count="346" uniqueCount="127">
  <si>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</si>
  <si>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</si>
  <si>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</si>
  <si>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</si>
  <si>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</si>
  <si>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</si>
  <si>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</si>
  <si>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</si>
  <si>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</si>
  <si>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</si>
  <si>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</si>
  <si>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</si>
  <si>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</si>
  <si>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</si>
  <si>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</si>
  <si>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</si>
  <si>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</si>
  <si>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</si>
  <si>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</si>
  <si>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</si>
  <si>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</si>
  <si>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</si>
  <si>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</si>
  <si>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</si>
  <si>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</si>
  <si>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</si>
  <si>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</si>
  <si>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</si>
  <si>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</si>
  <si>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</si>
  <si>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</si>
  <si>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</si>
  <si>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</si>
  <si>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</si>
  <si>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</si>
  <si>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</si>
  <si>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</si>
  <si>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</si>
  <si>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</si>
  <si>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</si>
  <si>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</si>
  <si>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</si>
  <si>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</si>
  <si>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</si>
  <si>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</si>
  <si>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</si>
  <si>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</si>
  <si>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</si>
  <si>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</si>
  <si>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</si>
  <si>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</si>
  <si>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</si>
  <si>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</si>
  <si>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</si>
  <si>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</si>
  <si>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</si>
  <si>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</si>
  <si>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</si>
  <si>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</si>
  <si>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</si>
  <si>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</si>
  <si>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</si>
  <si>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</si>
  <si>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</si>
  <si>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</si>
  <si>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</si>
  <si>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</si>
  <si>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</si>
  <si>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</si>
  <si>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</si>
  <si>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</si>
  <si>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</si>
  <si>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</si>
  <si>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</si>
  <si>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</si>
  <si>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</si>
  <si>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</si>
  <si>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</si>
  <si>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</si>
  <si>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</si>
  <si>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</si>
  <si>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</si>
  <si>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</si>
  <si>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</si>
  <si>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Исп. Ю.С. Дмитриева</t>
  </si>
  <si>
    <t>Расходы по нежил. помещениям</t>
  </si>
  <si>
    <t>Капитальный ремонт</t>
  </si>
  <si>
    <t>Лицевой счет по адресу г. Таштагол, ул. ул. Баумана, д. 4</t>
  </si>
  <si>
    <t>Выписка по лицевому счету по адресу г. Таштагол, ул. Белинского, д. 3а</t>
  </si>
  <si>
    <t>2010 год</t>
  </si>
  <si>
    <t>на 01.01.2011 г.</t>
  </si>
  <si>
    <t>*по состоянию на 01.01.2011 г.</t>
  </si>
  <si>
    <t>на начало отчетного периода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</si>
  <si>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</si>
  <si>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</si>
  <si>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</si>
  <si>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</si>
  <si>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</si>
  <si>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</si>
  <si>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</si>
  <si>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</si>
  <si>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</si>
  <si>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</si>
  <si>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</si>
  <si>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</si>
  <si>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</si>
  <si>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</si>
  <si>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</si>
  <si>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</si>
  <si>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</si>
  <si>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</si>
  <si>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</si>
  <si>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</si>
  <si>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</si>
  <si>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</si>
  <si>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</si>
  <si>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</si>
  <si>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</si>
  <si>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>Услуга начисления</t>
  </si>
  <si>
    <t>Собрано по содержанию и тек.рем.</t>
  </si>
  <si>
    <t>Исп. В.В. Колмогорова</t>
  </si>
  <si>
    <t>Выписка по лицевому счету по адресу г. Таштагол ул. Белинского, д. 3а</t>
  </si>
  <si>
    <t>Лицевой счет по адресу г. Таштагол, ул. Белинского, д.3а</t>
  </si>
  <si>
    <t>2012 год</t>
  </si>
  <si>
    <t>*по состоянию на 01.05.2013 г.</t>
  </si>
  <si>
    <t>Тариф по содержанию и тек.ремонту 100 % (27,36руб.*площадь)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</si>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</sst>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2" fillId="0" borderId="31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0" xfId="0" applyNumberFormat="1" applyFont="1" applyFill="1" applyBorder="1" applyAlignment="1">
      <alignment wrapText="1"/>
    </xf>
    <xf numFmtId="4" fontId="2" fillId="0" borderId="3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wrapText="1"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4" fontId="7" fillId="0" borderId="25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0" fontId="0" fillId="33" borderId="19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4" xfId="34" applyNumberFormat="1" applyFont="1" applyFill="1" applyBorder="1" applyAlignment="1">
      <alignment horizontal="right" vertical="center" wrapText="1"/>
      <protection/>
    </xf>
    <xf numFmtId="4" fontId="7" fillId="0" borderId="33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19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9" fillId="36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4" fontId="1" fillId="34" borderId="20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33" borderId="20" xfId="0" applyNumberFormat="1" applyFont="1" applyFill="1" applyBorder="1" applyAlignment="1">
      <alignment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28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1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8" xfId="0" applyNumberFormat="1" applyBorder="1" applyAlignment="1">
      <alignment horizontal="center"/>
    </xf>
    <xf numFmtId="4" fontId="0" fillId="0" borderId="18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 wrapText="1"/>
    </xf>
    <xf numFmtId="4" fontId="0" fillId="0" borderId="55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0" borderId="56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2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35" borderId="29" xfId="0" applyFont="1" applyFill="1" applyBorder="1" applyAlignment="1">
      <alignment/>
    </xf>
    <xf numFmtId="43" fontId="0" fillId="37" borderId="11" xfId="0" applyNumberFormat="1" applyFont="1" applyFill="1" applyBorder="1" applyAlignment="1">
      <alignment/>
    </xf>
    <xf numFmtId="0" fontId="2" fillId="0" borderId="56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0" fillId="38" borderId="28" xfId="0" applyNumberFormat="1" applyFont="1" applyFill="1" applyBorder="1" applyAlignment="1">
      <alignment/>
    </xf>
    <xf numFmtId="4" fontId="2" fillId="34" borderId="50" xfId="0" applyNumberFormat="1" applyFont="1" applyFill="1" applyBorder="1" applyAlignment="1">
      <alignment horizontal="right" wrapText="1"/>
    </xf>
    <xf numFmtId="0" fontId="14" fillId="0" borderId="11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  <xf numFmtId="2" fontId="3" fillId="0" borderId="49" xfId="34" applyNumberFormat="1" applyFont="1" applyFill="1" applyBorder="1" applyAlignment="1">
      <alignment horizontal="center" vertical="center" wrapText="1"/>
      <protection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3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36" borderId="20" xfId="0" applyNumberFormat="1" applyFont="1" applyFill="1" applyBorder="1" applyAlignment="1">
      <alignment horizontal="center" vertical="center" wrapText="1"/>
    </xf>
    <xf numFmtId="2" fontId="1" fillId="36" borderId="52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7" borderId="59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37" borderId="52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43" fontId="0" fillId="0" borderId="28" xfId="60" applyFont="1" applyFill="1" applyBorder="1" applyAlignment="1">
      <alignment horizontal="center"/>
    </xf>
    <xf numFmtId="43" fontId="0" fillId="0" borderId="19" xfId="6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wrapText="1"/>
    </xf>
    <xf numFmtId="4" fontId="1" fillId="0" borderId="65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4" fontId="1" fillId="34" borderId="55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2" fontId="10" fillId="0" borderId="47" xfId="0" applyNumberFormat="1" applyFont="1" applyFill="1" applyBorder="1" applyAlignment="1">
      <alignment horizontal="center" vertical="center" wrapText="1"/>
    </xf>
    <xf numFmtId="2" fontId="10" fillId="0" borderId="55" xfId="0" applyNumberFormat="1" applyFont="1" applyFill="1" applyBorder="1" applyAlignment="1">
      <alignment horizontal="center" vertical="center" wrapText="1"/>
    </xf>
    <xf numFmtId="2" fontId="10" fillId="0" borderId="39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0" fontId="1" fillId="40" borderId="47" xfId="0" applyFont="1" applyFill="1" applyBorder="1" applyAlignment="1">
      <alignment horizontal="center" vertical="center" wrapText="1"/>
    </xf>
    <xf numFmtId="0" fontId="1" fillId="40" borderId="55" xfId="0" applyFont="1" applyFill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textRotation="90"/>
    </xf>
    <xf numFmtId="0" fontId="1" fillId="35" borderId="39" xfId="0" applyFont="1" applyFill="1" applyBorder="1" applyAlignment="1">
      <alignment horizontal="center" textRotation="90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40" borderId="61" xfId="0" applyFont="1" applyFill="1" applyBorder="1" applyAlignment="1">
      <alignment horizontal="center" vertical="center" wrapText="1"/>
    </xf>
    <xf numFmtId="0" fontId="1" fillId="40" borderId="71" xfId="0" applyFont="1" applyFill="1" applyBorder="1" applyAlignment="1">
      <alignment horizontal="center" vertical="center" wrapText="1"/>
    </xf>
    <xf numFmtId="0" fontId="1" fillId="40" borderId="42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1" fillId="0" borderId="47" xfId="0" applyNumberFormat="1" applyFont="1" applyFill="1" applyBorder="1" applyAlignment="1">
      <alignment horizontal="center" vertical="center" wrapText="1"/>
    </xf>
    <xf numFmtId="2" fontId="11" fillId="0" borderId="39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6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7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AA46">
            <v>0</v>
          </cell>
          <cell r="AD46">
            <v>0</v>
          </cell>
          <cell r="AE46">
            <v>0</v>
          </cell>
          <cell r="AF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6">
          <cell r="BA16">
            <v>-1111.19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2" ySplit="7" topLeftCell="AQ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26" sqref="AT26:AU26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9.625" style="2" customWidth="1"/>
    <col min="16" max="16" width="9.00390625" style="2" customWidth="1"/>
    <col min="17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9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8" width="9.25390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0.375" style="2" customWidth="1"/>
    <col min="55" max="56" width="10.75390625" style="2" customWidth="1"/>
    <col min="57" max="57" width="14.00390625" style="2" customWidth="1"/>
    <col min="58" max="16384" width="9.125" style="2" customWidth="1"/>
  </cols>
  <sheetData>
    <row r="1" spans="1:18" ht="21.75" customHeight="1">
      <c r="A1" s="326" t="s">
        <v>87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27" t="s">
        <v>0</v>
      </c>
      <c r="B3" s="330" t="s">
        <v>1</v>
      </c>
      <c r="C3" s="330" t="s">
        <v>2</v>
      </c>
      <c r="D3" s="330" t="s">
        <v>3</v>
      </c>
      <c r="E3" s="333" t="s">
        <v>4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22" t="s">
        <v>5</v>
      </c>
      <c r="T3" s="322"/>
      <c r="U3" s="324" t="s">
        <v>6</v>
      </c>
      <c r="V3" s="324"/>
      <c r="W3" s="324"/>
      <c r="X3" s="324"/>
      <c r="Y3" s="324"/>
      <c r="Z3" s="324"/>
      <c r="AA3" s="324"/>
      <c r="AB3" s="324"/>
      <c r="AC3" s="305" t="s">
        <v>7</v>
      </c>
      <c r="AD3" s="305" t="s">
        <v>8</v>
      </c>
      <c r="AE3" s="305" t="s">
        <v>9</v>
      </c>
      <c r="AF3" s="116"/>
      <c r="AG3" s="306" t="s">
        <v>10</v>
      </c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13" t="s">
        <v>85</v>
      </c>
      <c r="BD3" s="319" t="s">
        <v>11</v>
      </c>
      <c r="BE3" s="316" t="s">
        <v>12</v>
      </c>
    </row>
    <row r="4" spans="1:57" ht="36" customHeight="1" thickBot="1">
      <c r="A4" s="328"/>
      <c r="B4" s="331"/>
      <c r="C4" s="331"/>
      <c r="D4" s="331"/>
      <c r="E4" s="323" t="s">
        <v>13</v>
      </c>
      <c r="F4" s="323"/>
      <c r="G4" s="323" t="s">
        <v>14</v>
      </c>
      <c r="H4" s="323"/>
      <c r="I4" s="323" t="s">
        <v>15</v>
      </c>
      <c r="J4" s="323"/>
      <c r="K4" s="323" t="s">
        <v>16</v>
      </c>
      <c r="L4" s="323"/>
      <c r="M4" s="323" t="s">
        <v>17</v>
      </c>
      <c r="N4" s="323"/>
      <c r="O4" s="323" t="s">
        <v>18</v>
      </c>
      <c r="P4" s="323"/>
      <c r="Q4" s="323" t="s">
        <v>19</v>
      </c>
      <c r="R4" s="323"/>
      <c r="S4" s="323"/>
      <c r="T4" s="323"/>
      <c r="U4" s="325"/>
      <c r="V4" s="325"/>
      <c r="W4" s="325"/>
      <c r="X4" s="325"/>
      <c r="Y4" s="325"/>
      <c r="Z4" s="325"/>
      <c r="AA4" s="325"/>
      <c r="AB4" s="325"/>
      <c r="AC4" s="303"/>
      <c r="AD4" s="303"/>
      <c r="AE4" s="303"/>
      <c r="AF4" s="114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314"/>
      <c r="BD4" s="320"/>
      <c r="BE4" s="317"/>
    </row>
    <row r="5" spans="1:57" ht="29.25" customHeight="1" thickBot="1">
      <c r="A5" s="328"/>
      <c r="B5" s="331"/>
      <c r="C5" s="331"/>
      <c r="D5" s="331"/>
      <c r="E5" s="301" t="s">
        <v>20</v>
      </c>
      <c r="F5" s="301" t="s">
        <v>21</v>
      </c>
      <c r="G5" s="301" t="s">
        <v>20</v>
      </c>
      <c r="H5" s="301" t="s">
        <v>21</v>
      </c>
      <c r="I5" s="301" t="s">
        <v>20</v>
      </c>
      <c r="J5" s="301" t="s">
        <v>21</v>
      </c>
      <c r="K5" s="301" t="s">
        <v>20</v>
      </c>
      <c r="L5" s="301" t="s">
        <v>21</v>
      </c>
      <c r="M5" s="301" t="s">
        <v>20</v>
      </c>
      <c r="N5" s="301" t="s">
        <v>21</v>
      </c>
      <c r="O5" s="301" t="s">
        <v>20</v>
      </c>
      <c r="P5" s="301" t="s">
        <v>21</v>
      </c>
      <c r="Q5" s="301" t="s">
        <v>20</v>
      </c>
      <c r="R5" s="301" t="s">
        <v>21</v>
      </c>
      <c r="S5" s="301" t="s">
        <v>20</v>
      </c>
      <c r="T5" s="301" t="s">
        <v>21</v>
      </c>
      <c r="U5" s="303" t="s">
        <v>22</v>
      </c>
      <c r="V5" s="303" t="s">
        <v>23</v>
      </c>
      <c r="W5" s="303" t="s">
        <v>24</v>
      </c>
      <c r="X5" s="303" t="s">
        <v>25</v>
      </c>
      <c r="Y5" s="303" t="s">
        <v>26</v>
      </c>
      <c r="Z5" s="303" t="s">
        <v>27</v>
      </c>
      <c r="AA5" s="303" t="s">
        <v>28</v>
      </c>
      <c r="AB5" s="303" t="s">
        <v>29</v>
      </c>
      <c r="AC5" s="303"/>
      <c r="AD5" s="303"/>
      <c r="AE5" s="303"/>
      <c r="AF5" s="114"/>
      <c r="AG5" s="299" t="s">
        <v>30</v>
      </c>
      <c r="AH5" s="299" t="s">
        <v>31</v>
      </c>
      <c r="AI5" s="299" t="s">
        <v>32</v>
      </c>
      <c r="AJ5" s="299" t="s">
        <v>33</v>
      </c>
      <c r="AK5" s="299" t="s">
        <v>34</v>
      </c>
      <c r="AL5" s="299" t="s">
        <v>33</v>
      </c>
      <c r="AM5" s="299" t="s">
        <v>35</v>
      </c>
      <c r="AN5" s="299" t="s">
        <v>33</v>
      </c>
      <c r="AO5" s="299" t="s">
        <v>36</v>
      </c>
      <c r="AP5" s="299" t="s">
        <v>33</v>
      </c>
      <c r="AQ5" s="309" t="s">
        <v>77</v>
      </c>
      <c r="AR5" s="311" t="s">
        <v>33</v>
      </c>
      <c r="AS5" s="307" t="s">
        <v>83</v>
      </c>
      <c r="AT5" s="297" t="s">
        <v>82</v>
      </c>
      <c r="AU5" s="297" t="s">
        <v>33</v>
      </c>
      <c r="AV5" s="294" t="s">
        <v>78</v>
      </c>
      <c r="AW5" s="295"/>
      <c r="AX5" s="296"/>
      <c r="AY5" s="299" t="s">
        <v>19</v>
      </c>
      <c r="AZ5" s="299" t="s">
        <v>38</v>
      </c>
      <c r="BA5" s="299" t="s">
        <v>33</v>
      </c>
      <c r="BB5" s="299" t="s">
        <v>39</v>
      </c>
      <c r="BC5" s="314"/>
      <c r="BD5" s="320"/>
      <c r="BE5" s="317"/>
    </row>
    <row r="6" spans="1:57" ht="54" customHeight="1" thickBot="1">
      <c r="A6" s="329"/>
      <c r="B6" s="332"/>
      <c r="C6" s="332"/>
      <c r="D6" s="33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115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10"/>
      <c r="AR6" s="312"/>
      <c r="AS6" s="308"/>
      <c r="AT6" s="298"/>
      <c r="AU6" s="298"/>
      <c r="AV6" s="127" t="s">
        <v>79</v>
      </c>
      <c r="AW6" s="127" t="s">
        <v>80</v>
      </c>
      <c r="AX6" s="127" t="s">
        <v>81</v>
      </c>
      <c r="AY6" s="300"/>
      <c r="AZ6" s="300"/>
      <c r="BA6" s="300"/>
      <c r="BB6" s="300"/>
      <c r="BC6" s="315"/>
      <c r="BD6" s="321"/>
      <c r="BE6" s="318"/>
    </row>
    <row r="7" spans="1:57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9">
        <v>56</v>
      </c>
      <c r="BE7" s="9">
        <v>56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7"/>
      <c r="BE8" s="12"/>
    </row>
    <row r="9" spans="1:57" ht="12.75">
      <c r="A9" s="13" t="s">
        <v>41</v>
      </c>
      <c r="B9" s="100">
        <v>715.3</v>
      </c>
      <c r="C9" s="117">
        <f>B9*8.65</f>
        <v>6187.345</v>
      </c>
      <c r="D9" s="118">
        <f>C9*0.24088</f>
        <v>1490.4076636000002</v>
      </c>
      <c r="E9" s="101">
        <v>511.6</v>
      </c>
      <c r="F9" s="101">
        <v>80.44</v>
      </c>
      <c r="G9" s="101">
        <v>690.68</v>
      </c>
      <c r="H9" s="101">
        <v>108.59</v>
      </c>
      <c r="I9" s="101">
        <v>836.98</v>
      </c>
      <c r="J9" s="101">
        <v>131.74</v>
      </c>
      <c r="K9" s="99">
        <v>576.03</v>
      </c>
      <c r="L9" s="99">
        <v>90.5</v>
      </c>
      <c r="M9" s="101">
        <v>409.28</v>
      </c>
      <c r="N9" s="101">
        <v>64.35</v>
      </c>
      <c r="O9" s="101">
        <v>0</v>
      </c>
      <c r="P9" s="101">
        <v>0</v>
      </c>
      <c r="Q9" s="101">
        <v>0</v>
      </c>
      <c r="R9" s="101">
        <v>0</v>
      </c>
      <c r="S9" s="101">
        <f>E9+G9+I9+K9+M9+O9+Q9</f>
        <v>3024.5699999999997</v>
      </c>
      <c r="T9" s="119">
        <f>P9+N9+L9+J9+H9+F9+R9</f>
        <v>475.62000000000006</v>
      </c>
      <c r="U9" s="101">
        <v>0</v>
      </c>
      <c r="V9" s="101">
        <v>0</v>
      </c>
      <c r="W9" s="101">
        <v>0</v>
      </c>
      <c r="X9" s="101">
        <v>0</v>
      </c>
      <c r="Y9" s="4">
        <v>0</v>
      </c>
      <c r="Z9" s="107">
        <v>0</v>
      </c>
      <c r="AA9" s="107">
        <v>0</v>
      </c>
      <c r="AB9" s="107">
        <f>SUM(U9:AA9)</f>
        <v>0</v>
      </c>
      <c r="AC9" s="137">
        <f>D9+T9+AB9</f>
        <v>1966.0276636000003</v>
      </c>
      <c r="AD9" s="138">
        <f>P9+Z9</f>
        <v>0</v>
      </c>
      <c r="AE9" s="123">
        <f>R9+AA9</f>
        <v>0</v>
      </c>
      <c r="AF9" s="123"/>
      <c r="AG9" s="31">
        <f>0.6*B9</f>
        <v>429.17999999999995</v>
      </c>
      <c r="AH9" s="31">
        <f>B9*0.2*1.05826</f>
        <v>151.3946756</v>
      </c>
      <c r="AI9" s="31">
        <f>0.8518*B9</f>
        <v>609.2925399999999</v>
      </c>
      <c r="AJ9" s="31">
        <f>AI9*0.18</f>
        <v>109.67265719999997</v>
      </c>
      <c r="AK9" s="31">
        <f>1.04*B9*0.9531</f>
        <v>709.0225272</v>
      </c>
      <c r="AL9" s="31">
        <f>AK9*0.18</f>
        <v>127.624054896</v>
      </c>
      <c r="AM9" s="31">
        <f>(1.91)*B9*0.9531</f>
        <v>1302.1471413</v>
      </c>
      <c r="AN9" s="31">
        <f>AM9*0.18</f>
        <v>234.38648543399998</v>
      </c>
      <c r="AO9" s="31"/>
      <c r="AP9" s="31">
        <f>AO9*0.18</f>
        <v>0</v>
      </c>
      <c r="AQ9" s="128"/>
      <c r="AR9" s="128"/>
      <c r="AS9" s="142"/>
      <c r="AT9" s="142"/>
      <c r="AU9" s="105">
        <f>(AS9+AT9)*0.18</f>
        <v>0</v>
      </c>
      <c r="AV9" s="129"/>
      <c r="AW9" s="143"/>
      <c r="AX9" s="31">
        <f>AW9*1.12*1.18</f>
        <v>0</v>
      </c>
      <c r="AY9" s="130"/>
      <c r="AZ9" s="132"/>
      <c r="BA9" s="132">
        <f>AZ9*0.18</f>
        <v>0</v>
      </c>
      <c r="BB9" s="132">
        <f>SUM(AG9:BA9)-AV9-AW9</f>
        <v>3672.7200816299996</v>
      </c>
      <c r="BC9" s="139"/>
      <c r="BD9" s="19">
        <f>AC9-BB9</f>
        <v>-1706.6924180299993</v>
      </c>
      <c r="BE9" s="21">
        <f>AB9-S9</f>
        <v>-3024.5699999999997</v>
      </c>
    </row>
    <row r="10" spans="1:57" ht="12.75">
      <c r="A10" s="13" t="s">
        <v>42</v>
      </c>
      <c r="B10" s="100">
        <v>715.3</v>
      </c>
      <c r="C10" s="117">
        <f>B10*8.65</f>
        <v>6187.345</v>
      </c>
      <c r="D10" s="118">
        <f>C10*0.24088</f>
        <v>1490.4076636000002</v>
      </c>
      <c r="E10" s="101">
        <v>503.57</v>
      </c>
      <c r="F10" s="101">
        <v>80.44</v>
      </c>
      <c r="G10" s="101">
        <v>679.83</v>
      </c>
      <c r="H10" s="101">
        <v>108.59</v>
      </c>
      <c r="I10" s="101">
        <v>823.83</v>
      </c>
      <c r="J10" s="101">
        <v>131.74</v>
      </c>
      <c r="K10" s="99">
        <v>566.99</v>
      </c>
      <c r="L10" s="99">
        <v>90.5</v>
      </c>
      <c r="M10" s="101">
        <v>402.85</v>
      </c>
      <c r="N10" s="101">
        <v>64.35</v>
      </c>
      <c r="O10" s="101">
        <v>0</v>
      </c>
      <c r="P10" s="101">
        <v>0</v>
      </c>
      <c r="Q10" s="101">
        <v>0</v>
      </c>
      <c r="R10" s="101">
        <v>0</v>
      </c>
      <c r="S10" s="101">
        <f>E10+G10+I10+K10+M10+O10+Q10</f>
        <v>2977.07</v>
      </c>
      <c r="T10" s="119">
        <f>P10+N10+L10+J10+H10+F10+R10</f>
        <v>475.62000000000006</v>
      </c>
      <c r="U10" s="101">
        <v>450.12</v>
      </c>
      <c r="V10" s="101">
        <v>607.7</v>
      </c>
      <c r="W10" s="101">
        <v>735.92</v>
      </c>
      <c r="X10" s="101">
        <v>507.09</v>
      </c>
      <c r="Y10" s="4">
        <v>360.09</v>
      </c>
      <c r="Z10" s="101">
        <v>0</v>
      </c>
      <c r="AA10" s="107">
        <v>0</v>
      </c>
      <c r="AB10" s="124">
        <f>SUM(U10:AA10)</f>
        <v>2660.9200000000005</v>
      </c>
      <c r="AC10" s="122">
        <f>D10+T10+AB10</f>
        <v>4626.947663600001</v>
      </c>
      <c r="AD10" s="123">
        <f>P10+Z10</f>
        <v>0</v>
      </c>
      <c r="AE10" s="123">
        <f>R10+AA10</f>
        <v>0</v>
      </c>
      <c r="AF10" s="123"/>
      <c r="AG10" s="31">
        <f>0.6*B10</f>
        <v>429.17999999999995</v>
      </c>
      <c r="AH10" s="31">
        <f>B10*0.201</f>
        <v>143.7753</v>
      </c>
      <c r="AI10" s="31">
        <f>0.8518*B10</f>
        <v>609.2925399999999</v>
      </c>
      <c r="AJ10" s="31">
        <f>AI10*0.18</f>
        <v>109.67265719999997</v>
      </c>
      <c r="AK10" s="31">
        <f>1.04*B10*0.9531</f>
        <v>709.0225272</v>
      </c>
      <c r="AL10" s="31">
        <f>AK10*0.18</f>
        <v>127.624054896</v>
      </c>
      <c r="AM10" s="31">
        <f>(1.91)*B10*0.9531</f>
        <v>1302.1471413</v>
      </c>
      <c r="AN10" s="31">
        <f>AM10*0.18</f>
        <v>234.38648543399998</v>
      </c>
      <c r="AO10" s="31"/>
      <c r="AP10" s="31">
        <f>AO10*0.18</f>
        <v>0</v>
      </c>
      <c r="AQ10" s="128"/>
      <c r="AR10" s="128"/>
      <c r="AS10" s="142"/>
      <c r="AT10" s="142"/>
      <c r="AU10" s="105">
        <f>(AS10+AT10)*0.18</f>
        <v>0</v>
      </c>
      <c r="AV10" s="129"/>
      <c r="AW10" s="143"/>
      <c r="AX10" s="31">
        <f>AW10*1.12*1.18</f>
        <v>0</v>
      </c>
      <c r="AY10" s="130"/>
      <c r="AZ10" s="132"/>
      <c r="BA10" s="132">
        <f>AZ10*0.18</f>
        <v>0</v>
      </c>
      <c r="BB10" s="132">
        <f>SUM(AG10:BA10)-AV10-AW10</f>
        <v>3665.10070603</v>
      </c>
      <c r="BC10" s="139"/>
      <c r="BD10" s="19">
        <f>AC10-BB10</f>
        <v>961.846957570001</v>
      </c>
      <c r="BE10" s="21">
        <f>AB10-S10</f>
        <v>-316.14999999999964</v>
      </c>
    </row>
    <row r="11" spans="1:57" ht="12.75">
      <c r="A11" s="13" t="s">
        <v>43</v>
      </c>
      <c r="B11" s="100">
        <v>715.3</v>
      </c>
      <c r="C11" s="117">
        <f>B11*8.65</f>
        <v>6187.345</v>
      </c>
      <c r="D11" s="118">
        <f>C11*0.24035</f>
        <v>1487.1283707500002</v>
      </c>
      <c r="E11" s="101">
        <v>511.6</v>
      </c>
      <c r="F11" s="101">
        <v>80.44</v>
      </c>
      <c r="G11" s="101">
        <v>690.68</v>
      </c>
      <c r="H11" s="101">
        <v>108.59</v>
      </c>
      <c r="I11" s="101">
        <v>1112.24</v>
      </c>
      <c r="J11" s="101">
        <v>174.96</v>
      </c>
      <c r="K11" s="99">
        <v>767.4</v>
      </c>
      <c r="L11" s="99">
        <v>120.66</v>
      </c>
      <c r="M11" s="147">
        <v>409.28</v>
      </c>
      <c r="N11" s="148">
        <v>64.35</v>
      </c>
      <c r="O11" s="101">
        <v>0</v>
      </c>
      <c r="P11" s="107">
        <v>0</v>
      </c>
      <c r="Q11" s="107">
        <v>0</v>
      </c>
      <c r="R11" s="107">
        <v>0</v>
      </c>
      <c r="S11" s="101">
        <f>E11+G11+I11+K11+M11+O11+Q11</f>
        <v>3491.2</v>
      </c>
      <c r="T11" s="119">
        <f>P11+N11+L11+J11+H11+F11+R11</f>
        <v>549</v>
      </c>
      <c r="U11" s="101">
        <v>647.87</v>
      </c>
      <c r="V11" s="101">
        <v>874.68</v>
      </c>
      <c r="W11" s="101">
        <v>1139.39</v>
      </c>
      <c r="X11" s="101">
        <v>784.91</v>
      </c>
      <c r="Y11" s="4">
        <v>518.28</v>
      </c>
      <c r="Z11" s="107">
        <v>0</v>
      </c>
      <c r="AA11" s="107">
        <v>0</v>
      </c>
      <c r="AB11" s="124">
        <f>SUM(U11:AA11)</f>
        <v>3965.13</v>
      </c>
      <c r="AC11" s="122">
        <f>D11+T11+AB11</f>
        <v>6001.25837075</v>
      </c>
      <c r="AD11" s="123">
        <f>P11+Z11</f>
        <v>0</v>
      </c>
      <c r="AE11" s="123">
        <f>R11+AA11</f>
        <v>0</v>
      </c>
      <c r="AF11" s="123"/>
      <c r="AG11" s="31">
        <f>0.6*B11</f>
        <v>429.17999999999995</v>
      </c>
      <c r="AH11" s="31">
        <f>B11*0.2*1.02524</f>
        <v>146.6708344</v>
      </c>
      <c r="AI11" s="31">
        <f>0.84932*B11</f>
        <v>607.5185959999999</v>
      </c>
      <c r="AJ11" s="31">
        <f>AI11*0.18</f>
        <v>109.35334727999998</v>
      </c>
      <c r="AK11" s="31">
        <f>1.04*B11*0.95033</f>
        <v>706.96189096</v>
      </c>
      <c r="AL11" s="31">
        <f>AK11*0.18</f>
        <v>127.25314037279999</v>
      </c>
      <c r="AM11" s="31">
        <f>(1.91)*B11*0.95033</f>
        <v>1298.36270359</v>
      </c>
      <c r="AN11" s="31">
        <f>AM11*0.18</f>
        <v>233.70528664619997</v>
      </c>
      <c r="AO11" s="31"/>
      <c r="AP11" s="31">
        <f>AO11*0.18</f>
        <v>0</v>
      </c>
      <c r="AQ11" s="128"/>
      <c r="AR11" s="128"/>
      <c r="AS11" s="142">
        <v>360</v>
      </c>
      <c r="AT11" s="105"/>
      <c r="AU11" s="105">
        <f>(AS11+AT11)*0.18</f>
        <v>64.8</v>
      </c>
      <c r="AV11" s="129"/>
      <c r="AW11" s="143"/>
      <c r="AX11" s="31">
        <f>AW11*1.12*1.18</f>
        <v>0</v>
      </c>
      <c r="AY11" s="130"/>
      <c r="AZ11" s="132"/>
      <c r="BA11" s="132">
        <f>AZ11*0.18</f>
        <v>0</v>
      </c>
      <c r="BB11" s="132">
        <f>SUM(AG11:BA11)-AV11-AW11</f>
        <v>4083.805799249</v>
      </c>
      <c r="BC11" s="139"/>
      <c r="BD11" s="19">
        <f>AC11-BB11</f>
        <v>1917.452571501</v>
      </c>
      <c r="BE11" s="21">
        <f>AB11-S11</f>
        <v>473.9300000000003</v>
      </c>
    </row>
    <row r="12" spans="1:57" s="28" customFormat="1" ht="15" customHeight="1">
      <c r="A12" s="22" t="s">
        <v>5</v>
      </c>
      <c r="B12" s="23"/>
      <c r="C12" s="23">
        <f aca="true" t="shared" si="0" ref="C12:BE12">SUM(C9:C11)</f>
        <v>18562.035</v>
      </c>
      <c r="D12" s="23">
        <f t="shared" si="0"/>
        <v>4467.943697950001</v>
      </c>
      <c r="E12" s="23">
        <f aca="true" t="shared" si="1" ref="E12:R12">SUM(E9:E11)</f>
        <v>1526.77</v>
      </c>
      <c r="F12" s="23">
        <f t="shared" si="1"/>
        <v>241.32</v>
      </c>
      <c r="G12" s="23">
        <f t="shared" si="1"/>
        <v>2061.19</v>
      </c>
      <c r="H12" s="23">
        <f t="shared" si="1"/>
        <v>325.77</v>
      </c>
      <c r="I12" s="23">
        <f t="shared" si="1"/>
        <v>2773.05</v>
      </c>
      <c r="J12" s="23">
        <f t="shared" si="1"/>
        <v>438.44000000000005</v>
      </c>
      <c r="K12" s="23">
        <f t="shared" si="1"/>
        <v>1910.42</v>
      </c>
      <c r="L12" s="23">
        <f t="shared" si="1"/>
        <v>301.65999999999997</v>
      </c>
      <c r="M12" s="23">
        <f t="shared" si="1"/>
        <v>1221.4099999999999</v>
      </c>
      <c r="N12" s="23">
        <f t="shared" si="1"/>
        <v>193.04999999999998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4">
        <f t="shared" si="0"/>
        <v>9492.84</v>
      </c>
      <c r="T12" s="24">
        <f t="shared" si="0"/>
        <v>1500.2400000000002</v>
      </c>
      <c r="U12" s="25">
        <f t="shared" si="0"/>
        <v>1097.99</v>
      </c>
      <c r="V12" s="25">
        <f t="shared" si="0"/>
        <v>1482.38</v>
      </c>
      <c r="W12" s="25">
        <f t="shared" si="0"/>
        <v>1875.31</v>
      </c>
      <c r="X12" s="25">
        <f t="shared" si="0"/>
        <v>1292</v>
      </c>
      <c r="Y12" s="25">
        <f t="shared" si="0"/>
        <v>878.3699999999999</v>
      </c>
      <c r="Z12" s="25">
        <f t="shared" si="0"/>
        <v>0</v>
      </c>
      <c r="AA12" s="25">
        <f t="shared" si="0"/>
        <v>0</v>
      </c>
      <c r="AB12" s="25">
        <f t="shared" si="0"/>
        <v>6626.050000000001</v>
      </c>
      <c r="AC12" s="25">
        <f t="shared" si="0"/>
        <v>12594.233697950001</v>
      </c>
      <c r="AD12" s="112">
        <f t="shared" si="0"/>
        <v>0</v>
      </c>
      <c r="AE12" s="112">
        <f t="shared" si="0"/>
        <v>0</v>
      </c>
      <c r="AF12" s="112"/>
      <c r="AG12" s="26">
        <f t="shared" si="0"/>
        <v>1287.54</v>
      </c>
      <c r="AH12" s="26">
        <f t="shared" si="0"/>
        <v>441.84081</v>
      </c>
      <c r="AI12" s="26">
        <f t="shared" si="0"/>
        <v>1826.1036759999997</v>
      </c>
      <c r="AJ12" s="26">
        <f t="shared" si="0"/>
        <v>328.69866167999993</v>
      </c>
      <c r="AK12" s="26">
        <f t="shared" si="0"/>
        <v>2125.00694536</v>
      </c>
      <c r="AL12" s="26">
        <f t="shared" si="0"/>
        <v>382.5012501648</v>
      </c>
      <c r="AM12" s="26">
        <f>SUM(AM9:AM11)</f>
        <v>3902.6569861899998</v>
      </c>
      <c r="AN12" s="26">
        <f>SUM(AN9:AN11)</f>
        <v>702.4782575141999</v>
      </c>
      <c r="AO12" s="26">
        <f t="shared" si="0"/>
        <v>0</v>
      </c>
      <c r="AP12" s="26">
        <f t="shared" si="0"/>
        <v>0</v>
      </c>
      <c r="AQ12" s="26"/>
      <c r="AR12" s="26"/>
      <c r="AS12" s="95">
        <f t="shared" si="0"/>
        <v>360</v>
      </c>
      <c r="AT12" s="95"/>
      <c r="AU12" s="95">
        <f t="shared" si="0"/>
        <v>64.8</v>
      </c>
      <c r="AV12" s="26"/>
      <c r="AW12" s="26"/>
      <c r="AX12" s="26">
        <f t="shared" si="0"/>
        <v>0</v>
      </c>
      <c r="AY12" s="26">
        <f t="shared" si="0"/>
        <v>0</v>
      </c>
      <c r="AZ12" s="26">
        <f t="shared" si="0"/>
        <v>0</v>
      </c>
      <c r="BA12" s="26">
        <f t="shared" si="0"/>
        <v>0</v>
      </c>
      <c r="BB12" s="26">
        <f t="shared" si="0"/>
        <v>11421.626586908998</v>
      </c>
      <c r="BC12" s="26">
        <f t="shared" si="0"/>
        <v>0</v>
      </c>
      <c r="BD12" s="26">
        <f t="shared" si="0"/>
        <v>1172.6071110410016</v>
      </c>
      <c r="BE12" s="27">
        <f t="shared" si="0"/>
        <v>-2866.789999999999</v>
      </c>
    </row>
    <row r="13" spans="1:57" ht="15" customHeight="1">
      <c r="A13" s="5" t="s">
        <v>44</v>
      </c>
      <c r="B13" s="93"/>
      <c r="C13" s="15"/>
      <c r="D13" s="1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4"/>
      <c r="P13" s="17"/>
      <c r="Q13" s="16"/>
      <c r="R13" s="16"/>
      <c r="S13" s="16"/>
      <c r="T13" s="16"/>
      <c r="U13" s="29"/>
      <c r="V13" s="29"/>
      <c r="W13" s="29"/>
      <c r="X13" s="29"/>
      <c r="Y13" s="29"/>
      <c r="Z13" s="29"/>
      <c r="AA13" s="18"/>
      <c r="AB13" s="18"/>
      <c r="AC13" s="110"/>
      <c r="AD13" s="111"/>
      <c r="AE13" s="111"/>
      <c r="AF13" s="111"/>
      <c r="AG13" s="19"/>
      <c r="AH13" s="19"/>
      <c r="AI13" s="19"/>
      <c r="AJ13" s="19"/>
      <c r="AK13" s="19"/>
      <c r="AL13" s="19"/>
      <c r="AM13" s="19"/>
      <c r="AN13" s="19"/>
      <c r="AO13" s="20"/>
      <c r="AP13" s="20"/>
      <c r="AQ13" s="20"/>
      <c r="AR13" s="20"/>
      <c r="AS13" s="104"/>
      <c r="AT13" s="104"/>
      <c r="AU13" s="30"/>
      <c r="AV13" s="19"/>
      <c r="AW13" s="19"/>
      <c r="AX13" s="20"/>
      <c r="AY13" s="20"/>
      <c r="AZ13" s="20"/>
      <c r="BA13" s="19"/>
      <c r="BB13" s="19"/>
      <c r="BC13" s="19"/>
      <c r="BD13" s="19"/>
      <c r="BE13" s="21"/>
    </row>
    <row r="14" spans="1:57" ht="12.75">
      <c r="A14" s="13" t="s">
        <v>45</v>
      </c>
      <c r="B14" s="120">
        <v>715.3</v>
      </c>
      <c r="C14" s="117">
        <f aca="true" t="shared" si="2" ref="C14:C25">B14*8.65</f>
        <v>6187.345</v>
      </c>
      <c r="D14" s="118">
        <f>C14*0.125+4746.08</f>
        <v>5519.498125</v>
      </c>
      <c r="E14" s="101">
        <v>523.8</v>
      </c>
      <c r="F14" s="101">
        <v>68.24</v>
      </c>
      <c r="G14" s="101">
        <v>707.15</v>
      </c>
      <c r="H14" s="101">
        <v>92.12</v>
      </c>
      <c r="I14" s="101">
        <v>1138.78</v>
      </c>
      <c r="J14" s="101">
        <v>148.42</v>
      </c>
      <c r="K14" s="99">
        <v>785.7</v>
      </c>
      <c r="L14" s="99">
        <v>102.36</v>
      </c>
      <c r="M14" s="147">
        <v>419.04</v>
      </c>
      <c r="N14" s="148">
        <v>54.59</v>
      </c>
      <c r="O14" s="101">
        <v>7599.39</v>
      </c>
      <c r="P14" s="107">
        <v>718.8</v>
      </c>
      <c r="Q14" s="107">
        <v>0</v>
      </c>
      <c r="R14" s="107">
        <v>0</v>
      </c>
      <c r="S14" s="101">
        <f aca="true" t="shared" si="3" ref="S14:S25">E14+G14+I14+K14+M14+O14+Q14</f>
        <v>11173.86</v>
      </c>
      <c r="T14" s="119">
        <f aca="true" t="shared" si="4" ref="T14:T25">P14+N14+L14+J14+H14+F14+R14</f>
        <v>1184.53</v>
      </c>
      <c r="U14" s="101">
        <v>356.25</v>
      </c>
      <c r="V14" s="101">
        <v>480.95</v>
      </c>
      <c r="W14" s="101">
        <v>746.99</v>
      </c>
      <c r="X14" s="101">
        <v>515.14</v>
      </c>
      <c r="Y14" s="4">
        <v>284.99</v>
      </c>
      <c r="Z14" s="101">
        <v>5231.98</v>
      </c>
      <c r="AA14" s="107">
        <v>0</v>
      </c>
      <c r="AB14" s="124">
        <f aca="true" t="shared" si="5" ref="AB14:AB22">SUM(U14:AA14)</f>
        <v>7616.299999999999</v>
      </c>
      <c r="AC14" s="122">
        <f aca="true" t="shared" si="6" ref="AC14:AC22">D14+T14+AB14</f>
        <v>14320.328125</v>
      </c>
      <c r="AD14" s="123">
        <f aca="true" t="shared" si="7" ref="AD14:AD25">P14+Z14</f>
        <v>5950.78</v>
      </c>
      <c r="AE14" s="123">
        <f aca="true" t="shared" si="8" ref="AE14:AE25">R14+AA14</f>
        <v>0</v>
      </c>
      <c r="AF14" s="123"/>
      <c r="AG14" s="31">
        <f>0.6*B14*0.9</f>
        <v>386.26199999999994</v>
      </c>
      <c r="AH14" s="31">
        <f>B14*0.2*0.891</f>
        <v>127.46646</v>
      </c>
      <c r="AI14" s="31">
        <f>0.85*B14*0.867-0.02</f>
        <v>527.120335</v>
      </c>
      <c r="AJ14" s="31">
        <f aca="true" t="shared" si="9" ref="AJ14:AJ25">AI14*0.18</f>
        <v>94.8816603</v>
      </c>
      <c r="AK14" s="31">
        <f>0.83*B14*0.8685</f>
        <v>515.6275815</v>
      </c>
      <c r="AL14" s="31">
        <f aca="true" t="shared" si="10" ref="AL14:AL25">AK14*0.18</f>
        <v>92.81296467</v>
      </c>
      <c r="AM14" s="31">
        <f>1.91*B14*0.8686</f>
        <v>1186.7012978</v>
      </c>
      <c r="AN14" s="31">
        <f aca="true" t="shared" si="11" ref="AN14:AN25">AM14*0.18</f>
        <v>213.60623360399998</v>
      </c>
      <c r="AO14" s="31"/>
      <c r="AP14" s="31">
        <f aca="true" t="shared" si="12" ref="AP14:AP25">AO14*0.18</f>
        <v>0</v>
      </c>
      <c r="AQ14" s="145"/>
      <c r="AR14" s="128">
        <f aca="true" t="shared" si="13" ref="AR14:AR25">AQ14*0.18</f>
        <v>0</v>
      </c>
      <c r="AS14" s="105"/>
      <c r="AT14" s="142"/>
      <c r="AU14" s="105">
        <f aca="true" t="shared" si="14" ref="AU14:AU25">(AS14+AT14)*0.18</f>
        <v>0</v>
      </c>
      <c r="AV14" s="129"/>
      <c r="AW14" s="143">
        <v>40740</v>
      </c>
      <c r="AX14" s="31">
        <f aca="true" t="shared" si="15" ref="AX14:AX25">AW14*1.12*1.18</f>
        <v>53841.984000000004</v>
      </c>
      <c r="AY14" s="31"/>
      <c r="AZ14" s="132"/>
      <c r="BA14" s="132">
        <f>AZ14*0.18</f>
        <v>0</v>
      </c>
      <c r="BB14" s="132">
        <f>SUM(AG14:AU14)</f>
        <v>3144.4785328739995</v>
      </c>
      <c r="BC14" s="139"/>
      <c r="BD14" s="19">
        <f>AC14+AF14-BB14-BC14</f>
        <v>11175.849592126</v>
      </c>
      <c r="BE14" s="21">
        <f aca="true" t="shared" si="16" ref="BE14:BE24">AB14-S14</f>
        <v>-3557.5600000000013</v>
      </c>
    </row>
    <row r="15" spans="1:57" ht="12.75">
      <c r="A15" s="13" t="s">
        <v>46</v>
      </c>
      <c r="B15" s="100">
        <v>715.3</v>
      </c>
      <c r="C15" s="117">
        <f t="shared" si="2"/>
        <v>6187.345</v>
      </c>
      <c r="D15" s="118">
        <f>C15*0.125+4716.53</f>
        <v>5489.948125</v>
      </c>
      <c r="E15" s="101">
        <v>511.6</v>
      </c>
      <c r="F15" s="101">
        <v>80.44</v>
      </c>
      <c r="G15" s="101">
        <v>690.68</v>
      </c>
      <c r="H15" s="101">
        <v>108.59</v>
      </c>
      <c r="I15" s="101">
        <v>1112.24</v>
      </c>
      <c r="J15" s="101">
        <v>174.96</v>
      </c>
      <c r="K15" s="99">
        <v>767.4</v>
      </c>
      <c r="L15" s="99">
        <v>120.66</v>
      </c>
      <c r="M15" s="147">
        <v>409.28</v>
      </c>
      <c r="N15" s="148">
        <v>64.35</v>
      </c>
      <c r="O15" s="101">
        <v>7427.98</v>
      </c>
      <c r="P15" s="107">
        <v>890.2</v>
      </c>
      <c r="Q15" s="107">
        <v>0</v>
      </c>
      <c r="R15" s="107">
        <v>0</v>
      </c>
      <c r="S15" s="101">
        <f t="shared" si="3"/>
        <v>10919.18</v>
      </c>
      <c r="T15" s="119">
        <f t="shared" si="4"/>
        <v>1439.2</v>
      </c>
      <c r="U15" s="101">
        <v>381.19</v>
      </c>
      <c r="V15" s="101">
        <v>514.67</v>
      </c>
      <c r="W15" s="101">
        <v>809.05</v>
      </c>
      <c r="X15" s="101">
        <v>557.97</v>
      </c>
      <c r="Y15" s="4">
        <v>304.99</v>
      </c>
      <c r="Z15" s="101">
        <v>7086.08</v>
      </c>
      <c r="AA15" s="107">
        <v>0</v>
      </c>
      <c r="AB15" s="124">
        <f t="shared" si="5"/>
        <v>9653.95</v>
      </c>
      <c r="AC15" s="122">
        <f t="shared" si="6"/>
        <v>16583.098125</v>
      </c>
      <c r="AD15" s="123">
        <f t="shared" si="7"/>
        <v>7976.28</v>
      </c>
      <c r="AE15" s="123">
        <f t="shared" si="8"/>
        <v>0</v>
      </c>
      <c r="AF15" s="123"/>
      <c r="AG15" s="31">
        <f>0.6*B15*0.9</f>
        <v>386.26199999999994</v>
      </c>
      <c r="AH15" s="31">
        <f>B15*0.2*0.9153</f>
        <v>130.942818</v>
      </c>
      <c r="AI15" s="31">
        <f>0.85*B15*0.867</f>
        <v>527.1403349999999</v>
      </c>
      <c r="AJ15" s="31">
        <f t="shared" si="9"/>
        <v>94.88526029999998</v>
      </c>
      <c r="AK15" s="31">
        <f>0.83*B15*0.8684</f>
        <v>515.5682115999999</v>
      </c>
      <c r="AL15" s="31">
        <f t="shared" si="10"/>
        <v>92.80227808799998</v>
      </c>
      <c r="AM15" s="31">
        <f>(1.91)*B15*0.8684</f>
        <v>1186.4280531999998</v>
      </c>
      <c r="AN15" s="31">
        <f t="shared" si="11"/>
        <v>213.55704957599997</v>
      </c>
      <c r="AO15" s="31"/>
      <c r="AP15" s="31">
        <f t="shared" si="12"/>
        <v>0</v>
      </c>
      <c r="AQ15" s="145"/>
      <c r="AR15" s="128">
        <f t="shared" si="13"/>
        <v>0</v>
      </c>
      <c r="AS15" s="144">
        <v>4763</v>
      </c>
      <c r="AT15" s="142"/>
      <c r="AU15" s="105">
        <f t="shared" si="14"/>
        <v>857.3399999999999</v>
      </c>
      <c r="AV15" s="129"/>
      <c r="AW15" s="143">
        <v>32880</v>
      </c>
      <c r="AX15" s="31">
        <f t="shared" si="15"/>
        <v>43454.208000000006</v>
      </c>
      <c r="AY15" s="130"/>
      <c r="AZ15" s="132"/>
      <c r="BA15" s="132">
        <f>AZ15*0.18</f>
        <v>0</v>
      </c>
      <c r="BB15" s="132">
        <f>SUM(AG15:AU15)+AY15</f>
        <v>8767.926005763999</v>
      </c>
      <c r="BC15" s="140"/>
      <c r="BD15" s="19">
        <f aca="true" t="shared" si="17" ref="BD15:BD22">AC15+AF15-BB15-BC15</f>
        <v>7815.172119236002</v>
      </c>
      <c r="BE15" s="21">
        <f t="shared" si="16"/>
        <v>-1265.2299999999996</v>
      </c>
    </row>
    <row r="16" spans="1:57" ht="12.75">
      <c r="A16" s="13" t="s">
        <v>47</v>
      </c>
      <c r="B16" s="141">
        <v>715.3</v>
      </c>
      <c r="C16" s="117">
        <f t="shared" si="2"/>
        <v>6187.345</v>
      </c>
      <c r="D16" s="118">
        <f>C16*0.125+6437.65</f>
        <v>7211.068125</v>
      </c>
      <c r="E16" s="101">
        <v>511.6</v>
      </c>
      <c r="F16" s="101">
        <v>80.44</v>
      </c>
      <c r="G16" s="101">
        <v>690.68</v>
      </c>
      <c r="H16" s="101">
        <v>108.59</v>
      </c>
      <c r="I16" s="101">
        <v>1112.24</v>
      </c>
      <c r="J16" s="101">
        <v>174.96</v>
      </c>
      <c r="K16" s="99">
        <v>767.4</v>
      </c>
      <c r="L16" s="99">
        <v>120.66</v>
      </c>
      <c r="M16" s="147">
        <v>409.28</v>
      </c>
      <c r="N16" s="148">
        <v>64.35</v>
      </c>
      <c r="O16" s="101">
        <v>7427.98</v>
      </c>
      <c r="P16" s="107">
        <v>890.2</v>
      </c>
      <c r="Q16" s="107">
        <v>0</v>
      </c>
      <c r="R16" s="107">
        <v>0</v>
      </c>
      <c r="S16" s="101">
        <f t="shared" si="3"/>
        <v>10919.18</v>
      </c>
      <c r="T16" s="119">
        <f t="shared" si="4"/>
        <v>1439.2</v>
      </c>
      <c r="U16" s="102">
        <v>439.22</v>
      </c>
      <c r="V16" s="102">
        <v>592.92</v>
      </c>
      <c r="W16" s="102">
        <v>936.72</v>
      </c>
      <c r="X16" s="102">
        <v>646.27</v>
      </c>
      <c r="Y16" s="149">
        <v>351.35</v>
      </c>
      <c r="Z16" s="102">
        <v>8347.69</v>
      </c>
      <c r="AA16" s="125">
        <v>0</v>
      </c>
      <c r="AB16" s="121">
        <f t="shared" si="5"/>
        <v>11314.17</v>
      </c>
      <c r="AC16" s="122">
        <f t="shared" si="6"/>
        <v>19964.438125</v>
      </c>
      <c r="AD16" s="123">
        <f t="shared" si="7"/>
        <v>9237.890000000001</v>
      </c>
      <c r="AE16" s="123">
        <f t="shared" si="8"/>
        <v>0</v>
      </c>
      <c r="AF16" s="123"/>
      <c r="AG16" s="31">
        <f>0.6*B16*0.9</f>
        <v>386.26199999999994</v>
      </c>
      <c r="AH16" s="126">
        <f>B16*0.2*0.9082</f>
        <v>129.92709200000002</v>
      </c>
      <c r="AI16" s="31">
        <f>0.85*B16*0.8675</f>
        <v>527.4443375000001</v>
      </c>
      <c r="AJ16" s="31">
        <f t="shared" si="9"/>
        <v>94.93998075</v>
      </c>
      <c r="AK16" s="126">
        <f>0.83*B16*0.838</f>
        <v>497.51976199999996</v>
      </c>
      <c r="AL16" s="31">
        <f t="shared" si="10"/>
        <v>89.55355715999998</v>
      </c>
      <c r="AM16" s="31">
        <f>1.91*B16*0.8381</f>
        <v>1145.0314962999998</v>
      </c>
      <c r="AN16" s="31">
        <f t="shared" si="11"/>
        <v>206.10566933399997</v>
      </c>
      <c r="AO16" s="31"/>
      <c r="AP16" s="31">
        <f t="shared" si="12"/>
        <v>0</v>
      </c>
      <c r="AQ16" s="145"/>
      <c r="AR16" s="128">
        <f t="shared" si="13"/>
        <v>0</v>
      </c>
      <c r="AS16" s="142"/>
      <c r="AT16" s="142"/>
      <c r="AU16" s="105">
        <f t="shared" si="14"/>
        <v>0</v>
      </c>
      <c r="AV16" s="129"/>
      <c r="AW16" s="143">
        <v>29220</v>
      </c>
      <c r="AX16" s="31">
        <f t="shared" si="15"/>
        <v>38617.152</v>
      </c>
      <c r="AY16" s="130"/>
      <c r="AZ16" s="132"/>
      <c r="BA16" s="132">
        <f>AZ16*0.18</f>
        <v>0</v>
      </c>
      <c r="BB16" s="132">
        <f>SUM(AG16:AU16)</f>
        <v>3076.783895044</v>
      </c>
      <c r="BC16" s="140"/>
      <c r="BD16" s="19">
        <f t="shared" si="17"/>
        <v>16887.654229956002</v>
      </c>
      <c r="BE16" s="21">
        <f t="shared" si="16"/>
        <v>394.9899999999998</v>
      </c>
    </row>
    <row r="17" spans="1:57" ht="12.75">
      <c r="A17" s="13" t="s">
        <v>48</v>
      </c>
      <c r="B17" s="141">
        <v>715.3</v>
      </c>
      <c r="C17" s="117">
        <f t="shared" si="2"/>
        <v>6187.345</v>
      </c>
      <c r="D17" s="118">
        <f>C17*0.125+6504.36</f>
        <v>7277.778125</v>
      </c>
      <c r="E17" s="101">
        <v>556.63</v>
      </c>
      <c r="F17" s="101">
        <v>80.44</v>
      </c>
      <c r="G17" s="101">
        <v>751.48</v>
      </c>
      <c r="H17" s="101">
        <v>108.59</v>
      </c>
      <c r="I17" s="101">
        <v>1483.17</v>
      </c>
      <c r="J17" s="101">
        <v>174.96</v>
      </c>
      <c r="K17" s="99">
        <v>834.94</v>
      </c>
      <c r="L17" s="99">
        <v>120.66</v>
      </c>
      <c r="M17" s="147">
        <v>445.3</v>
      </c>
      <c r="N17" s="148">
        <v>64.35</v>
      </c>
      <c r="O17" s="101">
        <v>9106.01</v>
      </c>
      <c r="P17" s="107">
        <v>1091.39</v>
      </c>
      <c r="Q17" s="107">
        <v>0</v>
      </c>
      <c r="R17" s="107">
        <v>0</v>
      </c>
      <c r="S17" s="101">
        <f t="shared" si="3"/>
        <v>13177.53</v>
      </c>
      <c r="T17" s="119">
        <f t="shared" si="4"/>
        <v>1640.39</v>
      </c>
      <c r="U17" s="101">
        <v>424.51</v>
      </c>
      <c r="V17" s="101">
        <v>573.13</v>
      </c>
      <c r="W17" s="101">
        <v>918.03</v>
      </c>
      <c r="X17" s="101">
        <v>633.43</v>
      </c>
      <c r="Y17" s="101">
        <v>339.6</v>
      </c>
      <c r="Z17" s="101">
        <v>6459.02</v>
      </c>
      <c r="AA17" s="101">
        <v>0</v>
      </c>
      <c r="AB17" s="124">
        <f t="shared" si="5"/>
        <v>9347.720000000001</v>
      </c>
      <c r="AC17" s="122">
        <f t="shared" si="6"/>
        <v>18265.888125</v>
      </c>
      <c r="AD17" s="123">
        <f t="shared" si="7"/>
        <v>7550.410000000001</v>
      </c>
      <c r="AE17" s="123">
        <f t="shared" si="8"/>
        <v>0</v>
      </c>
      <c r="AF17" s="123"/>
      <c r="AG17" s="31">
        <f>0.6*B17*0.9</f>
        <v>386.26199999999994</v>
      </c>
      <c r="AH17" s="126">
        <f>B17*0.2*0.9234</f>
        <v>132.101604</v>
      </c>
      <c r="AI17" s="31">
        <f>0.85*B17*0.8934</f>
        <v>543.1916669999999</v>
      </c>
      <c r="AJ17" s="31">
        <f t="shared" si="9"/>
        <v>97.77450005999998</v>
      </c>
      <c r="AK17" s="31">
        <f>0.83*B17*0.8498</f>
        <v>504.52541019999995</v>
      </c>
      <c r="AL17" s="31">
        <f t="shared" si="10"/>
        <v>90.814573836</v>
      </c>
      <c r="AM17" s="31">
        <f>(1.91)*B17*0.8498</f>
        <v>1161.0163054</v>
      </c>
      <c r="AN17" s="31">
        <f t="shared" si="11"/>
        <v>208.98293497199998</v>
      </c>
      <c r="AO17" s="31"/>
      <c r="AP17" s="31">
        <f t="shared" si="12"/>
        <v>0</v>
      </c>
      <c r="AQ17" s="128">
        <f>2262.57+11537.76</f>
        <v>13800.33</v>
      </c>
      <c r="AR17" s="128">
        <f t="shared" si="13"/>
        <v>2484.0594</v>
      </c>
      <c r="AS17" s="105">
        <v>510</v>
      </c>
      <c r="AT17" s="105"/>
      <c r="AU17" s="105">
        <f t="shared" si="14"/>
        <v>91.8</v>
      </c>
      <c r="AV17" s="129"/>
      <c r="AW17" s="146">
        <v>29220</v>
      </c>
      <c r="AX17" s="31">
        <f t="shared" si="15"/>
        <v>38617.152</v>
      </c>
      <c r="AY17" s="136"/>
      <c r="AZ17" s="130"/>
      <c r="BA17" s="132">
        <f aca="true" t="shared" si="18" ref="BA17:BA25">AZ17*0.18</f>
        <v>0</v>
      </c>
      <c r="BB17" s="19">
        <f>SUM(AG17:BA17)-AV17-AW17+AX14+AX15+AX16</f>
        <v>194541.35439546802</v>
      </c>
      <c r="BC17" s="140"/>
      <c r="BD17" s="19">
        <f>AC17+AF17-BB17-BC17</f>
        <v>-176275.46627046802</v>
      </c>
      <c r="BE17" s="21">
        <f t="shared" si="16"/>
        <v>-3829.8099999999995</v>
      </c>
    </row>
    <row r="18" spans="1:57" ht="12.75">
      <c r="A18" s="13" t="s">
        <v>49</v>
      </c>
      <c r="B18" s="141">
        <v>715.3</v>
      </c>
      <c r="C18" s="117">
        <f t="shared" si="2"/>
        <v>6187.345</v>
      </c>
      <c r="D18" s="133">
        <f>C18-E18-F18-G18-H18-I18-J18-K18-L18-M18-N18+3083.14</f>
        <v>4298.965000000001</v>
      </c>
      <c r="E18" s="102">
        <v>563.3</v>
      </c>
      <c r="F18" s="102">
        <v>89.99</v>
      </c>
      <c r="G18" s="102">
        <v>763.06</v>
      </c>
      <c r="H18" s="102">
        <v>121.99</v>
      </c>
      <c r="I18" s="102">
        <v>1483.17</v>
      </c>
      <c r="J18" s="102">
        <v>237.01</v>
      </c>
      <c r="K18" s="103">
        <v>1026.34</v>
      </c>
      <c r="L18" s="103">
        <v>164.01</v>
      </c>
      <c r="M18" s="150">
        <v>450.64</v>
      </c>
      <c r="N18" s="151">
        <v>72.01</v>
      </c>
      <c r="O18" s="102">
        <v>4904.89</v>
      </c>
      <c r="P18" s="125">
        <v>354.03</v>
      </c>
      <c r="Q18" s="125">
        <v>0</v>
      </c>
      <c r="R18" s="125">
        <v>0</v>
      </c>
      <c r="S18" s="101">
        <f t="shared" si="3"/>
        <v>9191.400000000001</v>
      </c>
      <c r="T18" s="119">
        <f t="shared" si="4"/>
        <v>1039.04</v>
      </c>
      <c r="U18" s="102">
        <v>319.52</v>
      </c>
      <c r="V18" s="102">
        <v>431.36</v>
      </c>
      <c r="W18" s="102">
        <v>684.54</v>
      </c>
      <c r="X18" s="102">
        <v>472.25</v>
      </c>
      <c r="Y18" s="149">
        <v>255.62</v>
      </c>
      <c r="Z18" s="102">
        <v>6469.51</v>
      </c>
      <c r="AA18" s="125">
        <v>0</v>
      </c>
      <c r="AB18" s="121">
        <f t="shared" si="5"/>
        <v>8632.8</v>
      </c>
      <c r="AC18" s="122">
        <f t="shared" si="6"/>
        <v>13970.805</v>
      </c>
      <c r="AD18" s="123">
        <f t="shared" si="7"/>
        <v>6823.54</v>
      </c>
      <c r="AE18" s="123">
        <f t="shared" si="8"/>
        <v>0</v>
      </c>
      <c r="AF18" s="123"/>
      <c r="AG18" s="31">
        <f aca="true" t="shared" si="19" ref="AG18:AG25">0.6*B18</f>
        <v>429.17999999999995</v>
      </c>
      <c r="AH18" s="31">
        <f>B18*0.2*1.01</f>
        <v>144.4906</v>
      </c>
      <c r="AI18" s="31">
        <f>0.85*B18</f>
        <v>608.005</v>
      </c>
      <c r="AJ18" s="31">
        <f t="shared" si="9"/>
        <v>109.4409</v>
      </c>
      <c r="AK18" s="31">
        <f>0.83*B18</f>
        <v>593.699</v>
      </c>
      <c r="AL18" s="31">
        <f t="shared" si="10"/>
        <v>106.86581999999999</v>
      </c>
      <c r="AM18" s="31">
        <f>(1.91)*B18</f>
        <v>1366.223</v>
      </c>
      <c r="AN18" s="31">
        <f t="shared" si="11"/>
        <v>245.92013999999998</v>
      </c>
      <c r="AO18" s="31"/>
      <c r="AP18" s="31">
        <f t="shared" si="12"/>
        <v>0</v>
      </c>
      <c r="AQ18" s="128"/>
      <c r="AR18" s="128">
        <f t="shared" si="13"/>
        <v>0</v>
      </c>
      <c r="AS18" s="142"/>
      <c r="AT18" s="142"/>
      <c r="AU18" s="105">
        <f t="shared" si="14"/>
        <v>0</v>
      </c>
      <c r="AV18" s="129"/>
      <c r="AW18" s="146">
        <v>7080</v>
      </c>
      <c r="AX18" s="31">
        <f t="shared" si="15"/>
        <v>9356.928</v>
      </c>
      <c r="AY18" s="130"/>
      <c r="AZ18" s="132"/>
      <c r="BA18" s="132">
        <f t="shared" si="18"/>
        <v>0</v>
      </c>
      <c r="BB18" s="132">
        <f>SUM(AG18:BA18)-AV18-AW18</f>
        <v>12960.75246</v>
      </c>
      <c r="BC18" s="140"/>
      <c r="BD18" s="19">
        <f t="shared" si="17"/>
        <v>1010.0525400000006</v>
      </c>
      <c r="BE18" s="21">
        <f t="shared" si="16"/>
        <v>-558.6000000000022</v>
      </c>
    </row>
    <row r="19" spans="1:57" ht="12.75">
      <c r="A19" s="13" t="s">
        <v>50</v>
      </c>
      <c r="B19" s="141">
        <v>715.3</v>
      </c>
      <c r="C19" s="117">
        <f t="shared" si="2"/>
        <v>6187.345</v>
      </c>
      <c r="D19" s="133">
        <f>C19-E19-F19-G19-H19-I19-J19-K19-L19-M19-N19+12716.15</f>
        <v>14323.495</v>
      </c>
      <c r="E19" s="102">
        <v>536.51</v>
      </c>
      <c r="F19" s="102">
        <v>89.99</v>
      </c>
      <c r="G19" s="102">
        <v>726.65</v>
      </c>
      <c r="H19" s="102">
        <v>121.99</v>
      </c>
      <c r="I19" s="102">
        <v>1301.78</v>
      </c>
      <c r="J19" s="102">
        <v>237.01</v>
      </c>
      <c r="K19" s="103">
        <v>900.85</v>
      </c>
      <c r="L19" s="103">
        <v>164.01</v>
      </c>
      <c r="M19" s="150">
        <v>429.2</v>
      </c>
      <c r="N19" s="151">
        <v>72.01</v>
      </c>
      <c r="O19" s="102">
        <v>10510.82</v>
      </c>
      <c r="P19" s="125">
        <v>1222.07</v>
      </c>
      <c r="Q19" s="125">
        <v>0</v>
      </c>
      <c r="R19" s="125">
        <v>0</v>
      </c>
      <c r="S19" s="101">
        <f t="shared" si="3"/>
        <v>14405.81</v>
      </c>
      <c r="T19" s="119">
        <f t="shared" si="4"/>
        <v>1907.08</v>
      </c>
      <c r="U19" s="102">
        <v>555.01</v>
      </c>
      <c r="V19" s="102">
        <v>750.67</v>
      </c>
      <c r="W19" s="102">
        <v>1360.99</v>
      </c>
      <c r="X19" s="102">
        <v>940.79</v>
      </c>
      <c r="Y19" s="149">
        <v>443.99</v>
      </c>
      <c r="Z19" s="102">
        <v>4036.49</v>
      </c>
      <c r="AA19" s="125">
        <v>0</v>
      </c>
      <c r="AB19" s="121">
        <f t="shared" si="5"/>
        <v>8087.94</v>
      </c>
      <c r="AC19" s="122">
        <f t="shared" si="6"/>
        <v>24318.515</v>
      </c>
      <c r="AD19" s="123">
        <f t="shared" si="7"/>
        <v>5258.5599999999995</v>
      </c>
      <c r="AE19" s="123">
        <f t="shared" si="8"/>
        <v>0</v>
      </c>
      <c r="AF19" s="123"/>
      <c r="AG19" s="31">
        <f t="shared" si="19"/>
        <v>429.17999999999995</v>
      </c>
      <c r="AH19" s="31">
        <f>B19*0.2*1.01045</f>
        <v>144.554977</v>
      </c>
      <c r="AI19" s="31">
        <f>0.85*B19</f>
        <v>608.005</v>
      </c>
      <c r="AJ19" s="31">
        <f t="shared" si="9"/>
        <v>109.4409</v>
      </c>
      <c r="AK19" s="31">
        <f>0.83*B19</f>
        <v>593.699</v>
      </c>
      <c r="AL19" s="31">
        <f t="shared" si="10"/>
        <v>106.86581999999999</v>
      </c>
      <c r="AM19" s="31">
        <f>(1.91)*B19</f>
        <v>1366.223</v>
      </c>
      <c r="AN19" s="31">
        <f t="shared" si="11"/>
        <v>245.92013999999998</v>
      </c>
      <c r="AO19" s="31"/>
      <c r="AP19" s="31">
        <f t="shared" si="12"/>
        <v>0</v>
      </c>
      <c r="AQ19" s="128"/>
      <c r="AR19" s="128">
        <f t="shared" si="13"/>
        <v>0</v>
      </c>
      <c r="AS19" s="142"/>
      <c r="AT19" s="142"/>
      <c r="AU19" s="105">
        <f t="shared" si="14"/>
        <v>0</v>
      </c>
      <c r="AV19" s="129"/>
      <c r="AW19" s="146">
        <v>0</v>
      </c>
      <c r="AX19" s="31">
        <f t="shared" si="15"/>
        <v>0</v>
      </c>
      <c r="AY19" s="130"/>
      <c r="AZ19" s="132"/>
      <c r="BA19" s="132">
        <f t="shared" si="18"/>
        <v>0</v>
      </c>
      <c r="BB19" s="132">
        <f>SUM(AG19:BA19)-AV19-AW19</f>
        <v>3603.888837</v>
      </c>
      <c r="BC19" s="140"/>
      <c r="BD19" s="19">
        <f t="shared" si="17"/>
        <v>20714.626163</v>
      </c>
      <c r="BE19" s="21">
        <f t="shared" si="16"/>
        <v>-6317.87</v>
      </c>
    </row>
    <row r="20" spans="1:57" ht="12.75">
      <c r="A20" s="13" t="s">
        <v>51</v>
      </c>
      <c r="B20" s="120">
        <v>715.3</v>
      </c>
      <c r="C20" s="117">
        <f t="shared" si="2"/>
        <v>6187.345</v>
      </c>
      <c r="D20" s="133">
        <f>C20-E20-F20-G20-H20-I20-J20-K20-L20-M20-N20+5344.44</f>
        <v>6545.035</v>
      </c>
      <c r="E20" s="102">
        <v>574.33</v>
      </c>
      <c r="F20" s="102">
        <v>81.03</v>
      </c>
      <c r="G20" s="102">
        <v>777.91</v>
      </c>
      <c r="H20" s="102">
        <v>109.85</v>
      </c>
      <c r="I20" s="102">
        <v>1511.96</v>
      </c>
      <c r="J20" s="102">
        <v>213.43</v>
      </c>
      <c r="K20" s="103">
        <v>1046.26</v>
      </c>
      <c r="L20" s="103">
        <v>147.69</v>
      </c>
      <c r="M20" s="150">
        <v>459.44</v>
      </c>
      <c r="N20" s="151">
        <v>64.85</v>
      </c>
      <c r="O20" s="102">
        <v>10415.91</v>
      </c>
      <c r="P20" s="125">
        <v>1068.54</v>
      </c>
      <c r="Q20" s="125">
        <v>0</v>
      </c>
      <c r="R20" s="125">
        <v>0</v>
      </c>
      <c r="S20" s="101">
        <f t="shared" si="3"/>
        <v>14785.81</v>
      </c>
      <c r="T20" s="119">
        <f t="shared" si="4"/>
        <v>1685.3899999999999</v>
      </c>
      <c r="U20" s="102">
        <v>410.48</v>
      </c>
      <c r="V20" s="102">
        <v>555.76</v>
      </c>
      <c r="W20" s="102">
        <v>1050.97</v>
      </c>
      <c r="X20" s="102">
        <v>727.02</v>
      </c>
      <c r="Y20" s="149">
        <v>328.36</v>
      </c>
      <c r="Z20" s="102">
        <v>6526.93</v>
      </c>
      <c r="AA20" s="125">
        <v>0</v>
      </c>
      <c r="AB20" s="121">
        <f t="shared" si="5"/>
        <v>9599.52</v>
      </c>
      <c r="AC20" s="122">
        <f t="shared" si="6"/>
        <v>17829.945</v>
      </c>
      <c r="AD20" s="123">
        <f t="shared" si="7"/>
        <v>7595.47</v>
      </c>
      <c r="AE20" s="123">
        <f t="shared" si="8"/>
        <v>0</v>
      </c>
      <c r="AF20" s="123"/>
      <c r="AG20" s="31">
        <f t="shared" si="19"/>
        <v>429.17999999999995</v>
      </c>
      <c r="AH20" s="31">
        <f>B20*0.2*0.99426</f>
        <v>142.23883560000002</v>
      </c>
      <c r="AI20" s="31">
        <f>0.85*B20*0.9857</f>
        <v>599.3105285</v>
      </c>
      <c r="AJ20" s="31">
        <f t="shared" si="9"/>
        <v>107.87589513</v>
      </c>
      <c r="AK20" s="31">
        <f>0.83*B20*0.9905</f>
        <v>588.0588595</v>
      </c>
      <c r="AL20" s="31">
        <f t="shared" si="10"/>
        <v>105.85059471000001</v>
      </c>
      <c r="AM20" s="31">
        <f>(1.91)*B20*0.9905</f>
        <v>1353.2438815</v>
      </c>
      <c r="AN20" s="31">
        <f t="shared" si="11"/>
        <v>243.58389867</v>
      </c>
      <c r="AO20" s="31"/>
      <c r="AP20" s="31">
        <f t="shared" si="12"/>
        <v>0</v>
      </c>
      <c r="AQ20" s="128"/>
      <c r="AR20" s="128">
        <f t="shared" si="13"/>
        <v>0</v>
      </c>
      <c r="AS20" s="142"/>
      <c r="AT20" s="105"/>
      <c r="AU20" s="105">
        <f t="shared" si="14"/>
        <v>0</v>
      </c>
      <c r="AV20" s="129"/>
      <c r="AW20" s="146">
        <v>0</v>
      </c>
      <c r="AX20" s="31">
        <f t="shared" si="15"/>
        <v>0</v>
      </c>
      <c r="AY20" s="130"/>
      <c r="AZ20" s="132"/>
      <c r="BA20" s="132">
        <f t="shared" si="18"/>
        <v>0</v>
      </c>
      <c r="BB20" s="132">
        <f>SUM(AG20:BA20)-AV20-AW20</f>
        <v>3569.34249361</v>
      </c>
      <c r="BC20" s="140"/>
      <c r="BD20" s="19">
        <f t="shared" si="17"/>
        <v>14260.60250639</v>
      </c>
      <c r="BE20" s="21">
        <f t="shared" si="16"/>
        <v>-5186.289999999999</v>
      </c>
    </row>
    <row r="21" spans="1:57" ht="12.75">
      <c r="A21" s="13" t="s">
        <v>52</v>
      </c>
      <c r="B21" s="120">
        <v>715.3</v>
      </c>
      <c r="C21" s="117">
        <f t="shared" si="2"/>
        <v>6187.345</v>
      </c>
      <c r="D21" s="133">
        <f>C21-E21-F21-G21-H21-I21-J21-K21-L21-M21-N21+3452.75</f>
        <v>4653.345</v>
      </c>
      <c r="E21" s="102">
        <v>574.33</v>
      </c>
      <c r="F21" s="102">
        <v>81.03</v>
      </c>
      <c r="G21" s="102">
        <v>777.91</v>
      </c>
      <c r="H21" s="102">
        <v>109.85</v>
      </c>
      <c r="I21" s="102">
        <v>1511.96</v>
      </c>
      <c r="J21" s="102">
        <v>213.43</v>
      </c>
      <c r="K21" s="103">
        <v>1046.26</v>
      </c>
      <c r="L21" s="103">
        <v>147.69</v>
      </c>
      <c r="M21" s="150">
        <v>459.44</v>
      </c>
      <c r="N21" s="151">
        <v>64.85</v>
      </c>
      <c r="O21" s="102">
        <v>10415.91</v>
      </c>
      <c r="P21" s="125">
        <v>1068.54</v>
      </c>
      <c r="Q21" s="102">
        <v>0</v>
      </c>
      <c r="R21" s="102">
        <v>0</v>
      </c>
      <c r="S21" s="101">
        <f t="shared" si="3"/>
        <v>14785.81</v>
      </c>
      <c r="T21" s="119">
        <f t="shared" si="4"/>
        <v>1685.3899999999999</v>
      </c>
      <c r="U21" s="102">
        <v>413.65</v>
      </c>
      <c r="V21" s="102">
        <v>560.26</v>
      </c>
      <c r="W21" s="102">
        <v>1082.83</v>
      </c>
      <c r="X21" s="102">
        <v>749.3</v>
      </c>
      <c r="Y21" s="149">
        <v>330.92</v>
      </c>
      <c r="Z21" s="102">
        <v>6523.01</v>
      </c>
      <c r="AA21" s="125">
        <v>0</v>
      </c>
      <c r="AB21" s="121">
        <f t="shared" si="5"/>
        <v>9659.970000000001</v>
      </c>
      <c r="AC21" s="122">
        <f t="shared" si="6"/>
        <v>15998.705000000002</v>
      </c>
      <c r="AD21" s="123">
        <f t="shared" si="7"/>
        <v>7591.55</v>
      </c>
      <c r="AE21" s="123">
        <f t="shared" si="8"/>
        <v>0</v>
      </c>
      <c r="AF21" s="123"/>
      <c r="AG21" s="31">
        <f t="shared" si="19"/>
        <v>429.17999999999995</v>
      </c>
      <c r="AH21" s="31">
        <f>B21*0.2*0.99875</f>
        <v>142.881175</v>
      </c>
      <c r="AI21" s="31">
        <f>0.85*B21*0.98526</f>
        <v>599.0430063</v>
      </c>
      <c r="AJ21" s="31">
        <f t="shared" si="9"/>
        <v>107.827741134</v>
      </c>
      <c r="AK21" s="31">
        <f>0.83*B21*0.99</f>
        <v>587.7620099999999</v>
      </c>
      <c r="AL21" s="31">
        <f t="shared" si="10"/>
        <v>105.79716179999998</v>
      </c>
      <c r="AM21" s="31">
        <f>(1.91)*B21*0.99</f>
        <v>1352.56077</v>
      </c>
      <c r="AN21" s="31">
        <f t="shared" si="11"/>
        <v>243.4609386</v>
      </c>
      <c r="AO21" s="31"/>
      <c r="AP21" s="31">
        <f t="shared" si="12"/>
        <v>0</v>
      </c>
      <c r="AQ21" s="128">
        <v>6384</v>
      </c>
      <c r="AR21" s="128">
        <f t="shared" si="13"/>
        <v>1149.12</v>
      </c>
      <c r="AS21" s="144">
        <f>23491.76</f>
        <v>23491.76</v>
      </c>
      <c r="AT21" s="105">
        <f>13000+937.5+1132+46</f>
        <v>15115.5</v>
      </c>
      <c r="AU21" s="105">
        <f t="shared" si="14"/>
        <v>6949.3067999999985</v>
      </c>
      <c r="AV21" s="129"/>
      <c r="AW21" s="146">
        <v>0</v>
      </c>
      <c r="AX21" s="31">
        <f t="shared" si="15"/>
        <v>0</v>
      </c>
      <c r="AY21" s="130"/>
      <c r="AZ21" s="132"/>
      <c r="BA21" s="132">
        <f t="shared" si="18"/>
        <v>0</v>
      </c>
      <c r="BB21" s="132">
        <f>SUM(AG21:BA21)-AV21-AW21</f>
        <v>56658.199602834</v>
      </c>
      <c r="BC21" s="140"/>
      <c r="BD21" s="19">
        <f t="shared" si="17"/>
        <v>-40659.494602834</v>
      </c>
      <c r="BE21" s="21">
        <f t="shared" si="16"/>
        <v>-5125.839999999998</v>
      </c>
    </row>
    <row r="22" spans="1:57" ht="12.75">
      <c r="A22" s="13" t="s">
        <v>53</v>
      </c>
      <c r="B22" s="100">
        <v>715.3</v>
      </c>
      <c r="C22" s="117">
        <f t="shared" si="2"/>
        <v>6187.345</v>
      </c>
      <c r="D22" s="133">
        <f>C22-E22-F22-G22-H22-I22-J22-K22-L22-M22-N22+8717.8</f>
        <v>9918.395</v>
      </c>
      <c r="E22" s="101">
        <v>574.33</v>
      </c>
      <c r="F22" s="101">
        <v>81.03</v>
      </c>
      <c r="G22" s="101">
        <v>777.91</v>
      </c>
      <c r="H22" s="101">
        <v>109.85</v>
      </c>
      <c r="I22" s="101">
        <v>1511.96</v>
      </c>
      <c r="J22" s="101">
        <v>213.43</v>
      </c>
      <c r="K22" s="99">
        <v>1046.26</v>
      </c>
      <c r="L22" s="99">
        <v>147.69</v>
      </c>
      <c r="M22" s="147">
        <v>459.44</v>
      </c>
      <c r="N22" s="148">
        <v>64.85</v>
      </c>
      <c r="O22" s="101">
        <v>10415.91</v>
      </c>
      <c r="P22" s="107">
        <v>1068.54</v>
      </c>
      <c r="Q22" s="107">
        <v>0</v>
      </c>
      <c r="R22" s="107">
        <v>0</v>
      </c>
      <c r="S22" s="101">
        <f t="shared" si="3"/>
        <v>14785.81</v>
      </c>
      <c r="T22" s="119">
        <f t="shared" si="4"/>
        <v>1685.3899999999999</v>
      </c>
      <c r="U22" s="101">
        <v>573.33</v>
      </c>
      <c r="V22" s="101">
        <v>776.37</v>
      </c>
      <c r="W22" s="101">
        <v>1474.57</v>
      </c>
      <c r="X22" s="101">
        <v>1020.02</v>
      </c>
      <c r="Y22" s="4">
        <v>458.65</v>
      </c>
      <c r="Z22" s="101">
        <v>9786.6</v>
      </c>
      <c r="AA22" s="107">
        <v>0</v>
      </c>
      <c r="AB22" s="121">
        <f t="shared" si="5"/>
        <v>14089.54</v>
      </c>
      <c r="AC22" s="122">
        <f t="shared" si="6"/>
        <v>25693.325</v>
      </c>
      <c r="AD22" s="123">
        <f t="shared" si="7"/>
        <v>10855.14</v>
      </c>
      <c r="AE22" s="123">
        <f t="shared" si="8"/>
        <v>0</v>
      </c>
      <c r="AF22" s="123"/>
      <c r="AG22" s="31">
        <f t="shared" si="19"/>
        <v>429.17999999999995</v>
      </c>
      <c r="AH22" s="31">
        <f>B22*0.2*0.9997</f>
        <v>143.01708200000002</v>
      </c>
      <c r="AI22" s="31">
        <f>0.85*B22*0.98509</f>
        <v>598.9396454500001</v>
      </c>
      <c r="AJ22" s="31">
        <f t="shared" si="9"/>
        <v>107.809136181</v>
      </c>
      <c r="AK22" s="31">
        <f>0.83*B22*0.98981</f>
        <v>587.64920719</v>
      </c>
      <c r="AL22" s="31">
        <f t="shared" si="10"/>
        <v>105.77685729419998</v>
      </c>
      <c r="AM22" s="31">
        <f>(1.91)*B22*0.9898</f>
        <v>1352.2875254</v>
      </c>
      <c r="AN22" s="31">
        <f t="shared" si="11"/>
        <v>243.411754572</v>
      </c>
      <c r="AO22" s="31"/>
      <c r="AP22" s="31">
        <f t="shared" si="12"/>
        <v>0</v>
      </c>
      <c r="AQ22" s="128"/>
      <c r="AR22" s="128">
        <f t="shared" si="13"/>
        <v>0</v>
      </c>
      <c r="AS22" s="144"/>
      <c r="AT22" s="105"/>
      <c r="AU22" s="105">
        <f t="shared" si="14"/>
        <v>0</v>
      </c>
      <c r="AV22" s="129"/>
      <c r="AW22" s="146">
        <v>0</v>
      </c>
      <c r="AX22" s="31">
        <f t="shared" si="15"/>
        <v>0</v>
      </c>
      <c r="AY22" s="130"/>
      <c r="AZ22" s="132"/>
      <c r="BA22" s="132">
        <f t="shared" si="18"/>
        <v>0</v>
      </c>
      <c r="BB22" s="132">
        <f>SUM(AG22:BA22)-AV22-AW22</f>
        <v>3568.0712080872</v>
      </c>
      <c r="BC22" s="140"/>
      <c r="BD22" s="19">
        <f t="shared" si="17"/>
        <v>22125.2537919128</v>
      </c>
      <c r="BE22" s="21">
        <f t="shared" si="16"/>
        <v>-696.2699999999986</v>
      </c>
    </row>
    <row r="23" spans="1:57" ht="12.75">
      <c r="A23" s="32" t="s">
        <v>41</v>
      </c>
      <c r="B23" s="100">
        <v>715.3</v>
      </c>
      <c r="C23" s="134">
        <f t="shared" si="2"/>
        <v>6187.345</v>
      </c>
      <c r="D23" s="133">
        <f>C23-E23-F23-G23-H23-I23-J23-K23-L23-M23-N23+6201.02</f>
        <v>9992.375</v>
      </c>
      <c r="E23" s="106">
        <v>565.37</v>
      </c>
      <c r="F23" s="101">
        <v>89.99</v>
      </c>
      <c r="G23" s="101">
        <f>765.77-1371.23</f>
        <v>-605.46</v>
      </c>
      <c r="H23" s="101">
        <v>-1097.54</v>
      </c>
      <c r="I23" s="101">
        <v>1488.38</v>
      </c>
      <c r="J23" s="101">
        <v>237.01</v>
      </c>
      <c r="K23" s="101">
        <v>1029.94</v>
      </c>
      <c r="L23" s="101">
        <v>164.01</v>
      </c>
      <c r="M23" s="147">
        <v>452.28</v>
      </c>
      <c r="N23" s="148">
        <v>72.01</v>
      </c>
      <c r="O23" s="101">
        <v>19183.32</v>
      </c>
      <c r="P23" s="107">
        <v>2358.19</v>
      </c>
      <c r="Q23" s="101">
        <v>0</v>
      </c>
      <c r="R23" s="101">
        <v>0</v>
      </c>
      <c r="S23" s="101">
        <f t="shared" si="3"/>
        <v>22113.83</v>
      </c>
      <c r="T23" s="119">
        <f t="shared" si="4"/>
        <v>1823.6700000000003</v>
      </c>
      <c r="U23" s="108">
        <f>532.56+159.32</f>
        <v>691.8799999999999</v>
      </c>
      <c r="V23" s="101">
        <f>663.11+215.82</f>
        <v>878.9300000000001</v>
      </c>
      <c r="W23" s="101">
        <f>1398.67+406.25</f>
        <v>1804.92</v>
      </c>
      <c r="X23" s="101">
        <f>967.86+280.98</f>
        <v>1248.8400000000001</v>
      </c>
      <c r="Y23" s="4">
        <f>425.99+127.43</f>
        <v>553.4200000000001</v>
      </c>
      <c r="Z23" s="101">
        <v>13330.33</v>
      </c>
      <c r="AA23" s="107">
        <v>0</v>
      </c>
      <c r="AB23" s="107">
        <f>SUM(U23:AA23)</f>
        <v>18508.32</v>
      </c>
      <c r="AC23" s="122">
        <f>AB23+T23+D23</f>
        <v>30324.365</v>
      </c>
      <c r="AD23" s="123">
        <f t="shared" si="7"/>
        <v>15688.52</v>
      </c>
      <c r="AE23" s="123">
        <f t="shared" si="8"/>
        <v>0</v>
      </c>
      <c r="AF23" s="123"/>
      <c r="AG23" s="31">
        <f t="shared" si="19"/>
        <v>429.17999999999995</v>
      </c>
      <c r="AH23" s="31">
        <f>B23*0.2</f>
        <v>143.06</v>
      </c>
      <c r="AI23" s="31">
        <f>0.847*B23</f>
        <v>605.8590999999999</v>
      </c>
      <c r="AJ23" s="31">
        <f t="shared" si="9"/>
        <v>109.05463799999998</v>
      </c>
      <c r="AK23" s="31">
        <f>(0.83*B23)</f>
        <v>593.699</v>
      </c>
      <c r="AL23" s="31">
        <f t="shared" si="10"/>
        <v>106.86581999999999</v>
      </c>
      <c r="AM23" s="31">
        <f>(2.25/1.18)*B23</f>
        <v>1363.9194915254236</v>
      </c>
      <c r="AN23" s="31">
        <f t="shared" si="11"/>
        <v>245.50550847457623</v>
      </c>
      <c r="AO23" s="31"/>
      <c r="AP23" s="31">
        <f t="shared" si="12"/>
        <v>0</v>
      </c>
      <c r="AQ23" s="128"/>
      <c r="AR23" s="128">
        <f t="shared" si="13"/>
        <v>0</v>
      </c>
      <c r="AS23" s="105">
        <v>0</v>
      </c>
      <c r="AT23" s="142">
        <f>600+90.8+15.6+10.4</f>
        <v>716.8</v>
      </c>
      <c r="AU23" s="105">
        <f t="shared" si="14"/>
        <v>129.024</v>
      </c>
      <c r="AV23" s="129"/>
      <c r="AW23" s="143">
        <v>16320</v>
      </c>
      <c r="AX23" s="31">
        <f t="shared" si="15"/>
        <v>21568.512</v>
      </c>
      <c r="AY23" s="130"/>
      <c r="AZ23" s="131"/>
      <c r="BA23" s="132">
        <f t="shared" si="18"/>
        <v>0</v>
      </c>
      <c r="BB23" s="132">
        <f>SUM(AG23:AU23)+AX23+AY23+AZ23+BA23</f>
        <v>26011.479558</v>
      </c>
      <c r="BC23" s="140"/>
      <c r="BD23" s="19">
        <f>AC23+AF23-BB23-BC23</f>
        <v>4312.8854420000025</v>
      </c>
      <c r="BE23" s="21">
        <f t="shared" si="16"/>
        <v>-3605.510000000002</v>
      </c>
    </row>
    <row r="24" spans="1:57" ht="12.75">
      <c r="A24" s="13" t="s">
        <v>42</v>
      </c>
      <c r="B24" s="120">
        <v>715.3</v>
      </c>
      <c r="C24" s="134">
        <f t="shared" si="2"/>
        <v>6187.345</v>
      </c>
      <c r="D24" s="133">
        <f>C24-E24-F24-G24-H24-I24-J24-K24-L24-M24-N24+7945.8</f>
        <v>9146.395</v>
      </c>
      <c r="E24" s="101">
        <v>565.37</v>
      </c>
      <c r="F24" s="101">
        <v>89.99</v>
      </c>
      <c r="G24" s="101">
        <v>765.77</v>
      </c>
      <c r="H24" s="101">
        <v>121.99</v>
      </c>
      <c r="I24" s="101">
        <v>1488.38</v>
      </c>
      <c r="J24" s="101">
        <v>237.01</v>
      </c>
      <c r="K24" s="99">
        <v>1029.94</v>
      </c>
      <c r="L24" s="99">
        <v>164.01</v>
      </c>
      <c r="M24" s="147">
        <v>452.28</v>
      </c>
      <c r="N24" s="148">
        <v>72.01</v>
      </c>
      <c r="O24" s="101">
        <v>29823.67</v>
      </c>
      <c r="P24" s="107">
        <v>3718.54</v>
      </c>
      <c r="Q24" s="107">
        <v>0</v>
      </c>
      <c r="R24" s="107">
        <v>0</v>
      </c>
      <c r="S24" s="101">
        <f t="shared" si="3"/>
        <v>34125.409999999996</v>
      </c>
      <c r="T24" s="119">
        <f t="shared" si="4"/>
        <v>4403.55</v>
      </c>
      <c r="U24" s="101">
        <v>536.33</v>
      </c>
      <c r="V24" s="101">
        <v>192.16</v>
      </c>
      <c r="W24" s="101">
        <v>1403.52</v>
      </c>
      <c r="X24" s="101">
        <v>971.23</v>
      </c>
      <c r="Y24" s="4">
        <v>429.07</v>
      </c>
      <c r="Z24" s="101">
        <f>29823.67+3718.54</f>
        <v>33542.21</v>
      </c>
      <c r="AA24" s="107">
        <v>0</v>
      </c>
      <c r="AB24" s="107">
        <f>SUM(U24:AA24)</f>
        <v>37074.52</v>
      </c>
      <c r="AC24" s="122">
        <f>D24+T24+AB24</f>
        <v>50624.465</v>
      </c>
      <c r="AD24" s="123">
        <f t="shared" si="7"/>
        <v>37260.75</v>
      </c>
      <c r="AE24" s="123">
        <f t="shared" si="8"/>
        <v>0</v>
      </c>
      <c r="AF24" s="123"/>
      <c r="AG24" s="31">
        <f t="shared" si="19"/>
        <v>429.17999999999995</v>
      </c>
      <c r="AH24" s="31">
        <f>B24*0.2</f>
        <v>143.06</v>
      </c>
      <c r="AI24" s="31">
        <f>0.85*B24</f>
        <v>608.005</v>
      </c>
      <c r="AJ24" s="31">
        <f t="shared" si="9"/>
        <v>109.4409</v>
      </c>
      <c r="AK24" s="31">
        <f>(0.83*B24)</f>
        <v>593.699</v>
      </c>
      <c r="AL24" s="31">
        <f t="shared" si="10"/>
        <v>106.86581999999999</v>
      </c>
      <c r="AM24" s="31">
        <f>(1.91)*B24</f>
        <v>1366.223</v>
      </c>
      <c r="AN24" s="31">
        <f t="shared" si="11"/>
        <v>245.92013999999998</v>
      </c>
      <c r="AO24" s="31"/>
      <c r="AP24" s="31">
        <f t="shared" si="12"/>
        <v>0</v>
      </c>
      <c r="AQ24" s="128"/>
      <c r="AR24" s="128">
        <f t="shared" si="13"/>
        <v>0</v>
      </c>
      <c r="AS24" s="105">
        <v>0</v>
      </c>
      <c r="AT24" s="142"/>
      <c r="AU24" s="105">
        <f t="shared" si="14"/>
        <v>0</v>
      </c>
      <c r="AV24" s="129"/>
      <c r="AW24" s="143">
        <v>25380</v>
      </c>
      <c r="AX24" s="31">
        <f t="shared" si="15"/>
        <v>33542.208</v>
      </c>
      <c r="AY24" s="130"/>
      <c r="AZ24" s="132"/>
      <c r="BA24" s="132">
        <f t="shared" si="18"/>
        <v>0</v>
      </c>
      <c r="BB24" s="132">
        <f>SUM(AG24:AU24)+AX24+AY24+AZ24+BA24</f>
        <v>37144.601859999995</v>
      </c>
      <c r="BC24" s="139"/>
      <c r="BD24" s="19">
        <f>AC24+AF24-BB24-BC24</f>
        <v>13479.863140000001</v>
      </c>
      <c r="BE24" s="21">
        <f t="shared" si="16"/>
        <v>2949.1100000000006</v>
      </c>
    </row>
    <row r="25" spans="1:57" ht="12.75">
      <c r="A25" s="13" t="s">
        <v>43</v>
      </c>
      <c r="B25" s="100">
        <v>715.3</v>
      </c>
      <c r="C25" s="134">
        <f t="shared" si="2"/>
        <v>6187.345</v>
      </c>
      <c r="D25" s="133">
        <f>C25-E25-F25-G25-H25-I25-J25-K25-L25-M25-N25+5031.82</f>
        <v>6232.415</v>
      </c>
      <c r="E25" s="101">
        <v>565.37</v>
      </c>
      <c r="F25" s="101">
        <v>89.99</v>
      </c>
      <c r="G25" s="101">
        <v>765.77</v>
      </c>
      <c r="H25" s="101">
        <v>121.99</v>
      </c>
      <c r="I25" s="101">
        <v>1488.38</v>
      </c>
      <c r="J25" s="101">
        <v>237.01</v>
      </c>
      <c r="K25" s="99">
        <v>1029.94</v>
      </c>
      <c r="L25" s="99">
        <v>164.01</v>
      </c>
      <c r="M25" s="147">
        <v>452.28</v>
      </c>
      <c r="N25" s="148">
        <v>72.01</v>
      </c>
      <c r="O25" s="101">
        <v>31944.91</v>
      </c>
      <c r="P25" s="107">
        <v>3976.18</v>
      </c>
      <c r="Q25" s="107"/>
      <c r="R25" s="107"/>
      <c r="S25" s="101">
        <f t="shared" si="3"/>
        <v>36246.65</v>
      </c>
      <c r="T25" s="119">
        <f t="shared" si="4"/>
        <v>4661.19</v>
      </c>
      <c r="U25" s="101">
        <v>700.94</v>
      </c>
      <c r="V25" s="101">
        <v>535.24</v>
      </c>
      <c r="W25" s="101">
        <v>1824.97</v>
      </c>
      <c r="X25" s="101">
        <v>1262.6</v>
      </c>
      <c r="Y25" s="4">
        <v>560.75</v>
      </c>
      <c r="Z25" s="101">
        <v>24404.86</v>
      </c>
      <c r="AA25" s="107">
        <v>0</v>
      </c>
      <c r="AB25" s="107">
        <f>SUM(U25:AA25)</f>
        <v>29289.36</v>
      </c>
      <c r="AC25" s="122">
        <f>D25+T25+AB25</f>
        <v>40182.965</v>
      </c>
      <c r="AD25" s="123">
        <f t="shared" si="7"/>
        <v>28381.04</v>
      </c>
      <c r="AE25" s="123">
        <f t="shared" si="8"/>
        <v>0</v>
      </c>
      <c r="AF25" s="123"/>
      <c r="AG25" s="31">
        <f t="shared" si="19"/>
        <v>429.17999999999995</v>
      </c>
      <c r="AH25" s="31">
        <f>B25*0.2</f>
        <v>143.06</v>
      </c>
      <c r="AI25" s="31">
        <f>0.85*B25</f>
        <v>608.005</v>
      </c>
      <c r="AJ25" s="31">
        <f t="shared" si="9"/>
        <v>109.4409</v>
      </c>
      <c r="AK25" s="31">
        <f>(0.83*B25)</f>
        <v>593.699</v>
      </c>
      <c r="AL25" s="31">
        <f t="shared" si="10"/>
        <v>106.86581999999999</v>
      </c>
      <c r="AM25" s="31">
        <f>(1.91)*B25</f>
        <v>1366.223</v>
      </c>
      <c r="AN25" s="31">
        <f t="shared" si="11"/>
        <v>245.92013999999998</v>
      </c>
      <c r="AO25" s="31"/>
      <c r="AP25" s="31">
        <f t="shared" si="12"/>
        <v>0</v>
      </c>
      <c r="AQ25" s="128"/>
      <c r="AR25" s="128">
        <f t="shared" si="13"/>
        <v>0</v>
      </c>
      <c r="AS25" s="105">
        <v>1885</v>
      </c>
      <c r="AT25" s="142">
        <f>2*389+322.8+2267</f>
        <v>3367.8</v>
      </c>
      <c r="AU25" s="105">
        <f t="shared" si="14"/>
        <v>945.504</v>
      </c>
      <c r="AV25" s="129"/>
      <c r="AW25" s="143">
        <v>27180</v>
      </c>
      <c r="AX25" s="31">
        <f t="shared" si="15"/>
        <v>35921.088</v>
      </c>
      <c r="AY25" s="130"/>
      <c r="AZ25" s="132"/>
      <c r="BA25" s="132">
        <f t="shared" si="18"/>
        <v>0</v>
      </c>
      <c r="BB25" s="132">
        <f>SUM(AG25:BA25)-AV25-AW25</f>
        <v>45721.78586</v>
      </c>
      <c r="BC25" s="139"/>
      <c r="BD25" s="19">
        <f>AC25+AF25-BB25-BC25</f>
        <v>-5538.820860000007</v>
      </c>
      <c r="BE25" s="21">
        <f>AB25-S25</f>
        <v>-6957.290000000001</v>
      </c>
    </row>
    <row r="26" spans="1:57" s="28" customFormat="1" ht="12.75">
      <c r="A26" s="22" t="s">
        <v>5</v>
      </c>
      <c r="B26" s="23"/>
      <c r="C26" s="23">
        <f aca="true" t="shared" si="20" ref="C26:BB26">SUM(C14:C25)</f>
        <v>74248.14</v>
      </c>
      <c r="D26" s="23">
        <f t="shared" si="20"/>
        <v>90608.71250000001</v>
      </c>
      <c r="E26" s="24">
        <f t="shared" si="20"/>
        <v>6622.54</v>
      </c>
      <c r="F26" s="24">
        <f t="shared" si="20"/>
        <v>1002.6</v>
      </c>
      <c r="G26" s="24">
        <f t="shared" si="20"/>
        <v>7589.51</v>
      </c>
      <c r="H26" s="24">
        <f t="shared" si="20"/>
        <v>137.8600000000001</v>
      </c>
      <c r="I26" s="24">
        <f t="shared" si="20"/>
        <v>16632.4</v>
      </c>
      <c r="J26" s="24">
        <f t="shared" si="20"/>
        <v>2498.6400000000003</v>
      </c>
      <c r="K26" s="24">
        <f t="shared" si="20"/>
        <v>11311.230000000001</v>
      </c>
      <c r="L26" s="24">
        <f t="shared" si="20"/>
        <v>1727.46</v>
      </c>
      <c r="M26" s="24">
        <f t="shared" si="20"/>
        <v>5297.9</v>
      </c>
      <c r="N26" s="24">
        <f t="shared" si="20"/>
        <v>802.24</v>
      </c>
      <c r="O26" s="24">
        <f t="shared" si="20"/>
        <v>159176.69999999998</v>
      </c>
      <c r="P26" s="24">
        <f t="shared" si="20"/>
        <v>18425.22</v>
      </c>
      <c r="Q26" s="24">
        <f t="shared" si="20"/>
        <v>0</v>
      </c>
      <c r="R26" s="24">
        <f t="shared" si="20"/>
        <v>0</v>
      </c>
      <c r="S26" s="24">
        <f t="shared" si="20"/>
        <v>206630.28</v>
      </c>
      <c r="T26" s="24">
        <f t="shared" si="20"/>
        <v>24594.019999999997</v>
      </c>
      <c r="U26" s="25">
        <f t="shared" si="20"/>
        <v>5802.3099999999995</v>
      </c>
      <c r="V26" s="25">
        <f t="shared" si="20"/>
        <v>6842.42</v>
      </c>
      <c r="W26" s="25">
        <f t="shared" si="20"/>
        <v>14098.1</v>
      </c>
      <c r="X26" s="25">
        <f t="shared" si="20"/>
        <v>9744.86</v>
      </c>
      <c r="Y26" s="25">
        <f t="shared" si="20"/>
        <v>4641.710000000001</v>
      </c>
      <c r="Z26" s="25">
        <f t="shared" si="20"/>
        <v>131744.71000000002</v>
      </c>
      <c r="AA26" s="25">
        <f t="shared" si="20"/>
        <v>0</v>
      </c>
      <c r="AB26" s="25">
        <f t="shared" si="20"/>
        <v>172874.11</v>
      </c>
      <c r="AC26" s="25">
        <f t="shared" si="20"/>
        <v>288076.84249999997</v>
      </c>
      <c r="AD26" s="112">
        <f t="shared" si="20"/>
        <v>150169.93</v>
      </c>
      <c r="AE26" s="112">
        <f t="shared" si="20"/>
        <v>0</v>
      </c>
      <c r="AF26" s="112"/>
      <c r="AG26" s="26">
        <f t="shared" si="20"/>
        <v>4978.487999999999</v>
      </c>
      <c r="AH26" s="26">
        <f t="shared" si="20"/>
        <v>1666.8006435999998</v>
      </c>
      <c r="AI26" s="26">
        <f t="shared" si="20"/>
        <v>6960.068954750001</v>
      </c>
      <c r="AJ26" s="26">
        <f t="shared" si="20"/>
        <v>1252.8124118550002</v>
      </c>
      <c r="AK26" s="26">
        <f t="shared" si="20"/>
        <v>6765.206041989999</v>
      </c>
      <c r="AL26" s="26">
        <f t="shared" si="20"/>
        <v>1217.7370875581998</v>
      </c>
      <c r="AM26" s="26">
        <f t="shared" si="20"/>
        <v>15566.080821125423</v>
      </c>
      <c r="AN26" s="26">
        <f t="shared" si="20"/>
        <v>2801.8945478025767</v>
      </c>
      <c r="AO26" s="26">
        <f t="shared" si="20"/>
        <v>0</v>
      </c>
      <c r="AP26" s="26">
        <f t="shared" si="20"/>
        <v>0</v>
      </c>
      <c r="AQ26" s="26">
        <f t="shared" si="20"/>
        <v>20184.33</v>
      </c>
      <c r="AR26" s="26">
        <f t="shared" si="20"/>
        <v>3633.1794</v>
      </c>
      <c r="AS26" s="95">
        <f t="shared" si="20"/>
        <v>30649.76</v>
      </c>
      <c r="AT26" s="95">
        <f t="shared" si="20"/>
        <v>19200.1</v>
      </c>
      <c r="AU26" s="95">
        <f t="shared" si="20"/>
        <v>8972.974799999998</v>
      </c>
      <c r="AV26" s="26"/>
      <c r="AW26" s="26"/>
      <c r="AX26" s="26">
        <f t="shared" si="20"/>
        <v>274919.23199999996</v>
      </c>
      <c r="AY26" s="26">
        <f t="shared" si="20"/>
        <v>0</v>
      </c>
      <c r="AZ26" s="26">
        <f t="shared" si="20"/>
        <v>0</v>
      </c>
      <c r="BA26" s="26">
        <f t="shared" si="20"/>
        <v>0</v>
      </c>
      <c r="BB26" s="26">
        <f t="shared" si="20"/>
        <v>398768.6647086812</v>
      </c>
      <c r="BC26" s="26">
        <f>SUM(BC14:BC25)</f>
        <v>0</v>
      </c>
      <c r="BD26" s="26">
        <f>SUM(BD14:BD25)</f>
        <v>-110691.8222086812</v>
      </c>
      <c r="BE26" s="27">
        <f>SUM(BE14:BE25)</f>
        <v>-33756.17</v>
      </c>
    </row>
    <row r="27" spans="1:57" s="28" customFormat="1" ht="12.75">
      <c r="A27" s="22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112"/>
      <c r="AE27" s="112"/>
      <c r="AF27" s="11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95"/>
      <c r="AT27" s="95"/>
      <c r="AU27" s="95"/>
      <c r="AV27" s="26"/>
      <c r="AW27" s="26"/>
      <c r="AX27" s="26"/>
      <c r="AY27" s="26"/>
      <c r="AZ27" s="26"/>
      <c r="BA27" s="26"/>
      <c r="BB27" s="26"/>
      <c r="BC27" s="26"/>
      <c r="BD27" s="31"/>
      <c r="BE27" s="109"/>
    </row>
    <row r="28" spans="1:57" s="28" customFormat="1" ht="13.5" thickBot="1">
      <c r="A28" s="33" t="s">
        <v>54</v>
      </c>
      <c r="B28" s="152"/>
      <c r="C28" s="152">
        <f>C12+C26</f>
        <v>92810.175</v>
      </c>
      <c r="D28" s="152">
        <f aca="true" t="shared" si="21" ref="D28:BE28">D12+D26</f>
        <v>95076.65619795001</v>
      </c>
      <c r="E28" s="152">
        <f t="shared" si="21"/>
        <v>8149.3099999999995</v>
      </c>
      <c r="F28" s="152">
        <f t="shared" si="21"/>
        <v>1243.92</v>
      </c>
      <c r="G28" s="152">
        <f t="shared" si="21"/>
        <v>9650.7</v>
      </c>
      <c r="H28" s="152">
        <f t="shared" si="21"/>
        <v>463.6300000000001</v>
      </c>
      <c r="I28" s="152">
        <f t="shared" si="21"/>
        <v>19405.45</v>
      </c>
      <c r="J28" s="152">
        <f t="shared" si="21"/>
        <v>2937.0800000000004</v>
      </c>
      <c r="K28" s="152">
        <f t="shared" si="21"/>
        <v>13221.650000000001</v>
      </c>
      <c r="L28" s="152">
        <f t="shared" si="21"/>
        <v>2029.12</v>
      </c>
      <c r="M28" s="152">
        <f t="shared" si="21"/>
        <v>6519.3099999999995</v>
      </c>
      <c r="N28" s="152">
        <f t="shared" si="21"/>
        <v>995.29</v>
      </c>
      <c r="O28" s="152">
        <f t="shared" si="21"/>
        <v>159176.69999999998</v>
      </c>
      <c r="P28" s="152">
        <f t="shared" si="21"/>
        <v>18425.22</v>
      </c>
      <c r="Q28" s="152">
        <f t="shared" si="21"/>
        <v>0</v>
      </c>
      <c r="R28" s="152">
        <f t="shared" si="21"/>
        <v>0</v>
      </c>
      <c r="S28" s="152">
        <f t="shared" si="21"/>
        <v>216123.12</v>
      </c>
      <c r="T28" s="152">
        <f t="shared" si="21"/>
        <v>26094.26</v>
      </c>
      <c r="U28" s="152">
        <f t="shared" si="21"/>
        <v>6900.299999999999</v>
      </c>
      <c r="V28" s="152">
        <f t="shared" si="21"/>
        <v>8324.8</v>
      </c>
      <c r="W28" s="152">
        <f t="shared" si="21"/>
        <v>15973.41</v>
      </c>
      <c r="X28" s="152">
        <f t="shared" si="21"/>
        <v>11036.86</v>
      </c>
      <c r="Y28" s="152">
        <f t="shared" si="21"/>
        <v>5520.080000000001</v>
      </c>
      <c r="Z28" s="152">
        <f t="shared" si="21"/>
        <v>131744.71000000002</v>
      </c>
      <c r="AA28" s="152">
        <f t="shared" si="21"/>
        <v>0</v>
      </c>
      <c r="AB28" s="152">
        <f t="shared" si="21"/>
        <v>179500.15999999997</v>
      </c>
      <c r="AC28" s="153">
        <f t="shared" si="21"/>
        <v>300671.07619795</v>
      </c>
      <c r="AD28" s="153">
        <f t="shared" si="21"/>
        <v>150169.93</v>
      </c>
      <c r="AE28" s="153">
        <f t="shared" si="21"/>
        <v>0</v>
      </c>
      <c r="AF28" s="153"/>
      <c r="AG28" s="152">
        <f t="shared" si="21"/>
        <v>6266.027999999999</v>
      </c>
      <c r="AH28" s="152">
        <f t="shared" si="21"/>
        <v>2108.6414535999997</v>
      </c>
      <c r="AI28" s="152">
        <f t="shared" si="21"/>
        <v>8786.17263075</v>
      </c>
      <c r="AJ28" s="152">
        <f t="shared" si="21"/>
        <v>1581.5110735350002</v>
      </c>
      <c r="AK28" s="152">
        <f t="shared" si="21"/>
        <v>8890.212987349998</v>
      </c>
      <c r="AL28" s="152">
        <f t="shared" si="21"/>
        <v>1600.2383377229999</v>
      </c>
      <c r="AM28" s="152">
        <f t="shared" si="21"/>
        <v>19468.73780731542</v>
      </c>
      <c r="AN28" s="152">
        <f t="shared" si="21"/>
        <v>3504.3728053167765</v>
      </c>
      <c r="AO28" s="152">
        <f t="shared" si="21"/>
        <v>0</v>
      </c>
      <c r="AP28" s="152">
        <f t="shared" si="21"/>
        <v>0</v>
      </c>
      <c r="AQ28" s="152">
        <f t="shared" si="21"/>
        <v>20184.33</v>
      </c>
      <c r="AR28" s="152">
        <f t="shared" si="21"/>
        <v>3633.1794</v>
      </c>
      <c r="AS28" s="152">
        <f t="shared" si="21"/>
        <v>31009.76</v>
      </c>
      <c r="AT28" s="152">
        <f t="shared" si="21"/>
        <v>19200.1</v>
      </c>
      <c r="AU28" s="152">
        <f t="shared" si="21"/>
        <v>9037.774799999997</v>
      </c>
      <c r="AV28" s="152"/>
      <c r="AW28" s="152"/>
      <c r="AX28" s="152">
        <f t="shared" si="21"/>
        <v>274919.23199999996</v>
      </c>
      <c r="AY28" s="152">
        <f t="shared" si="21"/>
        <v>0</v>
      </c>
      <c r="AZ28" s="152">
        <f t="shared" si="21"/>
        <v>0</v>
      </c>
      <c r="BA28" s="152">
        <f t="shared" si="21"/>
        <v>0</v>
      </c>
      <c r="BB28" s="152">
        <f t="shared" si="21"/>
        <v>410190.29129559017</v>
      </c>
      <c r="BC28" s="152">
        <f>BC12+BC26</f>
        <v>0</v>
      </c>
      <c r="BD28" s="152">
        <f>BD12+BD26</f>
        <v>-109519.2150976402</v>
      </c>
      <c r="BE28" s="152">
        <f t="shared" si="21"/>
        <v>-36622.96</v>
      </c>
    </row>
    <row r="29" spans="1:57" ht="12.75">
      <c r="A29" s="5" t="s">
        <v>89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ht="12.75">
      <c r="A30" s="13" t="s">
        <v>45</v>
      </c>
      <c r="B30" s="100">
        <v>715.3</v>
      </c>
      <c r="C30" s="134">
        <f>B30*8.65</f>
        <v>6187.345</v>
      </c>
      <c r="D30" s="133">
        <f>C30-E30-F30-G30-H30-I30-J30-K30-L30-M30-N30+6314.27+4678.8</f>
        <v>12193.665</v>
      </c>
      <c r="E30" s="101">
        <v>565.37</v>
      </c>
      <c r="F30" s="101">
        <v>89.99</v>
      </c>
      <c r="G30" s="101">
        <v>765.77</v>
      </c>
      <c r="H30" s="101">
        <v>121.99</v>
      </c>
      <c r="I30" s="101">
        <v>1488.38</v>
      </c>
      <c r="J30" s="101">
        <v>237.01</v>
      </c>
      <c r="K30" s="99">
        <v>1029.94</v>
      </c>
      <c r="L30" s="99">
        <v>164.01</v>
      </c>
      <c r="M30" s="147">
        <v>452.28</v>
      </c>
      <c r="N30" s="148">
        <v>72.01</v>
      </c>
      <c r="O30" s="101">
        <v>41607.29</v>
      </c>
      <c r="P30" s="107">
        <v>5180.49</v>
      </c>
      <c r="Q30" s="107"/>
      <c r="R30" s="107"/>
      <c r="S30" s="101">
        <f>E30+G30+I30+K30+M30+O30+Q30</f>
        <v>45909.03</v>
      </c>
      <c r="T30" s="119">
        <f>P30+N30+L30+J30+H30+F30+R30</f>
        <v>5865.5</v>
      </c>
      <c r="U30" s="101">
        <v>415.27</v>
      </c>
      <c r="V30" s="101">
        <v>471.67</v>
      </c>
      <c r="W30" s="101">
        <v>1087.64</v>
      </c>
      <c r="X30" s="101">
        <v>752.58</v>
      </c>
      <c r="Y30" s="4">
        <v>332.2</v>
      </c>
      <c r="Z30" s="101">
        <v>17701.58</v>
      </c>
      <c r="AA30" s="107">
        <v>0</v>
      </c>
      <c r="AB30" s="107">
        <f>SUM(U30:AA30)</f>
        <v>20760.940000000002</v>
      </c>
      <c r="AC30" s="122">
        <f>D30+T30+AB30</f>
        <v>38820.105</v>
      </c>
      <c r="AD30" s="123">
        <f>P30+Z30</f>
        <v>22882.07</v>
      </c>
      <c r="AE30" s="123">
        <f>R30+AA30</f>
        <v>0</v>
      </c>
      <c r="AF30" s="123"/>
      <c r="AG30" s="31">
        <f>0.6*B30</f>
        <v>429.17999999999995</v>
      </c>
      <c r="AH30" s="31">
        <f>B30*0.2</f>
        <v>143.06</v>
      </c>
      <c r="AI30" s="31">
        <f>1*B30</f>
        <v>715.3</v>
      </c>
      <c r="AJ30" s="31">
        <v>0</v>
      </c>
      <c r="AK30" s="31">
        <f>0.98*B30</f>
        <v>700.9939999999999</v>
      </c>
      <c r="AL30" s="31">
        <v>0</v>
      </c>
      <c r="AM30" s="31">
        <f>2.25*B30</f>
        <v>1609.425</v>
      </c>
      <c r="AN30" s="31">
        <v>0</v>
      </c>
      <c r="AO30" s="31"/>
      <c r="AP30" s="31">
        <v>0</v>
      </c>
      <c r="AQ30" s="128"/>
      <c r="AR30" s="128"/>
      <c r="AS30" s="142">
        <v>0</v>
      </c>
      <c r="AT30" s="105"/>
      <c r="AU30" s="105">
        <f>AT30*0.18</f>
        <v>0</v>
      </c>
      <c r="AV30" s="129"/>
      <c r="AW30" s="143">
        <v>33420</v>
      </c>
      <c r="AX30" s="31">
        <f>AW30*1.4</f>
        <v>46788</v>
      </c>
      <c r="AY30" s="130"/>
      <c r="AZ30" s="132"/>
      <c r="BA30" s="132">
        <f>AZ30*0.18</f>
        <v>0</v>
      </c>
      <c r="BB30" s="132">
        <f>SUM(AG30:BA30)-AV30-AW30</f>
        <v>50385.959</v>
      </c>
      <c r="BC30" s="139"/>
      <c r="BD30" s="31">
        <f>AC30+AF30-BB30-BC30</f>
        <v>-11565.854</v>
      </c>
      <c r="BE30" s="31">
        <f>AB30-S30</f>
        <v>-25148.089999999997</v>
      </c>
    </row>
    <row r="31" spans="1:57" ht="12.75">
      <c r="A31" s="13" t="s">
        <v>46</v>
      </c>
      <c r="B31" s="120">
        <v>715.3</v>
      </c>
      <c r="C31" s="134">
        <f aca="true" t="shared" si="22" ref="C31:C41">B31*8.65</f>
        <v>6187.345</v>
      </c>
      <c r="D31" s="133">
        <f>C31-E31-F31-G31-H31-I31-J31-K31-L31-M31-N31+8565.46+4494</f>
        <v>14253.305</v>
      </c>
      <c r="E31" s="106">
        <v>566.27</v>
      </c>
      <c r="F31" s="101">
        <v>89.99</v>
      </c>
      <c r="G31" s="101">
        <v>766.94</v>
      </c>
      <c r="H31" s="101">
        <v>121.99</v>
      </c>
      <c r="I31" s="101">
        <v>1490.72</v>
      </c>
      <c r="J31" s="101">
        <v>237.01</v>
      </c>
      <c r="K31" s="99">
        <v>1031.56</v>
      </c>
      <c r="L31" s="99">
        <v>164.01</v>
      </c>
      <c r="M31" s="147">
        <v>453</v>
      </c>
      <c r="N31" s="148">
        <v>72.01</v>
      </c>
      <c r="O31" s="101">
        <v>39966.15</v>
      </c>
      <c r="P31" s="107">
        <v>4976.16</v>
      </c>
      <c r="Q31" s="107">
        <v>0</v>
      </c>
      <c r="R31" s="107">
        <v>0</v>
      </c>
      <c r="S31" s="101">
        <f>E31+G31+I31+K31+M31+O31+Q31</f>
        <v>44274.64</v>
      </c>
      <c r="T31" s="119">
        <f aca="true" t="shared" si="23" ref="T31:T41">P31+N31+L31+J31+H31+F31+R31</f>
        <v>5661.17</v>
      </c>
      <c r="U31" s="101">
        <v>495.65</v>
      </c>
      <c r="V31" s="101">
        <v>626.5</v>
      </c>
      <c r="W31" s="101">
        <v>1296.5</v>
      </c>
      <c r="X31" s="101">
        <v>897.08</v>
      </c>
      <c r="Y31" s="4">
        <v>396.56</v>
      </c>
      <c r="Z31" s="101">
        <v>37554.86</v>
      </c>
      <c r="AA31" s="107">
        <v>0</v>
      </c>
      <c r="AB31" s="107">
        <f>SUM(U31:AA31)</f>
        <v>41267.15</v>
      </c>
      <c r="AC31" s="122">
        <f aca="true" t="shared" si="24" ref="AC31:AC41">D31+T31+AB31</f>
        <v>61181.625</v>
      </c>
      <c r="AD31" s="123">
        <f aca="true" t="shared" si="25" ref="AD31:AD41">P31+Z31</f>
        <v>42531.020000000004</v>
      </c>
      <c r="AE31" s="123">
        <f aca="true" t="shared" si="26" ref="AE31:AE41">R31+AA31</f>
        <v>0</v>
      </c>
      <c r="AF31" s="123"/>
      <c r="AG31" s="31">
        <f aca="true" t="shared" si="27" ref="AG31:AG41">0.6*B31</f>
        <v>429.17999999999995</v>
      </c>
      <c r="AH31" s="31">
        <f aca="true" t="shared" si="28" ref="AH31:AH41">B31*0.2</f>
        <v>143.06</v>
      </c>
      <c r="AI31" s="31">
        <f aca="true" t="shared" si="29" ref="AI31:AI41">1*B31</f>
        <v>715.3</v>
      </c>
      <c r="AJ31" s="31">
        <v>0</v>
      </c>
      <c r="AK31" s="31">
        <f aca="true" t="shared" si="30" ref="AK31:AK41">0.98*B31</f>
        <v>700.9939999999999</v>
      </c>
      <c r="AL31" s="31">
        <v>0</v>
      </c>
      <c r="AM31" s="31">
        <f aca="true" t="shared" si="31" ref="AM31:AM41">2.25*B31</f>
        <v>1609.425</v>
      </c>
      <c r="AN31" s="31">
        <v>0</v>
      </c>
      <c r="AO31" s="31"/>
      <c r="AP31" s="31"/>
      <c r="AQ31" s="128"/>
      <c r="AR31" s="128"/>
      <c r="AS31" s="142">
        <v>450</v>
      </c>
      <c r="AT31" s="105"/>
      <c r="AU31" s="105">
        <f aca="true" t="shared" si="32" ref="AU31:AU36">AT31*0.18</f>
        <v>0</v>
      </c>
      <c r="AV31" s="129"/>
      <c r="AW31" s="143">
        <v>32100</v>
      </c>
      <c r="AX31" s="31">
        <f aca="true" t="shared" si="33" ref="AX31:AX41">AW31*1.4</f>
        <v>44940</v>
      </c>
      <c r="AY31" s="130"/>
      <c r="AZ31" s="132"/>
      <c r="BA31" s="132">
        <f aca="true" t="shared" si="34" ref="BA31:BA41">AZ31*0.18</f>
        <v>0</v>
      </c>
      <c r="BB31" s="132">
        <f>SUM(AG31:BA31)-AV31-AW31</f>
        <v>48987.959</v>
      </c>
      <c r="BC31" s="139"/>
      <c r="BD31" s="31">
        <f aca="true" t="shared" si="35" ref="BD31:BD41">AC31+AF31-BB31-BC31</f>
        <v>12193.665999999997</v>
      </c>
      <c r="BE31" s="31">
        <f aca="true" t="shared" si="36" ref="BE31:BE41">AB31-S31</f>
        <v>-3007.489999999998</v>
      </c>
    </row>
    <row r="32" spans="1:57" ht="12.75">
      <c r="A32" s="13" t="s">
        <v>47</v>
      </c>
      <c r="B32" s="100">
        <v>715.3</v>
      </c>
      <c r="C32" s="134">
        <f t="shared" si="22"/>
        <v>6187.345</v>
      </c>
      <c r="D32" s="133">
        <f>C32-E32-F32-G32-H32-I32-J32-K32-L32-M32-N32+4571.13+3654</f>
        <v>9418.975</v>
      </c>
      <c r="E32" s="101">
        <v>566.27</v>
      </c>
      <c r="F32" s="101">
        <v>89.99</v>
      </c>
      <c r="G32" s="101">
        <v>766.94</v>
      </c>
      <c r="H32" s="101">
        <v>121.99</v>
      </c>
      <c r="I32" s="101">
        <v>1490.72</v>
      </c>
      <c r="J32" s="101">
        <v>237.01</v>
      </c>
      <c r="K32" s="99">
        <v>1031.56</v>
      </c>
      <c r="L32" s="99">
        <v>164.01</v>
      </c>
      <c r="M32" s="147">
        <v>453</v>
      </c>
      <c r="N32" s="148">
        <v>72.01</v>
      </c>
      <c r="O32" s="101">
        <v>21082.36</v>
      </c>
      <c r="P32" s="107">
        <v>3640.84</v>
      </c>
      <c r="Q32" s="107">
        <v>0</v>
      </c>
      <c r="R32" s="107">
        <v>0</v>
      </c>
      <c r="S32" s="101">
        <f>E32+G32+I32+K32+M32+O32+Q32</f>
        <v>25390.85</v>
      </c>
      <c r="T32" s="119">
        <f t="shared" si="23"/>
        <v>4325.85</v>
      </c>
      <c r="U32" s="101">
        <v>437.55</v>
      </c>
      <c r="V32" s="101">
        <v>562.69</v>
      </c>
      <c r="W32" s="101">
        <v>1133.57</v>
      </c>
      <c r="X32" s="101">
        <v>784.21</v>
      </c>
      <c r="Y32" s="4">
        <v>350.02</v>
      </c>
      <c r="Z32" s="101">
        <v>37966.74</v>
      </c>
      <c r="AA32" s="107">
        <v>0</v>
      </c>
      <c r="AB32" s="107">
        <f>SUM(U32:AA32)</f>
        <v>41234.78</v>
      </c>
      <c r="AC32" s="122">
        <f t="shared" si="24"/>
        <v>54979.604999999996</v>
      </c>
      <c r="AD32" s="123">
        <f t="shared" si="25"/>
        <v>41607.58</v>
      </c>
      <c r="AE32" s="123">
        <f t="shared" si="26"/>
        <v>0</v>
      </c>
      <c r="AF32" s="123"/>
      <c r="AG32" s="31">
        <f t="shared" si="27"/>
        <v>429.17999999999995</v>
      </c>
      <c r="AH32" s="31">
        <f t="shared" si="28"/>
        <v>143.06</v>
      </c>
      <c r="AI32" s="31">
        <f t="shared" si="29"/>
        <v>715.3</v>
      </c>
      <c r="AJ32" s="31">
        <v>0</v>
      </c>
      <c r="AK32" s="31">
        <f t="shared" si="30"/>
        <v>700.9939999999999</v>
      </c>
      <c r="AL32" s="31">
        <v>0</v>
      </c>
      <c r="AM32" s="31">
        <f t="shared" si="31"/>
        <v>1609.425</v>
      </c>
      <c r="AN32" s="31">
        <v>0</v>
      </c>
      <c r="AO32" s="31"/>
      <c r="AP32" s="31"/>
      <c r="AQ32" s="140">
        <f>11773+5599</f>
        <v>17372</v>
      </c>
      <c r="AR32" s="128"/>
      <c r="AS32" s="105"/>
      <c r="AT32" s="105">
        <f>205+70+107+603+129.2</f>
        <v>1114.2</v>
      </c>
      <c r="AU32" s="105"/>
      <c r="AV32" s="129"/>
      <c r="AW32" s="143">
        <v>26100</v>
      </c>
      <c r="AX32" s="31">
        <f t="shared" si="33"/>
        <v>36540</v>
      </c>
      <c r="AY32" s="130"/>
      <c r="AZ32" s="132"/>
      <c r="BA32" s="132">
        <f t="shared" si="34"/>
        <v>0</v>
      </c>
      <c r="BB32" s="132">
        <f>SUM(AG32:BA32)-AV32-AW32</f>
        <v>58624.159</v>
      </c>
      <c r="BC32" s="139"/>
      <c r="BD32" s="31">
        <f t="shared" si="35"/>
        <v>-3644.5540000000037</v>
      </c>
      <c r="BE32" s="31">
        <f t="shared" si="36"/>
        <v>15843.93</v>
      </c>
    </row>
    <row r="33" spans="1:57" ht="12.75">
      <c r="A33" s="13" t="s">
        <v>48</v>
      </c>
      <c r="B33" s="100">
        <v>715.3</v>
      </c>
      <c r="C33" s="134">
        <f t="shared" si="22"/>
        <v>6187.345</v>
      </c>
      <c r="D33" s="118">
        <f>C33-E33-F33-G33-H33-I33-J33-K33-L33-M33-N33+6886.92+3553.2</f>
        <v>11633.965</v>
      </c>
      <c r="E33" s="101">
        <v>566.27</v>
      </c>
      <c r="F33" s="101">
        <v>89.99</v>
      </c>
      <c r="G33" s="101">
        <v>766.94</v>
      </c>
      <c r="H33" s="101">
        <v>121.99</v>
      </c>
      <c r="I33" s="101">
        <v>1490.72</v>
      </c>
      <c r="J33" s="101">
        <v>237.01</v>
      </c>
      <c r="K33" s="99">
        <v>1031.56</v>
      </c>
      <c r="L33" s="99">
        <v>164.01</v>
      </c>
      <c r="M33" s="147">
        <v>453</v>
      </c>
      <c r="N33" s="148">
        <v>72.01</v>
      </c>
      <c r="O33" s="101">
        <v>28440.02</v>
      </c>
      <c r="P33" s="107">
        <v>3541.06</v>
      </c>
      <c r="Q33" s="107"/>
      <c r="R33" s="107"/>
      <c r="S33" s="101">
        <f>E33+G33+I33+K33+M33+O33+Q33</f>
        <v>32748.510000000002</v>
      </c>
      <c r="T33" s="119">
        <f t="shared" si="23"/>
        <v>4226.07</v>
      </c>
      <c r="U33" s="101">
        <v>424.51</v>
      </c>
      <c r="V33" s="101">
        <v>573.13</v>
      </c>
      <c r="W33" s="101">
        <v>918.03</v>
      </c>
      <c r="X33" s="101">
        <v>633.43</v>
      </c>
      <c r="Y33" s="4">
        <v>339.6</v>
      </c>
      <c r="Z33" s="101">
        <v>6459.02</v>
      </c>
      <c r="AA33" s="107">
        <v>0</v>
      </c>
      <c r="AB33" s="107">
        <f>SUM(U33:AA33)</f>
        <v>9347.720000000001</v>
      </c>
      <c r="AC33" s="122">
        <f t="shared" si="24"/>
        <v>25207.755</v>
      </c>
      <c r="AD33" s="123">
        <f t="shared" si="25"/>
        <v>10000.08</v>
      </c>
      <c r="AE33" s="123">
        <f t="shared" si="26"/>
        <v>0</v>
      </c>
      <c r="AF33" s="123"/>
      <c r="AG33" s="31">
        <f t="shared" si="27"/>
        <v>429.17999999999995</v>
      </c>
      <c r="AH33" s="31">
        <f t="shared" si="28"/>
        <v>143.06</v>
      </c>
      <c r="AI33" s="31">
        <f t="shared" si="29"/>
        <v>715.3</v>
      </c>
      <c r="AJ33" s="31">
        <v>0</v>
      </c>
      <c r="AK33" s="31">
        <f t="shared" si="30"/>
        <v>700.9939999999999</v>
      </c>
      <c r="AL33" s="31">
        <v>0</v>
      </c>
      <c r="AM33" s="31">
        <f t="shared" si="31"/>
        <v>1609.425</v>
      </c>
      <c r="AN33" s="31">
        <v>0</v>
      </c>
      <c r="AO33" s="31">
        <v>1927.8</v>
      </c>
      <c r="AP33" s="31"/>
      <c r="AQ33" s="128"/>
      <c r="AR33" s="128"/>
      <c r="AS33" s="105">
        <v>4634</v>
      </c>
      <c r="AT33" s="105"/>
      <c r="AU33" s="105">
        <f t="shared" si="32"/>
        <v>0</v>
      </c>
      <c r="AV33" s="129"/>
      <c r="AW33" s="143">
        <v>25380</v>
      </c>
      <c r="AX33" s="31">
        <f t="shared" si="33"/>
        <v>35532</v>
      </c>
      <c r="AY33" s="130"/>
      <c r="AZ33" s="132"/>
      <c r="BA33" s="132">
        <f t="shared" si="34"/>
        <v>0</v>
      </c>
      <c r="BB33" s="132">
        <f aca="true" t="shared" si="37" ref="BB33:BB41">SUM(AG33:BA33)-AV33-AW33</f>
        <v>45691.75899999999</v>
      </c>
      <c r="BC33" s="139"/>
      <c r="BD33" s="31">
        <f t="shared" si="35"/>
        <v>-20484.00399999999</v>
      </c>
      <c r="BE33" s="31">
        <f t="shared" si="36"/>
        <v>-23400.79</v>
      </c>
    </row>
    <row r="34" spans="1:57" ht="12.75">
      <c r="A34" s="13" t="s">
        <v>49</v>
      </c>
      <c r="B34" s="100">
        <v>715.3</v>
      </c>
      <c r="C34" s="134">
        <f t="shared" si="22"/>
        <v>6187.345</v>
      </c>
      <c r="D34" s="133">
        <f>C34-E34-F34-G34-H34-I34-J34-K34-L34-M34-N34+8113.48+2461.2</f>
        <v>11768.545000000002</v>
      </c>
      <c r="E34" s="101">
        <v>566.27</v>
      </c>
      <c r="F34" s="101">
        <v>89.99</v>
      </c>
      <c r="G34" s="101">
        <v>766.93</v>
      </c>
      <c r="H34" s="101">
        <v>121.99</v>
      </c>
      <c r="I34" s="101">
        <v>1490.71</v>
      </c>
      <c r="J34" s="101">
        <v>237.01</v>
      </c>
      <c r="K34" s="99">
        <v>1031.56</v>
      </c>
      <c r="L34" s="99">
        <v>164.01</v>
      </c>
      <c r="M34" s="147">
        <v>453</v>
      </c>
      <c r="N34" s="148">
        <v>72.01</v>
      </c>
      <c r="O34" s="101">
        <v>19699.99</v>
      </c>
      <c r="P34" s="107">
        <v>2452.81</v>
      </c>
      <c r="Q34" s="107"/>
      <c r="R34" s="107"/>
      <c r="S34" s="101">
        <f>E34+G34+I34+K34+M34+O34+Q34</f>
        <v>24008.46</v>
      </c>
      <c r="T34" s="119">
        <f t="shared" si="23"/>
        <v>3137.8199999999997</v>
      </c>
      <c r="U34" s="156">
        <v>385.38</v>
      </c>
      <c r="V34" s="156">
        <v>501.17</v>
      </c>
      <c r="W34" s="156">
        <v>1010.15</v>
      </c>
      <c r="X34" s="156">
        <v>698.97</v>
      </c>
      <c r="Y34" s="157">
        <v>308.31</v>
      </c>
      <c r="Z34" s="156">
        <v>20128.95</v>
      </c>
      <c r="AA34" s="158">
        <v>0</v>
      </c>
      <c r="AB34" s="107">
        <f>SUM(U34:AA34)</f>
        <v>23032.93</v>
      </c>
      <c r="AC34" s="122">
        <f t="shared" si="24"/>
        <v>37939.295</v>
      </c>
      <c r="AD34" s="123">
        <f t="shared" si="25"/>
        <v>22581.760000000002</v>
      </c>
      <c r="AE34" s="123">
        <f t="shared" si="26"/>
        <v>0</v>
      </c>
      <c r="AF34" s="123"/>
      <c r="AG34" s="31">
        <f t="shared" si="27"/>
        <v>429.17999999999995</v>
      </c>
      <c r="AH34" s="31">
        <f t="shared" si="28"/>
        <v>143.06</v>
      </c>
      <c r="AI34" s="31">
        <f t="shared" si="29"/>
        <v>715.3</v>
      </c>
      <c r="AJ34" s="31">
        <v>0</v>
      </c>
      <c r="AK34" s="31">
        <f t="shared" si="30"/>
        <v>700.9939999999999</v>
      </c>
      <c r="AL34" s="31">
        <v>0</v>
      </c>
      <c r="AM34" s="31">
        <f t="shared" si="31"/>
        <v>1609.425</v>
      </c>
      <c r="AN34" s="31">
        <v>0</v>
      </c>
      <c r="AO34" s="31"/>
      <c r="AP34" s="31"/>
      <c r="AQ34" s="128"/>
      <c r="AR34" s="128"/>
      <c r="AS34" s="105">
        <v>484</v>
      </c>
      <c r="AT34" s="105"/>
      <c r="AU34" s="105">
        <f t="shared" si="32"/>
        <v>0</v>
      </c>
      <c r="AV34" s="129"/>
      <c r="AW34" s="143">
        <v>17580</v>
      </c>
      <c r="AX34" s="31">
        <f t="shared" si="33"/>
        <v>24612</v>
      </c>
      <c r="AY34" s="130"/>
      <c r="AZ34" s="132"/>
      <c r="BA34" s="132">
        <f t="shared" si="34"/>
        <v>0</v>
      </c>
      <c r="BB34" s="132">
        <f t="shared" si="37"/>
        <v>28693.959000000003</v>
      </c>
      <c r="BC34" s="139"/>
      <c r="BD34" s="31">
        <f t="shared" si="35"/>
        <v>9245.335999999996</v>
      </c>
      <c r="BE34" s="31">
        <f t="shared" si="36"/>
        <v>-975.5299999999988</v>
      </c>
    </row>
    <row r="35" spans="1:57" ht="12.75">
      <c r="A35" s="13" t="s">
        <v>50</v>
      </c>
      <c r="B35" s="100">
        <v>715.3</v>
      </c>
      <c r="C35" s="134">
        <f t="shared" si="22"/>
        <v>6187.345</v>
      </c>
      <c r="D35" s="118">
        <f>C35-E35-F35-G35-H35-I35-J35-K35-L35-M35-N35</f>
        <v>1193.8650000000007</v>
      </c>
      <c r="E35" s="101">
        <v>566.27</v>
      </c>
      <c r="F35" s="101">
        <v>89.99</v>
      </c>
      <c r="G35" s="101">
        <v>766.93</v>
      </c>
      <c r="H35" s="101">
        <v>121.99</v>
      </c>
      <c r="I35" s="101">
        <v>1490.71</v>
      </c>
      <c r="J35" s="101">
        <v>237.01</v>
      </c>
      <c r="K35" s="99">
        <v>1031.56</v>
      </c>
      <c r="L35" s="99">
        <v>164.01</v>
      </c>
      <c r="M35" s="147">
        <v>453</v>
      </c>
      <c r="N35" s="148">
        <v>72.01</v>
      </c>
      <c r="O35" s="101">
        <v>0</v>
      </c>
      <c r="P35" s="107">
        <v>0</v>
      </c>
      <c r="Q35" s="101">
        <v>0</v>
      </c>
      <c r="R35" s="107">
        <v>0</v>
      </c>
      <c r="S35" s="101">
        <f aca="true" t="shared" si="38" ref="S35:S41">E35+G35+I35+K35+M35+O35+Q35</f>
        <v>4308.469999999999</v>
      </c>
      <c r="T35" s="119">
        <f t="shared" si="23"/>
        <v>685.01</v>
      </c>
      <c r="U35" s="101">
        <v>455.06</v>
      </c>
      <c r="V35" s="101">
        <v>611.36</v>
      </c>
      <c r="W35" s="101">
        <v>1195.2</v>
      </c>
      <c r="X35" s="101">
        <v>827.05</v>
      </c>
      <c r="Y35" s="4">
        <v>364.03</v>
      </c>
      <c r="Z35" s="101">
        <v>15748.82</v>
      </c>
      <c r="AA35" s="107">
        <v>0</v>
      </c>
      <c r="AB35" s="107">
        <f aca="true" t="shared" si="39" ref="AB35:AB41">SUM(U35:AA35)</f>
        <v>19201.52</v>
      </c>
      <c r="AC35" s="122">
        <f t="shared" si="24"/>
        <v>21080.395</v>
      </c>
      <c r="AD35" s="123">
        <f t="shared" si="25"/>
        <v>15748.82</v>
      </c>
      <c r="AE35" s="123">
        <f t="shared" si="26"/>
        <v>0</v>
      </c>
      <c r="AF35" s="123"/>
      <c r="AG35" s="31">
        <f t="shared" si="27"/>
        <v>429.17999999999995</v>
      </c>
      <c r="AH35" s="31">
        <f t="shared" si="28"/>
        <v>143.06</v>
      </c>
      <c r="AI35" s="31">
        <f t="shared" si="29"/>
        <v>715.3</v>
      </c>
      <c r="AJ35" s="31">
        <v>0</v>
      </c>
      <c r="AK35" s="31">
        <f t="shared" si="30"/>
        <v>700.9939999999999</v>
      </c>
      <c r="AL35" s="31">
        <v>0</v>
      </c>
      <c r="AM35" s="31">
        <f t="shared" si="31"/>
        <v>1609.425</v>
      </c>
      <c r="AN35" s="31">
        <v>0</v>
      </c>
      <c r="AO35" s="31"/>
      <c r="AP35" s="31"/>
      <c r="AQ35" s="128"/>
      <c r="AR35" s="128"/>
      <c r="AS35" s="105"/>
      <c r="AT35" s="105"/>
      <c r="AU35" s="105">
        <f t="shared" si="32"/>
        <v>0</v>
      </c>
      <c r="AV35" s="129"/>
      <c r="AW35" s="143">
        <v>0</v>
      </c>
      <c r="AX35" s="31">
        <f t="shared" si="33"/>
        <v>0</v>
      </c>
      <c r="AY35" s="130"/>
      <c r="AZ35" s="132"/>
      <c r="BA35" s="132">
        <f t="shared" si="34"/>
        <v>0</v>
      </c>
      <c r="BB35" s="132">
        <f t="shared" si="37"/>
        <v>3597.959</v>
      </c>
      <c r="BC35" s="139"/>
      <c r="BD35" s="31">
        <f t="shared" si="35"/>
        <v>17482.436</v>
      </c>
      <c r="BE35" s="31">
        <f t="shared" si="36"/>
        <v>14893.050000000001</v>
      </c>
    </row>
    <row r="36" spans="1:57" ht="12.75">
      <c r="A36" s="13" t="s">
        <v>51</v>
      </c>
      <c r="B36" s="100">
        <v>715.3</v>
      </c>
      <c r="C36" s="134">
        <f t="shared" si="22"/>
        <v>6187.345</v>
      </c>
      <c r="D36" s="118">
        <f>C36-E36-F36-G36-H36-I36-J36-K36-L36-M36-N36</f>
        <v>1193.8649999999998</v>
      </c>
      <c r="E36" s="106">
        <v>656.26</v>
      </c>
      <c r="F36" s="101">
        <v>0</v>
      </c>
      <c r="G36" s="101">
        <v>888.92</v>
      </c>
      <c r="H36" s="101">
        <v>0</v>
      </c>
      <c r="I36" s="101">
        <v>1727.72</v>
      </c>
      <c r="J36" s="101"/>
      <c r="K36" s="99">
        <v>1195.57</v>
      </c>
      <c r="L36" s="99">
        <v>0</v>
      </c>
      <c r="M36" s="147">
        <v>525.01</v>
      </c>
      <c r="N36" s="148">
        <v>0</v>
      </c>
      <c r="O36" s="101">
        <v>0</v>
      </c>
      <c r="P36" s="107">
        <v>0</v>
      </c>
      <c r="Q36" s="107"/>
      <c r="R36" s="107"/>
      <c r="S36" s="101">
        <f t="shared" si="38"/>
        <v>4993.48</v>
      </c>
      <c r="T36" s="119">
        <f t="shared" si="23"/>
        <v>0</v>
      </c>
      <c r="U36" s="106">
        <v>722.4</v>
      </c>
      <c r="V36" s="101">
        <v>974.09</v>
      </c>
      <c r="W36" s="101">
        <v>1899.29</v>
      </c>
      <c r="X36" s="101">
        <v>1314.25</v>
      </c>
      <c r="Y36" s="4">
        <v>577.95</v>
      </c>
      <c r="Z36" s="101">
        <v>12464.69</v>
      </c>
      <c r="AA36" s="107">
        <v>0</v>
      </c>
      <c r="AB36" s="107">
        <f t="shared" si="39"/>
        <v>17952.67</v>
      </c>
      <c r="AC36" s="122">
        <f t="shared" si="24"/>
        <v>19146.534999999996</v>
      </c>
      <c r="AD36" s="123">
        <f t="shared" si="25"/>
        <v>12464.69</v>
      </c>
      <c r="AE36" s="123">
        <f t="shared" si="26"/>
        <v>0</v>
      </c>
      <c r="AF36" s="123"/>
      <c r="AG36" s="31">
        <f t="shared" si="27"/>
        <v>429.17999999999995</v>
      </c>
      <c r="AH36" s="31">
        <f t="shared" si="28"/>
        <v>143.06</v>
      </c>
      <c r="AI36" s="31">
        <f t="shared" si="29"/>
        <v>715.3</v>
      </c>
      <c r="AJ36" s="31">
        <v>0</v>
      </c>
      <c r="AK36" s="31">
        <f t="shared" si="30"/>
        <v>700.9939999999999</v>
      </c>
      <c r="AL36" s="31">
        <v>0</v>
      </c>
      <c r="AM36" s="31">
        <f t="shared" si="31"/>
        <v>1609.425</v>
      </c>
      <c r="AN36" s="31">
        <v>0</v>
      </c>
      <c r="AO36" s="31"/>
      <c r="AP36" s="31"/>
      <c r="AQ36" s="128"/>
      <c r="AR36" s="128"/>
      <c r="AS36" s="105"/>
      <c r="AT36" s="105"/>
      <c r="AU36" s="105">
        <f t="shared" si="32"/>
        <v>0</v>
      </c>
      <c r="AV36" s="129"/>
      <c r="AW36" s="143">
        <v>0</v>
      </c>
      <c r="AX36" s="31">
        <f t="shared" si="33"/>
        <v>0</v>
      </c>
      <c r="AY36" s="130"/>
      <c r="AZ36" s="132"/>
      <c r="BA36" s="132">
        <f t="shared" si="34"/>
        <v>0</v>
      </c>
      <c r="BB36" s="132">
        <f t="shared" si="37"/>
        <v>3597.959</v>
      </c>
      <c r="BC36" s="139"/>
      <c r="BD36" s="31">
        <f t="shared" si="35"/>
        <v>15548.575999999997</v>
      </c>
      <c r="BE36" s="31">
        <f t="shared" si="36"/>
        <v>12959.189999999999</v>
      </c>
    </row>
    <row r="37" spans="1:57" ht="12.75">
      <c r="A37" s="13" t="s">
        <v>52</v>
      </c>
      <c r="B37" s="100">
        <v>715.3</v>
      </c>
      <c r="C37" s="134">
        <f t="shared" si="22"/>
        <v>6187.345</v>
      </c>
      <c r="D37" s="118">
        <f>C37-E37-F37-G37-H37-I37-J37-K37-L37-M37-N37</f>
        <v>1193.8649999999998</v>
      </c>
      <c r="E37" s="106">
        <v>656.26</v>
      </c>
      <c r="F37" s="101">
        <v>0</v>
      </c>
      <c r="G37" s="101">
        <v>888.92</v>
      </c>
      <c r="H37" s="101">
        <v>0</v>
      </c>
      <c r="I37" s="101">
        <v>1727.72</v>
      </c>
      <c r="J37" s="101"/>
      <c r="K37" s="99">
        <v>1195.57</v>
      </c>
      <c r="L37" s="99">
        <v>0</v>
      </c>
      <c r="M37" s="147">
        <v>525.01</v>
      </c>
      <c r="N37" s="148">
        <v>0</v>
      </c>
      <c r="O37" s="101">
        <v>0</v>
      </c>
      <c r="P37" s="107">
        <v>0</v>
      </c>
      <c r="Q37" s="107"/>
      <c r="R37" s="107"/>
      <c r="S37" s="101">
        <f t="shared" si="38"/>
        <v>4993.48</v>
      </c>
      <c r="T37" s="119">
        <f t="shared" si="23"/>
        <v>0</v>
      </c>
      <c r="U37" s="156">
        <v>631.18</v>
      </c>
      <c r="V37" s="156">
        <v>851.83</v>
      </c>
      <c r="W37" s="156">
        <v>1659.22</v>
      </c>
      <c r="X37" s="156">
        <v>1148.16</v>
      </c>
      <c r="Y37" s="157">
        <v>504.93</v>
      </c>
      <c r="Z37" s="156">
        <v>999.5</v>
      </c>
      <c r="AA37" s="158">
        <v>0</v>
      </c>
      <c r="AB37" s="107">
        <f t="shared" si="39"/>
        <v>5794.820000000001</v>
      </c>
      <c r="AC37" s="122">
        <f t="shared" si="24"/>
        <v>6988.685</v>
      </c>
      <c r="AD37" s="123">
        <f t="shared" si="25"/>
        <v>999.5</v>
      </c>
      <c r="AE37" s="123">
        <f t="shared" si="26"/>
        <v>0</v>
      </c>
      <c r="AF37" s="123"/>
      <c r="AG37" s="31">
        <f t="shared" si="27"/>
        <v>429.17999999999995</v>
      </c>
      <c r="AH37" s="31">
        <f t="shared" si="28"/>
        <v>143.06</v>
      </c>
      <c r="AI37" s="31">
        <f t="shared" si="29"/>
        <v>715.3</v>
      </c>
      <c r="AJ37" s="31">
        <v>0</v>
      </c>
      <c r="AK37" s="31">
        <f t="shared" si="30"/>
        <v>700.9939999999999</v>
      </c>
      <c r="AL37" s="31">
        <v>0</v>
      </c>
      <c r="AM37" s="31">
        <f t="shared" si="31"/>
        <v>1609.425</v>
      </c>
      <c r="AN37" s="31">
        <v>0</v>
      </c>
      <c r="AO37" s="31"/>
      <c r="AP37" s="31"/>
      <c r="AQ37" s="128"/>
      <c r="AR37" s="128"/>
      <c r="AS37" s="105"/>
      <c r="AT37" s="105">
        <f>47.8+84</f>
        <v>131.8</v>
      </c>
      <c r="AU37" s="105"/>
      <c r="AV37" s="129"/>
      <c r="AW37" s="143">
        <v>0</v>
      </c>
      <c r="AX37" s="31">
        <f t="shared" si="33"/>
        <v>0</v>
      </c>
      <c r="AY37" s="130"/>
      <c r="AZ37" s="132"/>
      <c r="BA37" s="132">
        <f t="shared" si="34"/>
        <v>0</v>
      </c>
      <c r="BB37" s="132">
        <f>SUM(AG37:BA37)-AV37-AW37</f>
        <v>3729.759</v>
      </c>
      <c r="BC37" s="139"/>
      <c r="BD37" s="31">
        <f t="shared" si="35"/>
        <v>3258.9260000000004</v>
      </c>
      <c r="BE37" s="31">
        <f t="shared" si="36"/>
        <v>801.340000000001</v>
      </c>
    </row>
    <row r="38" spans="1:57" ht="12.75">
      <c r="A38" s="13" t="s">
        <v>53</v>
      </c>
      <c r="B38" s="100">
        <v>715.3</v>
      </c>
      <c r="C38" s="134">
        <f t="shared" si="22"/>
        <v>6187.345</v>
      </c>
      <c r="D38" s="118">
        <f>C38-E38-F38-G38-H38-I38-J38-K38-L38-M38-N38+756</f>
        <v>1944.7050000000008</v>
      </c>
      <c r="E38" s="101">
        <v>656.95</v>
      </c>
      <c r="F38" s="101">
        <v>0</v>
      </c>
      <c r="G38" s="101">
        <v>889.81</v>
      </c>
      <c r="H38" s="101">
        <v>0</v>
      </c>
      <c r="I38" s="101">
        <v>1729.51</v>
      </c>
      <c r="J38" s="101"/>
      <c r="K38" s="99">
        <v>1196.81</v>
      </c>
      <c r="L38" s="99">
        <v>0</v>
      </c>
      <c r="M38" s="147">
        <v>525.56</v>
      </c>
      <c r="N38" s="148">
        <v>0</v>
      </c>
      <c r="O38" s="101">
        <v>6803.1</v>
      </c>
      <c r="P38" s="107">
        <v>0</v>
      </c>
      <c r="Q38" s="107"/>
      <c r="R38" s="107"/>
      <c r="S38" s="101">
        <f t="shared" si="38"/>
        <v>11801.74</v>
      </c>
      <c r="T38" s="119">
        <f t="shared" si="23"/>
        <v>0</v>
      </c>
      <c r="U38" s="101">
        <v>544.13</v>
      </c>
      <c r="V38" s="101">
        <v>734.35</v>
      </c>
      <c r="W38" s="101">
        <v>1430.33</v>
      </c>
      <c r="X38" s="101">
        <v>989.73</v>
      </c>
      <c r="Y38" s="4">
        <v>435.32</v>
      </c>
      <c r="Z38" s="101">
        <v>1006.91</v>
      </c>
      <c r="AA38" s="107">
        <v>0</v>
      </c>
      <c r="AB38" s="107">
        <f t="shared" si="39"/>
        <v>5140.7699999999995</v>
      </c>
      <c r="AC38" s="122">
        <f t="shared" si="24"/>
        <v>7085.475</v>
      </c>
      <c r="AD38" s="123">
        <f t="shared" si="25"/>
        <v>1006.91</v>
      </c>
      <c r="AE38" s="123">
        <f t="shared" si="26"/>
        <v>0</v>
      </c>
      <c r="AF38" s="123"/>
      <c r="AG38" s="31">
        <f t="shared" si="27"/>
        <v>429.17999999999995</v>
      </c>
      <c r="AH38" s="31">
        <f t="shared" si="28"/>
        <v>143.06</v>
      </c>
      <c r="AI38" s="31">
        <f t="shared" si="29"/>
        <v>715.3</v>
      </c>
      <c r="AJ38" s="31">
        <v>0</v>
      </c>
      <c r="AK38" s="31">
        <f t="shared" si="30"/>
        <v>700.9939999999999</v>
      </c>
      <c r="AL38" s="31">
        <v>0</v>
      </c>
      <c r="AM38" s="31">
        <f t="shared" si="31"/>
        <v>1609.425</v>
      </c>
      <c r="AN38" s="31">
        <v>0</v>
      </c>
      <c r="AO38" s="31"/>
      <c r="AP38" s="31"/>
      <c r="AQ38" s="128"/>
      <c r="AR38" s="128"/>
      <c r="AS38" s="105"/>
      <c r="AT38" s="105">
        <f>336</f>
        <v>336</v>
      </c>
      <c r="AU38" s="167"/>
      <c r="AV38" s="129"/>
      <c r="AW38" s="143">
        <v>5400</v>
      </c>
      <c r="AX38" s="31">
        <f t="shared" si="33"/>
        <v>7559.999999999999</v>
      </c>
      <c r="AY38" s="130"/>
      <c r="AZ38" s="132"/>
      <c r="BA38" s="132">
        <f t="shared" si="34"/>
        <v>0</v>
      </c>
      <c r="BB38" s="132">
        <f t="shared" si="37"/>
        <v>11493.958999999999</v>
      </c>
      <c r="BC38" s="139"/>
      <c r="BD38" s="31">
        <f t="shared" si="35"/>
        <v>-4408.483999999999</v>
      </c>
      <c r="BE38" s="31">
        <f t="shared" si="36"/>
        <v>-6660.97</v>
      </c>
    </row>
    <row r="39" spans="1:57" ht="12.75">
      <c r="A39" s="32" t="s">
        <v>41</v>
      </c>
      <c r="B39" s="100">
        <v>715.3</v>
      </c>
      <c r="C39" s="134">
        <f t="shared" si="22"/>
        <v>6187.345</v>
      </c>
      <c r="D39" s="118">
        <f>C39-E39-F39-G39-H39-I39-J39-K39-L39-M39-N39+2461.2</f>
        <v>3635.024999999999</v>
      </c>
      <c r="E39" s="102">
        <v>658.93</v>
      </c>
      <c r="F39" s="102">
        <v>0</v>
      </c>
      <c r="G39" s="102">
        <v>892.39</v>
      </c>
      <c r="H39" s="102">
        <v>0</v>
      </c>
      <c r="I39" s="102">
        <v>1734.67</v>
      </c>
      <c r="J39" s="102">
        <v>0</v>
      </c>
      <c r="K39" s="103">
        <v>1200.38</v>
      </c>
      <c r="L39" s="103">
        <v>0</v>
      </c>
      <c r="M39" s="150">
        <v>527.15</v>
      </c>
      <c r="N39" s="151">
        <v>0</v>
      </c>
      <c r="O39" s="102">
        <v>22152.84</v>
      </c>
      <c r="P39" s="125">
        <v>0</v>
      </c>
      <c r="Q39" s="125"/>
      <c r="R39" s="125"/>
      <c r="S39" s="101">
        <f t="shared" si="38"/>
        <v>27166.36</v>
      </c>
      <c r="T39" s="119">
        <f t="shared" si="23"/>
        <v>0</v>
      </c>
      <c r="U39" s="101">
        <v>543.03</v>
      </c>
      <c r="V39" s="101">
        <v>726.36</v>
      </c>
      <c r="W39" s="101">
        <v>1423.44</v>
      </c>
      <c r="X39" s="101">
        <v>985.01</v>
      </c>
      <c r="Y39" s="4">
        <v>434.43</v>
      </c>
      <c r="Z39" s="101">
        <v>7515.97</v>
      </c>
      <c r="AA39" s="107">
        <v>0</v>
      </c>
      <c r="AB39" s="107">
        <f t="shared" si="39"/>
        <v>11628.240000000002</v>
      </c>
      <c r="AC39" s="122">
        <f t="shared" si="24"/>
        <v>15263.265000000001</v>
      </c>
      <c r="AD39" s="123">
        <f t="shared" si="25"/>
        <v>7515.97</v>
      </c>
      <c r="AE39" s="123">
        <f t="shared" si="26"/>
        <v>0</v>
      </c>
      <c r="AF39" s="123"/>
      <c r="AG39" s="31">
        <f t="shared" si="27"/>
        <v>429.17999999999995</v>
      </c>
      <c r="AH39" s="31">
        <f t="shared" si="28"/>
        <v>143.06</v>
      </c>
      <c r="AI39" s="31">
        <f t="shared" si="29"/>
        <v>715.3</v>
      </c>
      <c r="AJ39" s="31">
        <v>0</v>
      </c>
      <c r="AK39" s="31">
        <f t="shared" si="30"/>
        <v>700.9939999999999</v>
      </c>
      <c r="AL39" s="31">
        <v>0</v>
      </c>
      <c r="AM39" s="31">
        <f t="shared" si="31"/>
        <v>1609.425</v>
      </c>
      <c r="AN39" s="31">
        <v>0</v>
      </c>
      <c r="AO39" s="31"/>
      <c r="AP39" s="31"/>
      <c r="AQ39" s="128"/>
      <c r="AR39" s="128"/>
      <c r="AS39" s="105"/>
      <c r="AT39" s="105">
        <f>3210+37+42+42</f>
        <v>3331</v>
      </c>
      <c r="AU39" s="105"/>
      <c r="AV39" s="129"/>
      <c r="AW39" s="143">
        <v>17580</v>
      </c>
      <c r="AX39" s="31">
        <f t="shared" si="33"/>
        <v>24612</v>
      </c>
      <c r="AY39" s="130"/>
      <c r="AZ39" s="132"/>
      <c r="BA39" s="132">
        <f t="shared" si="34"/>
        <v>0</v>
      </c>
      <c r="BB39" s="132">
        <f>SUM(AG39:BA39)-AV39-AW39</f>
        <v>31540.959000000003</v>
      </c>
      <c r="BC39" s="139"/>
      <c r="BD39" s="31">
        <f t="shared" si="35"/>
        <v>-16277.694000000001</v>
      </c>
      <c r="BE39" s="31">
        <f t="shared" si="36"/>
        <v>-15538.119999999999</v>
      </c>
    </row>
    <row r="40" spans="1:57" ht="12.75">
      <c r="A40" s="13" t="s">
        <v>42</v>
      </c>
      <c r="B40" s="100">
        <v>715.3</v>
      </c>
      <c r="C40" s="134">
        <f t="shared" si="22"/>
        <v>6187.345</v>
      </c>
      <c r="D40" s="118">
        <f>C40-E40-F40-G40-H40-I40-J40-K40-L40-M40-N40+3662.4</f>
        <v>4826.635</v>
      </c>
      <c r="E40" s="101">
        <v>660.21</v>
      </c>
      <c r="F40" s="101">
        <v>0</v>
      </c>
      <c r="G40" s="101">
        <v>894.05</v>
      </c>
      <c r="H40" s="101">
        <v>0</v>
      </c>
      <c r="I40" s="101">
        <v>1738</v>
      </c>
      <c r="J40" s="101"/>
      <c r="K40" s="99">
        <v>1202.68</v>
      </c>
      <c r="L40" s="99">
        <v>0</v>
      </c>
      <c r="M40" s="147">
        <v>528.17</v>
      </c>
      <c r="N40" s="148">
        <v>0</v>
      </c>
      <c r="O40" s="101">
        <v>32961.89</v>
      </c>
      <c r="P40" s="107">
        <v>0</v>
      </c>
      <c r="Q40" s="107"/>
      <c r="R40" s="107"/>
      <c r="S40" s="101">
        <f t="shared" si="38"/>
        <v>37985</v>
      </c>
      <c r="T40" s="119">
        <f t="shared" si="23"/>
        <v>0</v>
      </c>
      <c r="U40" s="106">
        <v>552.86</v>
      </c>
      <c r="V40" s="101">
        <v>746.01</v>
      </c>
      <c r="W40" s="101">
        <v>1453.14</v>
      </c>
      <c r="X40" s="101">
        <v>1005.54</v>
      </c>
      <c r="Y40" s="4">
        <v>442.27</v>
      </c>
      <c r="Z40" s="101">
        <v>17716.4</v>
      </c>
      <c r="AA40" s="107">
        <v>0</v>
      </c>
      <c r="AB40" s="107">
        <f t="shared" si="39"/>
        <v>21916.22</v>
      </c>
      <c r="AC40" s="122">
        <f t="shared" si="24"/>
        <v>26742.855000000003</v>
      </c>
      <c r="AD40" s="123">
        <f t="shared" si="25"/>
        <v>17716.4</v>
      </c>
      <c r="AE40" s="123">
        <f t="shared" si="26"/>
        <v>0</v>
      </c>
      <c r="AF40" s="123"/>
      <c r="AG40" s="31">
        <f t="shared" si="27"/>
        <v>429.17999999999995</v>
      </c>
      <c r="AH40" s="31">
        <f t="shared" si="28"/>
        <v>143.06</v>
      </c>
      <c r="AI40" s="31">
        <f t="shared" si="29"/>
        <v>715.3</v>
      </c>
      <c r="AJ40" s="31">
        <v>0</v>
      </c>
      <c r="AK40" s="31">
        <f t="shared" si="30"/>
        <v>700.9939999999999</v>
      </c>
      <c r="AL40" s="31">
        <v>0</v>
      </c>
      <c r="AM40" s="31">
        <f t="shared" si="31"/>
        <v>1609.425</v>
      </c>
      <c r="AN40" s="31">
        <v>0</v>
      </c>
      <c r="AO40" s="31"/>
      <c r="AP40" s="31"/>
      <c r="AQ40" s="128"/>
      <c r="AR40" s="128"/>
      <c r="AS40" s="105"/>
      <c r="AT40" s="105"/>
      <c r="AU40" s="105">
        <f>0*0.18</f>
        <v>0</v>
      </c>
      <c r="AV40" s="129"/>
      <c r="AW40" s="143">
        <v>26160</v>
      </c>
      <c r="AX40" s="31">
        <f t="shared" si="33"/>
        <v>36624</v>
      </c>
      <c r="AY40" s="130"/>
      <c r="AZ40" s="132"/>
      <c r="BA40" s="132">
        <f t="shared" si="34"/>
        <v>0</v>
      </c>
      <c r="BB40" s="132">
        <f t="shared" si="37"/>
        <v>40221.959</v>
      </c>
      <c r="BC40" s="139"/>
      <c r="BD40" s="31">
        <f t="shared" si="35"/>
        <v>-13479.104</v>
      </c>
      <c r="BE40" s="31">
        <f t="shared" si="36"/>
        <v>-16068.779999999999</v>
      </c>
    </row>
    <row r="41" spans="1:57" ht="13.5" thickBot="1">
      <c r="A41" s="53" t="s">
        <v>43</v>
      </c>
      <c r="B41" s="100">
        <v>715.3</v>
      </c>
      <c r="C41" s="134">
        <f t="shared" si="22"/>
        <v>6187.345</v>
      </c>
      <c r="D41" s="118">
        <f>C41-E41-F41-G41-H41-I41-J41-K41-L41-M41-N41+4090.8</f>
        <v>5255.025</v>
      </c>
      <c r="E41" s="101">
        <v>660.21</v>
      </c>
      <c r="F41" s="101">
        <v>0</v>
      </c>
      <c r="G41" s="101">
        <v>894.05</v>
      </c>
      <c r="H41" s="101">
        <v>0</v>
      </c>
      <c r="I41" s="101">
        <v>1738</v>
      </c>
      <c r="J41" s="101"/>
      <c r="K41" s="99">
        <v>1202.69</v>
      </c>
      <c r="L41" s="99">
        <v>0</v>
      </c>
      <c r="M41" s="147">
        <v>528.17</v>
      </c>
      <c r="N41" s="148">
        <v>0</v>
      </c>
      <c r="O41" s="101">
        <v>36816.5</v>
      </c>
      <c r="P41" s="107">
        <v>0</v>
      </c>
      <c r="Q41" s="107"/>
      <c r="R41" s="107"/>
      <c r="S41" s="101">
        <f t="shared" si="38"/>
        <v>41839.62</v>
      </c>
      <c r="T41" s="119">
        <f t="shared" si="23"/>
        <v>0</v>
      </c>
      <c r="U41" s="101">
        <v>732.62</v>
      </c>
      <c r="V41" s="101">
        <v>990.25</v>
      </c>
      <c r="W41" s="101">
        <v>1926.92</v>
      </c>
      <c r="X41" s="101">
        <v>1333.37</v>
      </c>
      <c r="Y41" s="4">
        <v>586.11</v>
      </c>
      <c r="Z41" s="101">
        <v>34536.58</v>
      </c>
      <c r="AA41" s="107">
        <v>0</v>
      </c>
      <c r="AB41" s="107">
        <f t="shared" si="39"/>
        <v>40105.85</v>
      </c>
      <c r="AC41" s="122">
        <f t="shared" si="24"/>
        <v>45360.875</v>
      </c>
      <c r="AD41" s="123">
        <f t="shared" si="25"/>
        <v>34536.58</v>
      </c>
      <c r="AE41" s="123">
        <f t="shared" si="26"/>
        <v>0</v>
      </c>
      <c r="AF41" s="123"/>
      <c r="AG41" s="31">
        <f t="shared" si="27"/>
        <v>429.17999999999995</v>
      </c>
      <c r="AH41" s="31">
        <f t="shared" si="28"/>
        <v>143.06</v>
      </c>
      <c r="AI41" s="31">
        <f t="shared" si="29"/>
        <v>715.3</v>
      </c>
      <c r="AJ41" s="31">
        <v>0</v>
      </c>
      <c r="AK41" s="31">
        <f t="shared" si="30"/>
        <v>700.9939999999999</v>
      </c>
      <c r="AL41" s="31">
        <v>0</v>
      </c>
      <c r="AM41" s="31">
        <f t="shared" si="31"/>
        <v>1609.425</v>
      </c>
      <c r="AN41" s="31">
        <v>0</v>
      </c>
      <c r="AO41" s="31"/>
      <c r="AP41" s="31"/>
      <c r="AQ41" s="128"/>
      <c r="AR41" s="128"/>
      <c r="AS41" s="105"/>
      <c r="AT41" s="105">
        <f>1653.1+599+463.56</f>
        <v>2715.66</v>
      </c>
      <c r="AU41" s="105">
        <v>83.44</v>
      </c>
      <c r="AV41" s="129"/>
      <c r="AW41" s="143">
        <v>35340</v>
      </c>
      <c r="AX41" s="31">
        <f t="shared" si="33"/>
        <v>49476</v>
      </c>
      <c r="AY41" s="130"/>
      <c r="AZ41" s="132"/>
      <c r="BA41" s="132">
        <f t="shared" si="34"/>
        <v>0</v>
      </c>
      <c r="BB41" s="132">
        <f t="shared" si="37"/>
        <v>55873.05900000001</v>
      </c>
      <c r="BC41" s="139"/>
      <c r="BD41" s="31">
        <f t="shared" si="35"/>
        <v>-10512.184000000008</v>
      </c>
      <c r="BE41" s="31">
        <f t="shared" si="36"/>
        <v>-1733.770000000004</v>
      </c>
    </row>
    <row r="42" spans="1:57" s="28" customFormat="1" ht="13.5" thickBot="1">
      <c r="A42" s="154" t="s">
        <v>5</v>
      </c>
      <c r="B42" s="159"/>
      <c r="C42" s="160">
        <f aca="true" t="shared" si="40" ref="C42:BD42">SUM(C30:C41)</f>
        <v>74248.14</v>
      </c>
      <c r="D42" s="160">
        <f t="shared" si="40"/>
        <v>78511.43999999999</v>
      </c>
      <c r="E42" s="160">
        <f t="shared" si="40"/>
        <v>7345.54</v>
      </c>
      <c r="F42" s="160">
        <f t="shared" si="40"/>
        <v>539.9399999999999</v>
      </c>
      <c r="G42" s="160">
        <f t="shared" si="40"/>
        <v>9948.59</v>
      </c>
      <c r="H42" s="160">
        <f t="shared" si="40"/>
        <v>731.9399999999999</v>
      </c>
      <c r="I42" s="160">
        <f t="shared" si="40"/>
        <v>19337.58</v>
      </c>
      <c r="J42" s="160">
        <f t="shared" si="40"/>
        <v>1422.06</v>
      </c>
      <c r="K42" s="160">
        <f t="shared" si="40"/>
        <v>13381.44</v>
      </c>
      <c r="L42" s="160">
        <f t="shared" si="40"/>
        <v>984.06</v>
      </c>
      <c r="M42" s="160">
        <f t="shared" si="40"/>
        <v>5876.35</v>
      </c>
      <c r="N42" s="160">
        <f t="shared" si="40"/>
        <v>432.06</v>
      </c>
      <c r="O42" s="160">
        <f t="shared" si="40"/>
        <v>249530.14</v>
      </c>
      <c r="P42" s="160">
        <f t="shared" si="40"/>
        <v>19791.36</v>
      </c>
      <c r="Q42" s="160">
        <f t="shared" si="40"/>
        <v>0</v>
      </c>
      <c r="R42" s="160">
        <f t="shared" si="40"/>
        <v>0</v>
      </c>
      <c r="S42" s="160">
        <f t="shared" si="40"/>
        <v>305419.64</v>
      </c>
      <c r="T42" s="160">
        <f t="shared" si="40"/>
        <v>23901.42</v>
      </c>
      <c r="U42" s="160">
        <f t="shared" si="40"/>
        <v>6339.639999999999</v>
      </c>
      <c r="V42" s="160">
        <f t="shared" si="40"/>
        <v>8369.41</v>
      </c>
      <c r="W42" s="160">
        <f t="shared" si="40"/>
        <v>16433.43</v>
      </c>
      <c r="X42" s="160">
        <f t="shared" si="40"/>
        <v>11369.379999999997</v>
      </c>
      <c r="Y42" s="160">
        <f t="shared" si="40"/>
        <v>5071.73</v>
      </c>
      <c r="Z42" s="160">
        <f t="shared" si="40"/>
        <v>209800.02000000002</v>
      </c>
      <c r="AA42" s="160">
        <f t="shared" si="40"/>
        <v>0</v>
      </c>
      <c r="AB42" s="160">
        <f t="shared" si="40"/>
        <v>257383.60999999996</v>
      </c>
      <c r="AC42" s="160">
        <f t="shared" si="40"/>
        <v>359796.47</v>
      </c>
      <c r="AD42" s="160">
        <f t="shared" si="40"/>
        <v>229591.38</v>
      </c>
      <c r="AE42" s="160">
        <f t="shared" si="40"/>
        <v>0</v>
      </c>
      <c r="AF42" s="160">
        <f t="shared" si="40"/>
        <v>0</v>
      </c>
      <c r="AG42" s="160">
        <f t="shared" si="40"/>
        <v>5150.16</v>
      </c>
      <c r="AH42" s="160">
        <f t="shared" si="40"/>
        <v>1716.7199999999996</v>
      </c>
      <c r="AI42" s="160">
        <f t="shared" si="40"/>
        <v>8583.6</v>
      </c>
      <c r="AJ42" s="160">
        <f t="shared" si="40"/>
        <v>0</v>
      </c>
      <c r="AK42" s="160">
        <f t="shared" si="40"/>
        <v>8411.927999999998</v>
      </c>
      <c r="AL42" s="160">
        <f t="shared" si="40"/>
        <v>0</v>
      </c>
      <c r="AM42" s="160">
        <f t="shared" si="40"/>
        <v>19313.099999999995</v>
      </c>
      <c r="AN42" s="160">
        <f t="shared" si="40"/>
        <v>0</v>
      </c>
      <c r="AO42" s="160">
        <f t="shared" si="40"/>
        <v>1927.8</v>
      </c>
      <c r="AP42" s="160">
        <f t="shared" si="40"/>
        <v>0</v>
      </c>
      <c r="AQ42" s="160">
        <f t="shared" si="40"/>
        <v>17372</v>
      </c>
      <c r="AR42" s="160">
        <f t="shared" si="40"/>
        <v>0</v>
      </c>
      <c r="AS42" s="160">
        <f t="shared" si="40"/>
        <v>5568</v>
      </c>
      <c r="AT42" s="160">
        <f t="shared" si="40"/>
        <v>7628.66</v>
      </c>
      <c r="AU42" s="160">
        <f t="shared" si="40"/>
        <v>83.44</v>
      </c>
      <c r="AV42" s="160">
        <f t="shared" si="40"/>
        <v>0</v>
      </c>
      <c r="AW42" s="160">
        <f t="shared" si="40"/>
        <v>219060</v>
      </c>
      <c r="AX42" s="160">
        <f t="shared" si="40"/>
        <v>306684</v>
      </c>
      <c r="AY42" s="160">
        <f t="shared" si="40"/>
        <v>0</v>
      </c>
      <c r="AZ42" s="160">
        <f t="shared" si="40"/>
        <v>0</v>
      </c>
      <c r="BA42" s="160">
        <f t="shared" si="40"/>
        <v>0</v>
      </c>
      <c r="BB42" s="160">
        <f t="shared" si="40"/>
        <v>382439.40800000005</v>
      </c>
      <c r="BC42" s="160">
        <f t="shared" si="40"/>
        <v>0</v>
      </c>
      <c r="BD42" s="160">
        <f t="shared" si="40"/>
        <v>-22642.93800000001</v>
      </c>
      <c r="BE42" s="160">
        <f>SUM(BE30:BE41)</f>
        <v>-48036.02999999999</v>
      </c>
    </row>
    <row r="43" spans="1:57" s="28" customFormat="1" ht="13.5" thickBot="1">
      <c r="A43" s="154"/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</row>
    <row r="44" spans="1:57" s="28" customFormat="1" ht="13.5" thickBot="1">
      <c r="A44" s="155" t="s">
        <v>54</v>
      </c>
      <c r="B44" s="164"/>
      <c r="C44" s="165">
        <f aca="true" t="shared" si="41" ref="C44:BD44">C42+C28</f>
        <v>167058.315</v>
      </c>
      <c r="D44" s="165">
        <f t="shared" si="41"/>
        <v>173588.09619795</v>
      </c>
      <c r="E44" s="165">
        <f t="shared" si="41"/>
        <v>15494.849999999999</v>
      </c>
      <c r="F44" s="165">
        <f t="shared" si="41"/>
        <v>1783.8600000000001</v>
      </c>
      <c r="G44" s="165">
        <f t="shared" si="41"/>
        <v>19599.29</v>
      </c>
      <c r="H44" s="165">
        <f t="shared" si="41"/>
        <v>1195.5700000000002</v>
      </c>
      <c r="I44" s="165">
        <f t="shared" si="41"/>
        <v>38743.03</v>
      </c>
      <c r="J44" s="165">
        <f t="shared" si="41"/>
        <v>4359.14</v>
      </c>
      <c r="K44" s="165">
        <f t="shared" si="41"/>
        <v>26603.090000000004</v>
      </c>
      <c r="L44" s="165">
        <f t="shared" si="41"/>
        <v>3013.18</v>
      </c>
      <c r="M44" s="165">
        <f t="shared" si="41"/>
        <v>12395.66</v>
      </c>
      <c r="N44" s="165">
        <f t="shared" si="41"/>
        <v>1427.35</v>
      </c>
      <c r="O44" s="165">
        <f t="shared" si="41"/>
        <v>408706.83999999997</v>
      </c>
      <c r="P44" s="165">
        <f t="shared" si="41"/>
        <v>38216.58</v>
      </c>
      <c r="Q44" s="165">
        <f t="shared" si="41"/>
        <v>0</v>
      </c>
      <c r="R44" s="165">
        <f t="shared" si="41"/>
        <v>0</v>
      </c>
      <c r="S44" s="165">
        <f t="shared" si="41"/>
        <v>521542.76</v>
      </c>
      <c r="T44" s="165">
        <f t="shared" si="41"/>
        <v>49995.67999999999</v>
      </c>
      <c r="U44" s="165">
        <f t="shared" si="41"/>
        <v>13239.939999999999</v>
      </c>
      <c r="V44" s="165">
        <f t="shared" si="41"/>
        <v>16694.21</v>
      </c>
      <c r="W44" s="165">
        <f t="shared" si="41"/>
        <v>32406.84</v>
      </c>
      <c r="X44" s="165">
        <f t="shared" si="41"/>
        <v>22406.239999999998</v>
      </c>
      <c r="Y44" s="165">
        <f t="shared" si="41"/>
        <v>10591.810000000001</v>
      </c>
      <c r="Z44" s="165">
        <f t="shared" si="41"/>
        <v>341544.73000000004</v>
      </c>
      <c r="AA44" s="165">
        <f t="shared" si="41"/>
        <v>0</v>
      </c>
      <c r="AB44" s="165">
        <f t="shared" si="41"/>
        <v>436883.7699999999</v>
      </c>
      <c r="AC44" s="165">
        <f t="shared" si="41"/>
        <v>660467.5461979499</v>
      </c>
      <c r="AD44" s="165">
        <f t="shared" si="41"/>
        <v>379761.31</v>
      </c>
      <c r="AE44" s="165">
        <f t="shared" si="41"/>
        <v>0</v>
      </c>
      <c r="AF44" s="165">
        <f t="shared" si="41"/>
        <v>0</v>
      </c>
      <c r="AG44" s="165">
        <f t="shared" si="41"/>
        <v>11416.187999999998</v>
      </c>
      <c r="AH44" s="165">
        <f t="shared" si="41"/>
        <v>3825.3614535999995</v>
      </c>
      <c r="AI44" s="165">
        <f t="shared" si="41"/>
        <v>17369.772630749998</v>
      </c>
      <c r="AJ44" s="165">
        <f t="shared" si="41"/>
        <v>1581.5110735350002</v>
      </c>
      <c r="AK44" s="165">
        <f t="shared" si="41"/>
        <v>17302.140987349994</v>
      </c>
      <c r="AL44" s="165">
        <f t="shared" si="41"/>
        <v>1600.2383377229999</v>
      </c>
      <c r="AM44" s="165">
        <f t="shared" si="41"/>
        <v>38781.837807315416</v>
      </c>
      <c r="AN44" s="165">
        <f t="shared" si="41"/>
        <v>3504.3728053167765</v>
      </c>
      <c r="AO44" s="165">
        <f t="shared" si="41"/>
        <v>1927.8</v>
      </c>
      <c r="AP44" s="165">
        <f t="shared" si="41"/>
        <v>0</v>
      </c>
      <c r="AQ44" s="165">
        <f t="shared" si="41"/>
        <v>37556.33</v>
      </c>
      <c r="AR44" s="165">
        <f t="shared" si="41"/>
        <v>3633.1794</v>
      </c>
      <c r="AS44" s="165">
        <f t="shared" si="41"/>
        <v>36577.759999999995</v>
      </c>
      <c r="AT44" s="165">
        <f t="shared" si="41"/>
        <v>26828.76</v>
      </c>
      <c r="AU44" s="165">
        <f t="shared" si="41"/>
        <v>9121.214799999998</v>
      </c>
      <c r="AV44" s="165"/>
      <c r="AW44" s="165"/>
      <c r="AX44" s="165">
        <f t="shared" si="41"/>
        <v>581603.232</v>
      </c>
      <c r="AY44" s="165">
        <f t="shared" si="41"/>
        <v>0</v>
      </c>
      <c r="AZ44" s="165">
        <f t="shared" si="41"/>
        <v>0</v>
      </c>
      <c r="BA44" s="165">
        <f t="shared" si="41"/>
        <v>0</v>
      </c>
      <c r="BB44" s="165">
        <f t="shared" si="41"/>
        <v>792629.6992955902</v>
      </c>
      <c r="BC44" s="165">
        <f t="shared" si="41"/>
        <v>0</v>
      </c>
      <c r="BD44" s="165">
        <f t="shared" si="41"/>
        <v>-132162.1530976402</v>
      </c>
      <c r="BE44" s="165">
        <f>BE42+BE28</f>
        <v>-84658.98999999999</v>
      </c>
    </row>
  </sheetData>
  <sheetProtection/>
  <mergeCells count="66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S3:T4"/>
    <mergeCell ref="U3:AB4"/>
    <mergeCell ref="AC3:AC6"/>
    <mergeCell ref="M4:N4"/>
    <mergeCell ref="O4:P4"/>
    <mergeCell ref="Q4:R4"/>
    <mergeCell ref="M5:M6"/>
    <mergeCell ref="N5:N6"/>
    <mergeCell ref="O5:O6"/>
    <mergeCell ref="Y5:Y6"/>
    <mergeCell ref="BC3:BC6"/>
    <mergeCell ref="BE3:BE6"/>
    <mergeCell ref="AH5:AH6"/>
    <mergeCell ref="AI5:AI6"/>
    <mergeCell ref="AJ5:AJ6"/>
    <mergeCell ref="AK5:AK6"/>
    <mergeCell ref="BD3:BD6"/>
    <mergeCell ref="BB5:BB6"/>
    <mergeCell ref="BA5:BA6"/>
    <mergeCell ref="AN5:AN6"/>
    <mergeCell ref="R5:R6"/>
    <mergeCell ref="S5:S6"/>
    <mergeCell ref="E5:E6"/>
    <mergeCell ref="F5:F6"/>
    <mergeCell ref="G5:G6"/>
    <mergeCell ref="H5:H6"/>
    <mergeCell ref="AL5:AL6"/>
    <mergeCell ref="AM5:AM6"/>
    <mergeCell ref="I5:I6"/>
    <mergeCell ref="J5:J6"/>
    <mergeCell ref="V5:V6"/>
    <mergeCell ref="W5:W6"/>
    <mergeCell ref="K5:K6"/>
    <mergeCell ref="L5:L6"/>
    <mergeCell ref="P5:P6"/>
    <mergeCell ref="Q5:Q6"/>
    <mergeCell ref="AZ5:AZ6"/>
    <mergeCell ref="Z5:Z6"/>
    <mergeCell ref="AA5:AA6"/>
    <mergeCell ref="AB5:AB6"/>
    <mergeCell ref="AG5:AG6"/>
    <mergeCell ref="AE3:AE6"/>
    <mergeCell ref="AG3:BB4"/>
    <mergeCell ref="AS5:AS6"/>
    <mergeCell ref="AQ5:AQ6"/>
    <mergeCell ref="AR5:AR6"/>
    <mergeCell ref="AV5:AX5"/>
    <mergeCell ref="AT5:AT6"/>
    <mergeCell ref="AU5:AU6"/>
    <mergeCell ref="AY5:AY6"/>
    <mergeCell ref="T5:T6"/>
    <mergeCell ref="U5:U6"/>
    <mergeCell ref="AO5:AO6"/>
    <mergeCell ref="AP5:AP6"/>
    <mergeCell ref="X5:X6"/>
    <mergeCell ref="AD3:A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8">
      <selection activeCell="E63" sqref="E63"/>
    </sheetView>
  </sheetViews>
  <sheetFormatPr defaultColWidth="9.00390625" defaultRowHeight="12.75"/>
  <cols>
    <col min="1" max="1" width="9.375" style="2" customWidth="1"/>
    <col min="2" max="2" width="9.75390625" style="2" customWidth="1"/>
    <col min="3" max="3" width="10.875" style="2" customWidth="1"/>
    <col min="4" max="4" width="10.25390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9.875" style="2" customWidth="1"/>
    <col min="14" max="14" width="10.375" style="2" customWidth="1"/>
    <col min="15" max="15" width="10.75390625" style="2" customWidth="1"/>
    <col min="16" max="16" width="13.125" style="2" customWidth="1"/>
    <col min="17" max="16384" width="9.125" style="2" customWidth="1"/>
  </cols>
  <sheetData>
    <row r="1" ht="18.75">
      <c r="E1" s="34" t="s">
        <v>55</v>
      </c>
    </row>
    <row r="2" ht="18.75">
      <c r="E2" s="34" t="s">
        <v>56</v>
      </c>
    </row>
    <row r="6" spans="1:15" ht="12.75">
      <c r="A6" s="357" t="s">
        <v>88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</row>
    <row r="7" spans="1:15" ht="12.75">
      <c r="A7" s="337" t="s">
        <v>90</v>
      </c>
      <c r="B7" s="337"/>
      <c r="C7" s="337"/>
      <c r="D7" s="337"/>
      <c r="E7" s="337"/>
      <c r="F7" s="337"/>
      <c r="G7" s="337"/>
      <c r="H7" s="113"/>
      <c r="I7" s="113"/>
      <c r="J7" s="113"/>
      <c r="K7" s="113"/>
      <c r="L7" s="113"/>
      <c r="M7" s="113"/>
      <c r="N7" s="113"/>
      <c r="O7" s="113"/>
    </row>
    <row r="8" spans="1:15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5" ht="13.5" thickBot="1">
      <c r="A9" s="36" t="s">
        <v>57</v>
      </c>
      <c r="D9" s="4"/>
      <c r="E9" s="36">
        <v>8.65</v>
      </c>
    </row>
    <row r="10" spans="1:16" ht="12.75" customHeight="1">
      <c r="A10" s="327" t="s">
        <v>58</v>
      </c>
      <c r="B10" s="359" t="s">
        <v>1</v>
      </c>
      <c r="C10" s="362" t="s">
        <v>59</v>
      </c>
      <c r="D10" s="365" t="s">
        <v>3</v>
      </c>
      <c r="E10" s="368" t="s">
        <v>60</v>
      </c>
      <c r="F10" s="369"/>
      <c r="G10" s="338" t="s">
        <v>75</v>
      </c>
      <c r="H10" s="338"/>
      <c r="I10" s="372" t="s">
        <v>10</v>
      </c>
      <c r="J10" s="306"/>
      <c r="K10" s="306"/>
      <c r="L10" s="306"/>
      <c r="M10" s="306"/>
      <c r="N10" s="373"/>
      <c r="O10" s="344" t="s">
        <v>61</v>
      </c>
      <c r="P10" s="344" t="s">
        <v>12</v>
      </c>
    </row>
    <row r="11" spans="1:16" ht="12.75">
      <c r="A11" s="328"/>
      <c r="B11" s="360"/>
      <c r="C11" s="363"/>
      <c r="D11" s="366"/>
      <c r="E11" s="370"/>
      <c r="F11" s="371"/>
      <c r="G11" s="339"/>
      <c r="H11" s="339"/>
      <c r="I11" s="374"/>
      <c r="J11" s="299"/>
      <c r="K11" s="299"/>
      <c r="L11" s="299"/>
      <c r="M11" s="299"/>
      <c r="N11" s="375"/>
      <c r="O11" s="345"/>
      <c r="P11" s="345"/>
    </row>
    <row r="12" spans="1:16" ht="26.25" customHeight="1">
      <c r="A12" s="328"/>
      <c r="B12" s="360"/>
      <c r="C12" s="363"/>
      <c r="D12" s="366"/>
      <c r="E12" s="347" t="s">
        <v>62</v>
      </c>
      <c r="F12" s="348"/>
      <c r="G12" s="38" t="s">
        <v>63</v>
      </c>
      <c r="H12" s="349" t="s">
        <v>7</v>
      </c>
      <c r="I12" s="351" t="s">
        <v>64</v>
      </c>
      <c r="J12" s="353" t="s">
        <v>32</v>
      </c>
      <c r="K12" s="353" t="s">
        <v>65</v>
      </c>
      <c r="L12" s="353" t="s">
        <v>37</v>
      </c>
      <c r="M12" s="353" t="s">
        <v>66</v>
      </c>
      <c r="N12" s="355" t="s">
        <v>39</v>
      </c>
      <c r="O12" s="345"/>
      <c r="P12" s="345"/>
    </row>
    <row r="13" spans="1:16" ht="66.75" customHeight="1" thickBot="1">
      <c r="A13" s="358"/>
      <c r="B13" s="361"/>
      <c r="C13" s="364"/>
      <c r="D13" s="367"/>
      <c r="E13" s="39" t="s">
        <v>67</v>
      </c>
      <c r="F13" s="40" t="s">
        <v>21</v>
      </c>
      <c r="G13" s="41" t="s">
        <v>76</v>
      </c>
      <c r="H13" s="350"/>
      <c r="I13" s="352"/>
      <c r="J13" s="354"/>
      <c r="K13" s="354"/>
      <c r="L13" s="354"/>
      <c r="M13" s="354"/>
      <c r="N13" s="356"/>
      <c r="O13" s="346"/>
      <c r="P13" s="346"/>
    </row>
    <row r="14" spans="1:16" ht="13.5" thickBot="1">
      <c r="A14" s="42">
        <v>1</v>
      </c>
      <c r="B14" s="43">
        <v>2</v>
      </c>
      <c r="C14" s="42">
        <v>3</v>
      </c>
      <c r="D14" s="43">
        <v>4</v>
      </c>
      <c r="E14" s="42">
        <v>5</v>
      </c>
      <c r="F14" s="43">
        <v>6</v>
      </c>
      <c r="G14" s="42">
        <v>7</v>
      </c>
      <c r="H14" s="43">
        <v>8</v>
      </c>
      <c r="I14" s="42">
        <v>9</v>
      </c>
      <c r="J14" s="43">
        <v>10</v>
      </c>
      <c r="K14" s="42">
        <v>11</v>
      </c>
      <c r="L14" s="43">
        <v>12</v>
      </c>
      <c r="M14" s="42">
        <v>13</v>
      </c>
      <c r="N14" s="43">
        <v>14</v>
      </c>
      <c r="O14" s="42">
        <v>15</v>
      </c>
      <c r="P14" s="44">
        <v>16</v>
      </c>
    </row>
    <row r="15" spans="1:16" ht="12.75" hidden="1">
      <c r="A15" s="8" t="s">
        <v>40</v>
      </c>
      <c r="B15" s="9"/>
      <c r="C15" s="37"/>
      <c r="D15" s="8"/>
      <c r="E15" s="9"/>
      <c r="F15" s="10"/>
      <c r="G15" s="45"/>
      <c r="H15" s="37"/>
      <c r="I15" s="8"/>
      <c r="J15" s="9"/>
      <c r="K15" s="9"/>
      <c r="L15" s="9"/>
      <c r="M15" s="9"/>
      <c r="N15" s="10"/>
      <c r="O15" s="46"/>
      <c r="P15" s="47"/>
    </row>
    <row r="16" spans="1:16" ht="12.75" hidden="1">
      <c r="A16" s="13" t="s">
        <v>41</v>
      </c>
      <c r="B16" s="14">
        <f>Лист1!B9</f>
        <v>715.3</v>
      </c>
      <c r="C16" s="48">
        <f>Лист1!C9</f>
        <v>6187.345</v>
      </c>
      <c r="D16" s="49">
        <f>Лист1!D9</f>
        <v>1490.4076636000002</v>
      </c>
      <c r="E16" s="19">
        <f>Лист1!S9</f>
        <v>3024.5699999999997</v>
      </c>
      <c r="F16" s="21">
        <f>Лист1!T9</f>
        <v>475.62000000000006</v>
      </c>
      <c r="G16" s="50">
        <f>Лист1!AB9</f>
        <v>0</v>
      </c>
      <c r="H16" s="50">
        <f>Лист1!AC9</f>
        <v>1966.0276636000003</v>
      </c>
      <c r="I16" s="51">
        <f>Лист1!AG9</f>
        <v>429.17999999999995</v>
      </c>
      <c r="J16" s="19">
        <f>Лист1!AI9+Лист1!AJ9</f>
        <v>718.9651971999999</v>
      </c>
      <c r="K16" s="19">
        <f>Лист1!AH9+Лист1!AK9+Лист1!AL9+Лист1!AM9+Лист1!AN9+Лист1!AO9+Лист1!AP9</f>
        <v>2524.5748844299997</v>
      </c>
      <c r="L16" s="20">
        <f>Лист1!AS9+Лист1!AU9</f>
        <v>0</v>
      </c>
      <c r="M16" s="20">
        <f>Лист1!AX9</f>
        <v>0</v>
      </c>
      <c r="N16" s="21">
        <f>Лист1!BB9</f>
        <v>3672.7200816299996</v>
      </c>
      <c r="O16" s="52">
        <f>Лист1!BD9</f>
        <v>-1706.6924180299993</v>
      </c>
      <c r="P16" s="52">
        <f>Лист1!BE9</f>
        <v>-3024.5699999999997</v>
      </c>
    </row>
    <row r="17" spans="1:16" ht="12.75" hidden="1">
      <c r="A17" s="13" t="s">
        <v>42</v>
      </c>
      <c r="B17" s="14">
        <f>Лист1!B10</f>
        <v>715.3</v>
      </c>
      <c r="C17" s="48">
        <f>Лист1!C10</f>
        <v>6187.345</v>
      </c>
      <c r="D17" s="49">
        <f>Лист1!D10</f>
        <v>1490.4076636000002</v>
      </c>
      <c r="E17" s="19">
        <f>Лист1!S10</f>
        <v>2977.07</v>
      </c>
      <c r="F17" s="21">
        <f>Лист1!T10</f>
        <v>475.62000000000006</v>
      </c>
      <c r="G17" s="50">
        <f>Лист1!AB10</f>
        <v>2660.9200000000005</v>
      </c>
      <c r="H17" s="50">
        <f>Лист1!AC10</f>
        <v>4626.947663600001</v>
      </c>
      <c r="I17" s="51">
        <f>Лист1!AG10</f>
        <v>429.17999999999995</v>
      </c>
      <c r="J17" s="19">
        <f>Лист1!AI10+Лист1!AJ10</f>
        <v>718.9651971999999</v>
      </c>
      <c r="K17" s="19">
        <f>Лист1!AH10+Лист1!AK10+Лист1!AL10+Лист1!AM10+Лист1!AN10+Лист1!AO10+Лист1!AP10</f>
        <v>2516.95550883</v>
      </c>
      <c r="L17" s="20">
        <f>Лист1!AS10+Лист1!AU10</f>
        <v>0</v>
      </c>
      <c r="M17" s="20">
        <f>Лист1!AX10</f>
        <v>0</v>
      </c>
      <c r="N17" s="21">
        <f>Лист1!BB10</f>
        <v>3665.10070603</v>
      </c>
      <c r="O17" s="52">
        <f>Лист1!BD10</f>
        <v>961.846957570001</v>
      </c>
      <c r="P17" s="52">
        <f>Лист1!BE10</f>
        <v>-316.14999999999964</v>
      </c>
    </row>
    <row r="18" spans="1:18" ht="13.5" hidden="1" thickBot="1">
      <c r="A18" s="53" t="s">
        <v>43</v>
      </c>
      <c r="B18" s="79">
        <f>Лист1!B11</f>
        <v>715.3</v>
      </c>
      <c r="C18" s="54">
        <f>Лист1!C11</f>
        <v>6187.345</v>
      </c>
      <c r="D18" s="80">
        <f>Лист1!D11</f>
        <v>1487.1283707500002</v>
      </c>
      <c r="E18" s="81">
        <f>Лист1!S11</f>
        <v>3491.2</v>
      </c>
      <c r="F18" s="85">
        <f>Лист1!T11</f>
        <v>549</v>
      </c>
      <c r="G18" s="82">
        <f>Лист1!AB11</f>
        <v>3965.13</v>
      </c>
      <c r="H18" s="82">
        <f>Лист1!AC11</f>
        <v>6001.25837075</v>
      </c>
      <c r="I18" s="83">
        <f>Лист1!AG11</f>
        <v>429.17999999999995</v>
      </c>
      <c r="J18" s="81">
        <f>Лист1!AI11+Лист1!AJ11</f>
        <v>716.8719432799999</v>
      </c>
      <c r="K18" s="81">
        <f>Лист1!AH11+Лист1!AK11+Лист1!AL11+Лист1!AM11+Лист1!AN11+Лист1!AO11+Лист1!AP11</f>
        <v>2512.953855969</v>
      </c>
      <c r="L18" s="84">
        <f>Лист1!AS11+Лист1!AU11</f>
        <v>424.8</v>
      </c>
      <c r="M18" s="84">
        <f>Лист1!AX11</f>
        <v>0</v>
      </c>
      <c r="N18" s="85">
        <f>Лист1!BB11</f>
        <v>4083.805799249</v>
      </c>
      <c r="O18" s="52">
        <f>Лист1!BD11</f>
        <v>1917.452571501</v>
      </c>
      <c r="P18" s="86">
        <f>Лист1!BE11</f>
        <v>473.9300000000003</v>
      </c>
      <c r="Q18" s="1"/>
      <c r="R18" s="1"/>
    </row>
    <row r="19" spans="1:18" s="28" customFormat="1" ht="13.5" hidden="1" thickBot="1">
      <c r="A19" s="55" t="s">
        <v>5</v>
      </c>
      <c r="B19" s="90"/>
      <c r="C19" s="91">
        <f>SUM(C16:C18)</f>
        <v>18562.035</v>
      </c>
      <c r="D19" s="98">
        <f aca="true" t="shared" si="0" ref="D19:P19">SUM(D16:D18)</f>
        <v>4467.943697950001</v>
      </c>
      <c r="E19" s="91">
        <f t="shared" si="0"/>
        <v>9492.84</v>
      </c>
      <c r="F19" s="92">
        <f t="shared" si="0"/>
        <v>1500.2400000000002</v>
      </c>
      <c r="G19" s="97">
        <f t="shared" si="0"/>
        <v>6626.050000000001</v>
      </c>
      <c r="H19" s="91">
        <f t="shared" si="0"/>
        <v>12594.233697950001</v>
      </c>
      <c r="I19" s="91">
        <f t="shared" si="0"/>
        <v>1287.54</v>
      </c>
      <c r="J19" s="91">
        <f t="shared" si="0"/>
        <v>2154.8023376799997</v>
      </c>
      <c r="K19" s="91">
        <f t="shared" si="0"/>
        <v>7554.484249229</v>
      </c>
      <c r="L19" s="91">
        <f t="shared" si="0"/>
        <v>424.8</v>
      </c>
      <c r="M19" s="91">
        <f t="shared" si="0"/>
        <v>0</v>
      </c>
      <c r="N19" s="91">
        <f t="shared" si="0"/>
        <v>11421.626586908998</v>
      </c>
      <c r="O19" s="91">
        <f t="shared" si="0"/>
        <v>1172.6071110410016</v>
      </c>
      <c r="P19" s="92">
        <f t="shared" si="0"/>
        <v>-2866.789999999999</v>
      </c>
      <c r="Q19" s="62"/>
      <c r="R19" s="63"/>
    </row>
    <row r="20" spans="1:18" ht="12.75" hidden="1">
      <c r="A20" s="8" t="s">
        <v>44</v>
      </c>
      <c r="B20" s="87"/>
      <c r="C20" s="64"/>
      <c r="D20" s="65"/>
      <c r="E20" s="66"/>
      <c r="F20" s="67"/>
      <c r="G20" s="68"/>
      <c r="H20" s="68"/>
      <c r="I20" s="69"/>
      <c r="J20" s="66"/>
      <c r="K20" s="66"/>
      <c r="L20" s="88"/>
      <c r="M20" s="88"/>
      <c r="N20" s="67"/>
      <c r="O20" s="89"/>
      <c r="P20" s="89"/>
      <c r="Q20" s="1"/>
      <c r="R20" s="1"/>
    </row>
    <row r="21" spans="1:18" ht="12.75" hidden="1">
      <c r="A21" s="13" t="s">
        <v>45</v>
      </c>
      <c r="B21" s="14">
        <f>Лист1!B14</f>
        <v>715.3</v>
      </c>
      <c r="C21" s="48">
        <f>Лист1!C14</f>
        <v>6187.345</v>
      </c>
      <c r="D21" s="49">
        <f>Лист1!D14</f>
        <v>5519.498125</v>
      </c>
      <c r="E21" s="19">
        <f>Лист1!S14</f>
        <v>11173.86</v>
      </c>
      <c r="F21" s="21">
        <f>Лист1!T14</f>
        <v>1184.53</v>
      </c>
      <c r="G21" s="50">
        <f>Лист1!AB14</f>
        <v>7616.299999999999</v>
      </c>
      <c r="H21" s="50">
        <f>Лист1!AC14</f>
        <v>14320.328125</v>
      </c>
      <c r="I21" s="51">
        <f>Лист1!AG14</f>
        <v>386.26199999999994</v>
      </c>
      <c r="J21" s="19">
        <f>Лист1!AI14+Лист1!AJ14</f>
        <v>622.0019953</v>
      </c>
      <c r="K21" s="19">
        <f>Лист1!AH14+Лист1!AK14+Лист1!AL14+Лист1!AM14+Лист1!AN14+Лист1!AO14+Лист1!AP14</f>
        <v>2136.214537574</v>
      </c>
      <c r="L21" s="20">
        <f>Лист1!AQ14+Лист1!AR14+Лист1!AS14+Лист1!AU14+Лист1!AZ14+Лист1!BA14</f>
        <v>0</v>
      </c>
      <c r="M21" s="20">
        <f>Лист1!AX14</f>
        <v>53841.984000000004</v>
      </c>
      <c r="N21" s="21">
        <f>Лист1!BB14</f>
        <v>3144.4785328739995</v>
      </c>
      <c r="O21" s="52">
        <f>Лист1!BD14</f>
        <v>11175.849592126</v>
      </c>
      <c r="P21" s="52">
        <f>Лист1!BE14</f>
        <v>-3557.5600000000013</v>
      </c>
      <c r="Q21" s="1"/>
      <c r="R21" s="1"/>
    </row>
    <row r="22" spans="1:18" ht="12.75" hidden="1">
      <c r="A22" s="13" t="s">
        <v>46</v>
      </c>
      <c r="B22" s="14">
        <f>Лист1!B15</f>
        <v>715.3</v>
      </c>
      <c r="C22" s="48">
        <f>Лист1!C15</f>
        <v>6187.345</v>
      </c>
      <c r="D22" s="49">
        <f>Лист1!D15</f>
        <v>5489.948125</v>
      </c>
      <c r="E22" s="19">
        <f>Лист1!S15</f>
        <v>10919.18</v>
      </c>
      <c r="F22" s="21">
        <f>Лист1!T15</f>
        <v>1439.2</v>
      </c>
      <c r="G22" s="50">
        <f>Лист1!AB15</f>
        <v>9653.95</v>
      </c>
      <c r="H22" s="50">
        <f>Лист1!AC15</f>
        <v>16583.098125</v>
      </c>
      <c r="I22" s="51">
        <f>Лист1!AG15</f>
        <v>386.26199999999994</v>
      </c>
      <c r="J22" s="19">
        <f>Лист1!AI15+Лист1!AJ15</f>
        <v>622.0255953</v>
      </c>
      <c r="K22" s="19">
        <f>Лист1!AH15+Лист1!AK15+Лист1!AL15+Лист1!AM15+Лист1!AN15+Лист1!AO15+Лист1!AP15</f>
        <v>2139.2984104639995</v>
      </c>
      <c r="L22" s="20">
        <f>Лист1!AQ15+Лист1!AR15+Лист1!AS15+Лист1!AU15+Лист1!AZ15+Лист1!BA15</f>
        <v>5620.34</v>
      </c>
      <c r="M22" s="20">
        <f>Лист1!AX15</f>
        <v>43454.208000000006</v>
      </c>
      <c r="N22" s="21">
        <f>Лист1!BB15</f>
        <v>8767.926005763999</v>
      </c>
      <c r="O22" s="52">
        <f>Лист1!BD15</f>
        <v>7815.172119236002</v>
      </c>
      <c r="P22" s="52">
        <f>Лист1!BE15</f>
        <v>-1265.2299999999996</v>
      </c>
      <c r="Q22" s="1"/>
      <c r="R22" s="1"/>
    </row>
    <row r="23" spans="1:18" ht="12.75" hidden="1">
      <c r="A23" s="13" t="s">
        <v>47</v>
      </c>
      <c r="B23" s="14">
        <f>Лист1!B16</f>
        <v>715.3</v>
      </c>
      <c r="C23" s="48">
        <f>Лист1!C16</f>
        <v>6187.345</v>
      </c>
      <c r="D23" s="49">
        <f>Лист1!D16</f>
        <v>7211.068125</v>
      </c>
      <c r="E23" s="19">
        <f>Лист1!S16</f>
        <v>10919.18</v>
      </c>
      <c r="F23" s="21">
        <f>Лист1!T16</f>
        <v>1439.2</v>
      </c>
      <c r="G23" s="50">
        <f>Лист1!AB16</f>
        <v>11314.17</v>
      </c>
      <c r="H23" s="50">
        <f>Лист1!AC16</f>
        <v>19964.438125</v>
      </c>
      <c r="I23" s="51">
        <f>Лист1!AG16</f>
        <v>386.26199999999994</v>
      </c>
      <c r="J23" s="19">
        <f>Лист1!AI16+Лист1!AJ16</f>
        <v>622.3843182500001</v>
      </c>
      <c r="K23" s="19">
        <f>Лист1!AH16+Лист1!AK16+Лист1!AL16+Лист1!AM16+Лист1!AN16+Лист1!AO16+Лист1!AP16</f>
        <v>2068.137576794</v>
      </c>
      <c r="L23" s="20">
        <f>Лист1!AQ16+Лист1!AR16+Лист1!AS16+Лист1!AU16+Лист1!AZ16+Лист1!BA16</f>
        <v>0</v>
      </c>
      <c r="M23" s="20">
        <f>Лист1!AX16</f>
        <v>38617.152</v>
      </c>
      <c r="N23" s="21">
        <f>Лист1!BB16</f>
        <v>3076.783895044</v>
      </c>
      <c r="O23" s="52">
        <f>Лист1!BD16</f>
        <v>16887.654229956002</v>
      </c>
      <c r="P23" s="52">
        <f>Лист1!BE16</f>
        <v>394.9899999999998</v>
      </c>
      <c r="Q23" s="1"/>
      <c r="R23" s="1"/>
    </row>
    <row r="24" spans="1:18" ht="12.75" hidden="1">
      <c r="A24" s="13" t="s">
        <v>48</v>
      </c>
      <c r="B24" s="14">
        <f>Лист1!B17</f>
        <v>715.3</v>
      </c>
      <c r="C24" s="48">
        <f>Лист1!C17</f>
        <v>6187.345</v>
      </c>
      <c r="D24" s="49">
        <f>Лист1!D17</f>
        <v>7277.778125</v>
      </c>
      <c r="E24" s="19">
        <f>Лист1!S17</f>
        <v>13177.53</v>
      </c>
      <c r="F24" s="21">
        <f>Лист1!T17</f>
        <v>1640.39</v>
      </c>
      <c r="G24" s="50">
        <f>Лист1!AB17</f>
        <v>9347.720000000001</v>
      </c>
      <c r="H24" s="50">
        <f>Лист1!AC17</f>
        <v>18265.888125</v>
      </c>
      <c r="I24" s="51">
        <f>Лист1!AG17</f>
        <v>386.26199999999994</v>
      </c>
      <c r="J24" s="19">
        <f>Лист1!AI17+Лист1!AJ17</f>
        <v>640.9661670599999</v>
      </c>
      <c r="K24" s="19">
        <f>Лист1!AH17+Лист1!AK17+Лист1!AL17+Лист1!AM17+Лист1!AN17+Лист1!AO17+Лист1!AP17</f>
        <v>2097.440828408</v>
      </c>
      <c r="L24" s="20">
        <f>Лист1!AQ17+Лист1!AR17+Лист1!AS17+Лист1!AU17+Лист1!AZ17+Лист1!BA17</f>
        <v>16886.1894</v>
      </c>
      <c r="M24" s="20">
        <f>Лист1!AX17</f>
        <v>38617.152</v>
      </c>
      <c r="N24" s="21">
        <f>Лист1!BB17</f>
        <v>194541.35439546802</v>
      </c>
      <c r="O24" s="52">
        <f>Лист1!BD17</f>
        <v>-176275.46627046802</v>
      </c>
      <c r="P24" s="52">
        <f>Лист1!BE17</f>
        <v>-3829.8099999999995</v>
      </c>
      <c r="Q24" s="1"/>
      <c r="R24" s="1"/>
    </row>
    <row r="25" spans="1:18" ht="12.75" hidden="1">
      <c r="A25" s="13" t="s">
        <v>49</v>
      </c>
      <c r="B25" s="14">
        <f>Лист1!B18</f>
        <v>715.3</v>
      </c>
      <c r="C25" s="48">
        <f>Лист1!C18</f>
        <v>6187.345</v>
      </c>
      <c r="D25" s="49">
        <f>Лист1!D18</f>
        <v>4298.965000000001</v>
      </c>
      <c r="E25" s="19">
        <f>Лист1!S18</f>
        <v>9191.400000000001</v>
      </c>
      <c r="F25" s="21">
        <f>Лист1!T18</f>
        <v>1039.04</v>
      </c>
      <c r="G25" s="50">
        <f>Лист1!AB18</f>
        <v>8632.8</v>
      </c>
      <c r="H25" s="50">
        <f>Лист1!AC18</f>
        <v>13970.805</v>
      </c>
      <c r="I25" s="51">
        <f>Лист1!AG18</f>
        <v>429.17999999999995</v>
      </c>
      <c r="J25" s="19">
        <f>Лист1!AI18+Лист1!AJ18</f>
        <v>717.4458999999999</v>
      </c>
      <c r="K25" s="19">
        <f>Лист1!AH18+Лист1!AK18+Лист1!AL18+Лист1!AM18+Лист1!AN18+Лист1!AO18+Лист1!AP18</f>
        <v>2457.19856</v>
      </c>
      <c r="L25" s="20">
        <f>Лист1!AQ18+Лист1!AR18+Лист1!AS18+Лист1!AU18+Лист1!AZ18+Лист1!BA18</f>
        <v>0</v>
      </c>
      <c r="M25" s="20">
        <f>Лист1!AX18</f>
        <v>9356.928</v>
      </c>
      <c r="N25" s="21">
        <f>Лист1!BB18</f>
        <v>12960.75246</v>
      </c>
      <c r="O25" s="52">
        <f>Лист1!BD18</f>
        <v>1010.0525400000006</v>
      </c>
      <c r="P25" s="52">
        <f>Лист1!BE18</f>
        <v>-558.6000000000022</v>
      </c>
      <c r="Q25" s="1"/>
      <c r="R25" s="1"/>
    </row>
    <row r="26" spans="1:18" ht="12.75" hidden="1">
      <c r="A26" s="13" t="s">
        <v>50</v>
      </c>
      <c r="B26" s="14">
        <f>Лист1!B19</f>
        <v>715.3</v>
      </c>
      <c r="C26" s="48">
        <f>Лист1!C19</f>
        <v>6187.345</v>
      </c>
      <c r="D26" s="49">
        <f>Лист1!D19</f>
        <v>14323.495</v>
      </c>
      <c r="E26" s="19">
        <f>Лист1!S19</f>
        <v>14405.81</v>
      </c>
      <c r="F26" s="21">
        <f>Лист1!T19</f>
        <v>1907.08</v>
      </c>
      <c r="G26" s="50">
        <f>Лист1!AB19</f>
        <v>8087.94</v>
      </c>
      <c r="H26" s="50">
        <f>Лист1!AC19</f>
        <v>24318.515</v>
      </c>
      <c r="I26" s="51">
        <f>Лист1!AG19</f>
        <v>429.17999999999995</v>
      </c>
      <c r="J26" s="19">
        <f>Лист1!AI19+Лист1!AJ19</f>
        <v>717.4458999999999</v>
      </c>
      <c r="K26" s="19">
        <f>Лист1!AH19+Лист1!AK19+Лист1!AL19+Лист1!AM19+Лист1!AN19+Лист1!AO19+Лист1!AP19</f>
        <v>2457.262937</v>
      </c>
      <c r="L26" s="20">
        <f>Лист1!AQ19+Лист1!AR19+Лист1!AS19+Лист1!AU19+Лист1!AZ19+Лист1!BA19</f>
        <v>0</v>
      </c>
      <c r="M26" s="20">
        <f>Лист1!AX19</f>
        <v>0</v>
      </c>
      <c r="N26" s="21">
        <f>Лист1!BB19</f>
        <v>3603.888837</v>
      </c>
      <c r="O26" s="52">
        <f>Лист1!BD19</f>
        <v>20714.626163</v>
      </c>
      <c r="P26" s="52">
        <f>Лист1!BE19</f>
        <v>-6317.87</v>
      </c>
      <c r="Q26" s="1"/>
      <c r="R26" s="1"/>
    </row>
    <row r="27" spans="1:18" ht="12.75" hidden="1">
      <c r="A27" s="13" t="s">
        <v>51</v>
      </c>
      <c r="B27" s="14">
        <f>Лист1!B20</f>
        <v>715.3</v>
      </c>
      <c r="C27" s="48">
        <f>Лист1!C20</f>
        <v>6187.345</v>
      </c>
      <c r="D27" s="49">
        <f>Лист1!D20</f>
        <v>6545.035</v>
      </c>
      <c r="E27" s="19">
        <f>Лист1!S20</f>
        <v>14785.81</v>
      </c>
      <c r="F27" s="21">
        <f>Лист1!T20</f>
        <v>1685.3899999999999</v>
      </c>
      <c r="G27" s="50">
        <f>Лист1!AB20</f>
        <v>9599.52</v>
      </c>
      <c r="H27" s="50">
        <f>Лист1!AC20</f>
        <v>17829.945</v>
      </c>
      <c r="I27" s="51">
        <f>Лист1!AG20</f>
        <v>429.17999999999995</v>
      </c>
      <c r="J27" s="19">
        <f>Лист1!AI20+Лист1!AJ20</f>
        <v>707.18642363</v>
      </c>
      <c r="K27" s="19">
        <f>Лист1!AH20+Лист1!AK20+Лист1!AL20+Лист1!AM20+Лист1!AN20+Лист1!AO20+Лист1!AP20</f>
        <v>2432.97606998</v>
      </c>
      <c r="L27" s="20">
        <f>Лист1!AQ20+Лист1!AR20+Лист1!AS20+Лист1!AU20+Лист1!AZ20+Лист1!BA20</f>
        <v>0</v>
      </c>
      <c r="M27" s="20">
        <f>Лист1!AX20</f>
        <v>0</v>
      </c>
      <c r="N27" s="21">
        <f>Лист1!BB20</f>
        <v>3569.34249361</v>
      </c>
      <c r="O27" s="52">
        <f>Лист1!BD20</f>
        <v>14260.60250639</v>
      </c>
      <c r="P27" s="52">
        <f>Лист1!BE20</f>
        <v>-5186.289999999999</v>
      </c>
      <c r="Q27" s="1"/>
      <c r="R27" s="1"/>
    </row>
    <row r="28" spans="1:18" ht="12.75" hidden="1">
      <c r="A28" s="13" t="s">
        <v>52</v>
      </c>
      <c r="B28" s="14">
        <f>Лист1!B21</f>
        <v>715.3</v>
      </c>
      <c r="C28" s="48">
        <f>Лист1!C21</f>
        <v>6187.345</v>
      </c>
      <c r="D28" s="49">
        <f>Лист1!D21</f>
        <v>4653.345</v>
      </c>
      <c r="E28" s="19">
        <f>Лист1!S21</f>
        <v>14785.81</v>
      </c>
      <c r="F28" s="21">
        <f>Лист1!T21</f>
        <v>1685.3899999999999</v>
      </c>
      <c r="G28" s="50">
        <f>Лист1!AB21</f>
        <v>9659.970000000001</v>
      </c>
      <c r="H28" s="50">
        <f>Лист1!AC21</f>
        <v>15998.705000000002</v>
      </c>
      <c r="I28" s="51">
        <f>Лист1!AG21</f>
        <v>429.17999999999995</v>
      </c>
      <c r="J28" s="19">
        <f>Лист1!AI21+Лист1!AJ21</f>
        <v>706.870747434</v>
      </c>
      <c r="K28" s="19">
        <f>Лист1!AH21+Лист1!AK21+Лист1!AL21+Лист1!AM21+Лист1!AN21+Лист1!AO21+Лист1!AP21</f>
        <v>2432.4620554000003</v>
      </c>
      <c r="L28" s="20">
        <f>Лист1!AQ21+Лист1!AR21+Лист1!AS21+Лист1!AU21+Лист1!AZ21+Лист1!BA21</f>
        <v>37974.186799999996</v>
      </c>
      <c r="M28" s="20">
        <f>Лист1!AX21</f>
        <v>0</v>
      </c>
      <c r="N28" s="21">
        <f>Лист1!BB21</f>
        <v>56658.199602834</v>
      </c>
      <c r="O28" s="52">
        <f>Лист1!BD21</f>
        <v>-40659.494602834</v>
      </c>
      <c r="P28" s="52">
        <f>Лист1!BE21</f>
        <v>-5125.839999999998</v>
      </c>
      <c r="Q28" s="1"/>
      <c r="R28" s="1"/>
    </row>
    <row r="29" spans="1:18" ht="12.75" hidden="1">
      <c r="A29" s="13" t="s">
        <v>53</v>
      </c>
      <c r="B29" s="14">
        <f>Лист1!B22</f>
        <v>715.3</v>
      </c>
      <c r="C29" s="48">
        <f>Лист1!C22</f>
        <v>6187.345</v>
      </c>
      <c r="D29" s="49">
        <f>Лист1!D22</f>
        <v>9918.395</v>
      </c>
      <c r="E29" s="19">
        <f>Лист1!S22</f>
        <v>14785.81</v>
      </c>
      <c r="F29" s="21">
        <f>Лист1!T22</f>
        <v>1685.3899999999999</v>
      </c>
      <c r="G29" s="50">
        <f>Лист1!AB22</f>
        <v>14089.54</v>
      </c>
      <c r="H29" s="50">
        <f>Лист1!AC22</f>
        <v>25693.325</v>
      </c>
      <c r="I29" s="51">
        <f>Лист1!AG22</f>
        <v>429.17999999999995</v>
      </c>
      <c r="J29" s="19">
        <f>Лист1!AI22+Лист1!AJ22</f>
        <v>706.748781631</v>
      </c>
      <c r="K29" s="19">
        <f>Лист1!AH22+Лист1!AK22+Лист1!AL22+Лист1!AM22+Лист1!AN22+Лист1!AO22+Лист1!AP22</f>
        <v>2432.1424264562</v>
      </c>
      <c r="L29" s="20">
        <f>Лист1!AQ22+Лист1!AR22+Лист1!AS22+Лист1!AU22+Лист1!AZ22+Лист1!BA22</f>
        <v>0</v>
      </c>
      <c r="M29" s="20">
        <f>Лист1!AX22</f>
        <v>0</v>
      </c>
      <c r="N29" s="21">
        <f>Лист1!BB22</f>
        <v>3568.0712080872</v>
      </c>
      <c r="O29" s="52">
        <f>Лист1!BD22</f>
        <v>22125.2537919128</v>
      </c>
      <c r="P29" s="52">
        <f>Лист1!BE22</f>
        <v>-696.2699999999986</v>
      </c>
      <c r="Q29" s="1"/>
      <c r="R29" s="1"/>
    </row>
    <row r="30" spans="1:18" ht="12.75" hidden="1">
      <c r="A30" s="13" t="s">
        <v>41</v>
      </c>
      <c r="B30" s="14">
        <f>Лист1!B23</f>
        <v>715.3</v>
      </c>
      <c r="C30" s="48">
        <f>Лист1!C23</f>
        <v>6187.345</v>
      </c>
      <c r="D30" s="49">
        <f>Лист1!D23</f>
        <v>9992.375</v>
      </c>
      <c r="E30" s="19">
        <f>Лист1!S23</f>
        <v>22113.83</v>
      </c>
      <c r="F30" s="21">
        <f>Лист1!T23</f>
        <v>1823.6700000000003</v>
      </c>
      <c r="G30" s="50">
        <f>Лист1!AB23</f>
        <v>18508.32</v>
      </c>
      <c r="H30" s="50">
        <f>Лист1!AC23</f>
        <v>30324.365</v>
      </c>
      <c r="I30" s="51">
        <f>Лист1!AG23</f>
        <v>429.17999999999995</v>
      </c>
      <c r="J30" s="19">
        <f>Лист1!AI23+Лист1!AJ23</f>
        <v>714.9137379999999</v>
      </c>
      <c r="K30" s="19">
        <f>Лист1!AH23+Лист1!AK23+Лист1!AL23+Лист1!AM23+Лист1!AN23+Лист1!AO23+Лист1!AP23</f>
        <v>2453.04982</v>
      </c>
      <c r="L30" s="20">
        <f>Лист1!AQ23+Лист1!AR23+Лист1!AS23+Лист1!AU23+Лист1!AZ23+Лист1!BA23</f>
        <v>129.024</v>
      </c>
      <c r="M30" s="20">
        <f>Лист1!AX23</f>
        <v>21568.512</v>
      </c>
      <c r="N30" s="21">
        <f>Лист1!BB23</f>
        <v>26011.479558</v>
      </c>
      <c r="O30" s="52">
        <f>Лист1!BD23</f>
        <v>4312.8854420000025</v>
      </c>
      <c r="P30" s="52">
        <f>Лист1!BE23</f>
        <v>-3605.510000000002</v>
      </c>
      <c r="Q30" s="1"/>
      <c r="R30" s="1"/>
    </row>
    <row r="31" spans="1:18" ht="12.75" hidden="1">
      <c r="A31" s="13" t="s">
        <v>42</v>
      </c>
      <c r="B31" s="14">
        <f>Лист1!B24</f>
        <v>715.3</v>
      </c>
      <c r="C31" s="48">
        <f>Лист1!C24</f>
        <v>6187.345</v>
      </c>
      <c r="D31" s="49">
        <f>Лист1!D24</f>
        <v>9146.395</v>
      </c>
      <c r="E31" s="19">
        <f>Лист1!S24</f>
        <v>34125.409999999996</v>
      </c>
      <c r="F31" s="21">
        <f>Лист1!T24</f>
        <v>4403.55</v>
      </c>
      <c r="G31" s="50">
        <f>Лист1!AB24</f>
        <v>37074.52</v>
      </c>
      <c r="H31" s="50">
        <f>Лист1!AC24</f>
        <v>50624.465</v>
      </c>
      <c r="I31" s="51">
        <f>Лист1!AG24</f>
        <v>429.17999999999995</v>
      </c>
      <c r="J31" s="19">
        <f>Лист1!AI24+Лист1!AJ24</f>
        <v>717.4458999999999</v>
      </c>
      <c r="K31" s="19">
        <f>Лист1!AH24+Лист1!AK24+Лист1!AL24+Лист1!AM24+Лист1!AN24+Лист1!AO24+Лист1!AP24</f>
        <v>2455.76796</v>
      </c>
      <c r="L31" s="20">
        <f>Лист1!AQ24+Лист1!AR24+Лист1!AS24+Лист1!AU24+Лист1!AZ24+Лист1!BA24</f>
        <v>0</v>
      </c>
      <c r="M31" s="20">
        <f>Лист1!AX24</f>
        <v>33542.208</v>
      </c>
      <c r="N31" s="21">
        <f>Лист1!BB24</f>
        <v>37144.601859999995</v>
      </c>
      <c r="O31" s="52">
        <f>Лист1!BD24</f>
        <v>13479.863140000001</v>
      </c>
      <c r="P31" s="52">
        <f>Лист1!BE24</f>
        <v>2949.1100000000006</v>
      </c>
      <c r="Q31" s="1"/>
      <c r="R31" s="1"/>
    </row>
    <row r="32" spans="1:18" ht="13.5" hidden="1" thickBot="1">
      <c r="A32" s="53" t="s">
        <v>43</v>
      </c>
      <c r="B32" s="14">
        <f>Лист1!B25</f>
        <v>715.3</v>
      </c>
      <c r="C32" s="48">
        <f>Лист1!C25</f>
        <v>6187.345</v>
      </c>
      <c r="D32" s="49">
        <f>Лист1!D25</f>
        <v>6232.415</v>
      </c>
      <c r="E32" s="19">
        <f>Лист1!S25</f>
        <v>36246.65</v>
      </c>
      <c r="F32" s="21">
        <f>Лист1!T25</f>
        <v>4661.19</v>
      </c>
      <c r="G32" s="50">
        <f>Лист1!AB25</f>
        <v>29289.36</v>
      </c>
      <c r="H32" s="50">
        <f>Лист1!AC25</f>
        <v>40182.965</v>
      </c>
      <c r="I32" s="51">
        <f>Лист1!AG25</f>
        <v>429.17999999999995</v>
      </c>
      <c r="J32" s="19">
        <f>Лист1!AI25+Лист1!AJ25</f>
        <v>717.4458999999999</v>
      </c>
      <c r="K32" s="19">
        <f>Лист1!AH25+Лист1!AK25+Лист1!AL25+Лист1!AM25+Лист1!AN25+Лист1!AO25+Лист1!AP25</f>
        <v>2455.76796</v>
      </c>
      <c r="L32" s="20">
        <f>Лист1!AQ25+Лист1!AR25+Лист1!AS25+Лист1!AU25+Лист1!AZ25+Лист1!BA25</f>
        <v>2830.504</v>
      </c>
      <c r="M32" s="20">
        <f>Лист1!AX25</f>
        <v>35921.088</v>
      </c>
      <c r="N32" s="21">
        <f>Лист1!BB25</f>
        <v>45721.78586</v>
      </c>
      <c r="O32" s="52">
        <f>Лист1!BD25</f>
        <v>-5538.820860000007</v>
      </c>
      <c r="P32" s="52">
        <f>Лист1!BE25</f>
        <v>-6957.290000000001</v>
      </c>
      <c r="Q32" s="1"/>
      <c r="R32" s="1"/>
    </row>
    <row r="33" spans="1:18" s="28" customFormat="1" ht="16.5" customHeight="1" hidden="1" thickBot="1">
      <c r="A33" s="55" t="s">
        <v>5</v>
      </c>
      <c r="B33" s="56"/>
      <c r="C33" s="57">
        <f aca="true" t="shared" si="1" ref="C33:P33">SUM(C21:C32)</f>
        <v>74248.14</v>
      </c>
      <c r="D33" s="58">
        <f t="shared" si="1"/>
        <v>90608.71250000001</v>
      </c>
      <c r="E33" s="57">
        <f t="shared" si="1"/>
        <v>206630.28</v>
      </c>
      <c r="F33" s="59">
        <f t="shared" si="1"/>
        <v>24594.019999999997</v>
      </c>
      <c r="G33" s="60">
        <f t="shared" si="1"/>
        <v>172874.11</v>
      </c>
      <c r="H33" s="57">
        <f t="shared" si="1"/>
        <v>288076.84249999997</v>
      </c>
      <c r="I33" s="58">
        <f t="shared" si="1"/>
        <v>4978.487999999999</v>
      </c>
      <c r="J33" s="57">
        <f t="shared" si="1"/>
        <v>8212.881366605</v>
      </c>
      <c r="K33" s="57">
        <f>SUM(K21:K32)</f>
        <v>28017.719142076203</v>
      </c>
      <c r="L33" s="57">
        <f t="shared" si="1"/>
        <v>63440.244199999994</v>
      </c>
      <c r="M33" s="57">
        <f t="shared" si="1"/>
        <v>274919.23199999996</v>
      </c>
      <c r="N33" s="59">
        <f t="shared" si="1"/>
        <v>398768.6647086812</v>
      </c>
      <c r="O33" s="61">
        <f t="shared" si="1"/>
        <v>-110691.8222086812</v>
      </c>
      <c r="P33" s="61">
        <f t="shared" si="1"/>
        <v>-33756.17</v>
      </c>
      <c r="Q33" s="63"/>
      <c r="R33" s="63"/>
    </row>
    <row r="34" spans="1:18" ht="13.5" hidden="1" thickBot="1">
      <c r="A34" s="335" t="s">
        <v>68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70"/>
      <c r="Q34" s="1"/>
      <c r="R34" s="1"/>
    </row>
    <row r="35" spans="1:18" s="28" customFormat="1" ht="26.25" customHeight="1" thickBot="1">
      <c r="A35" s="340" t="s">
        <v>92</v>
      </c>
      <c r="B35" s="341"/>
      <c r="C35" s="73">
        <f>C19+C33</f>
        <v>92810.175</v>
      </c>
      <c r="D35" s="74">
        <f aca="true" t="shared" si="2" ref="D35:P35">D19+D33</f>
        <v>95076.65619795001</v>
      </c>
      <c r="E35" s="72">
        <f t="shared" si="2"/>
        <v>216123.12</v>
      </c>
      <c r="F35" s="73">
        <f t="shared" si="2"/>
        <v>26094.26</v>
      </c>
      <c r="G35" s="74">
        <f t="shared" si="2"/>
        <v>179500.15999999997</v>
      </c>
      <c r="H35" s="73">
        <f t="shared" si="2"/>
        <v>300671.07619795</v>
      </c>
      <c r="I35" s="74">
        <f t="shared" si="2"/>
        <v>6266.027999999999</v>
      </c>
      <c r="J35" s="72">
        <f t="shared" si="2"/>
        <v>10367.683704284998</v>
      </c>
      <c r="K35" s="72">
        <f t="shared" si="2"/>
        <v>35572.2033913052</v>
      </c>
      <c r="L35" s="72">
        <f t="shared" si="2"/>
        <v>63865.0442</v>
      </c>
      <c r="M35" s="72">
        <f t="shared" si="2"/>
        <v>274919.23199999996</v>
      </c>
      <c r="N35" s="75">
        <f t="shared" si="2"/>
        <v>410190.29129559017</v>
      </c>
      <c r="O35" s="76">
        <f t="shared" si="2"/>
        <v>-109519.2150976402</v>
      </c>
      <c r="P35" s="76">
        <f t="shared" si="2"/>
        <v>-36622.96</v>
      </c>
      <c r="Q35" s="77"/>
      <c r="R35" s="63"/>
    </row>
    <row r="36" spans="1:18" ht="12.75">
      <c r="A36" s="8" t="s">
        <v>89</v>
      </c>
      <c r="B36" s="87"/>
      <c r="C36" s="64"/>
      <c r="D36" s="65"/>
      <c r="E36" s="66"/>
      <c r="F36" s="67"/>
      <c r="G36" s="68"/>
      <c r="H36" s="68"/>
      <c r="I36" s="69"/>
      <c r="J36" s="66"/>
      <c r="K36" s="66"/>
      <c r="L36" s="88"/>
      <c r="M36" s="88"/>
      <c r="N36" s="67"/>
      <c r="O36" s="89"/>
      <c r="P36" s="89"/>
      <c r="Q36" s="1"/>
      <c r="R36" s="1"/>
    </row>
    <row r="37" spans="1:18" ht="12.75">
      <c r="A37" s="13" t="s">
        <v>45</v>
      </c>
      <c r="B37" s="14">
        <f>Лист1!B30</f>
        <v>715.3</v>
      </c>
      <c r="C37" s="48">
        <f>Лист1!C30</f>
        <v>6187.345</v>
      </c>
      <c r="D37" s="49">
        <f>Лист1!D30</f>
        <v>12193.665</v>
      </c>
      <c r="E37" s="19">
        <f>Лист1!S30</f>
        <v>45909.03</v>
      </c>
      <c r="F37" s="21">
        <f>Лист1!T30</f>
        <v>5865.5</v>
      </c>
      <c r="G37" s="50">
        <f>Лист1!AB30</f>
        <v>20760.940000000002</v>
      </c>
      <c r="H37" s="50">
        <f>Лист1!AC30</f>
        <v>38820.105</v>
      </c>
      <c r="I37" s="51">
        <f>Лист1!AG30</f>
        <v>429.17999999999995</v>
      </c>
      <c r="J37" s="19">
        <f>Лист1!AI30+Лист1!AJ30</f>
        <v>715.3</v>
      </c>
      <c r="K37" s="19">
        <f>Лист1!AH30+Лист1!AK30+Лист1!AL30+Лист1!AM30+Лист1!AN30+Лист1!AO30+Лист1!AP30</f>
        <v>2453.479</v>
      </c>
      <c r="L37" s="20">
        <f>Лист1!AQ30+Лист1!AR30+Лист1!AS30+Лист1!AU30+Лист1!AZ30+Лист1!BA30</f>
        <v>0</v>
      </c>
      <c r="M37" s="20">
        <f>Лист1!AX30</f>
        <v>46788</v>
      </c>
      <c r="N37" s="21">
        <f>Лист1!BB30</f>
        <v>50385.959</v>
      </c>
      <c r="O37" s="52">
        <f>Лист1!BD30</f>
        <v>-11565.854</v>
      </c>
      <c r="P37" s="52">
        <f>Лист1!BE30</f>
        <v>-25148.089999999997</v>
      </c>
      <c r="Q37" s="1"/>
      <c r="R37" s="1"/>
    </row>
    <row r="38" spans="1:18" ht="12.75">
      <c r="A38" s="13" t="s">
        <v>46</v>
      </c>
      <c r="B38" s="14">
        <f>Лист1!B31</f>
        <v>715.3</v>
      </c>
      <c r="C38" s="48">
        <f>Лист1!C31</f>
        <v>6187.345</v>
      </c>
      <c r="D38" s="49">
        <f>Лист1!D31</f>
        <v>14253.305</v>
      </c>
      <c r="E38" s="19">
        <f>Лист1!S31</f>
        <v>44274.64</v>
      </c>
      <c r="F38" s="21">
        <f>Лист1!T31</f>
        <v>5661.17</v>
      </c>
      <c r="G38" s="50">
        <f>Лист1!AB31</f>
        <v>41267.15</v>
      </c>
      <c r="H38" s="50">
        <f>Лист1!AC31</f>
        <v>61181.625</v>
      </c>
      <c r="I38" s="51">
        <f>Лист1!AG31</f>
        <v>429.17999999999995</v>
      </c>
      <c r="J38" s="19">
        <f>Лист1!AI31+Лист1!AJ31</f>
        <v>715.3</v>
      </c>
      <c r="K38" s="19">
        <f>Лист1!AH31+Лист1!AK31+Лист1!AL31+Лист1!AM31+Лист1!AN31+Лист1!AO31+Лист1!AP31</f>
        <v>2453.479</v>
      </c>
      <c r="L38" s="20">
        <f>Лист1!AQ31+Лист1!AR31+Лист1!AS31+Лист1!AU31+Лист1!AZ31+Лист1!BA31</f>
        <v>450</v>
      </c>
      <c r="M38" s="20">
        <f>Лист1!AX31</f>
        <v>44940</v>
      </c>
      <c r="N38" s="21">
        <f>Лист1!BB31</f>
        <v>48987.959</v>
      </c>
      <c r="O38" s="52">
        <f>Лист1!BD31</f>
        <v>12193.665999999997</v>
      </c>
      <c r="P38" s="52">
        <f>Лист1!BE31</f>
        <v>-3007.489999999998</v>
      </c>
      <c r="Q38" s="1"/>
      <c r="R38" s="1"/>
    </row>
    <row r="39" spans="1:18" ht="12.75">
      <c r="A39" s="13" t="s">
        <v>47</v>
      </c>
      <c r="B39" s="14">
        <f>Лист1!B32</f>
        <v>715.3</v>
      </c>
      <c r="C39" s="48">
        <f>Лист1!C32</f>
        <v>6187.345</v>
      </c>
      <c r="D39" s="49">
        <f>Лист1!D32</f>
        <v>9418.975</v>
      </c>
      <c r="E39" s="19">
        <f>Лист1!S32</f>
        <v>25390.85</v>
      </c>
      <c r="F39" s="21">
        <f>Лист1!T32</f>
        <v>4325.85</v>
      </c>
      <c r="G39" s="50">
        <f>Лист1!AB32</f>
        <v>41234.78</v>
      </c>
      <c r="H39" s="50">
        <f>Лист1!AC32</f>
        <v>54979.604999999996</v>
      </c>
      <c r="I39" s="51">
        <f>Лист1!AG32</f>
        <v>429.17999999999995</v>
      </c>
      <c r="J39" s="19">
        <f>Лист1!AI32+Лист1!AJ32</f>
        <v>715.3</v>
      </c>
      <c r="K39" s="19">
        <f>Лист1!AH32+Лист1!AK32+Лист1!AL32+Лист1!AM32+Лист1!AN32+Лист1!AO32+Лист1!AP32</f>
        <v>2453.479</v>
      </c>
      <c r="L39" s="20">
        <f>Лист1!AQ32+Лист1!AR32+Лист1!AS32+Лист1!AU32+Лист1!AZ32+Лист1!BA32</f>
        <v>17372</v>
      </c>
      <c r="M39" s="20">
        <f>Лист1!AX32</f>
        <v>36540</v>
      </c>
      <c r="N39" s="21">
        <f>Лист1!BB32</f>
        <v>58624.159</v>
      </c>
      <c r="O39" s="52">
        <f>Лист1!BD32</f>
        <v>-3644.5540000000037</v>
      </c>
      <c r="P39" s="52">
        <f>Лист1!BE32</f>
        <v>15843.93</v>
      </c>
      <c r="Q39" s="1"/>
      <c r="R39" s="1"/>
    </row>
    <row r="40" spans="1:18" ht="12.75">
      <c r="A40" s="13" t="s">
        <v>48</v>
      </c>
      <c r="B40" s="14">
        <f>Лист1!B33</f>
        <v>715.3</v>
      </c>
      <c r="C40" s="48">
        <f>Лист1!C33</f>
        <v>6187.345</v>
      </c>
      <c r="D40" s="49">
        <f>Лист1!D33</f>
        <v>11633.965</v>
      </c>
      <c r="E40" s="19">
        <f>Лист1!S33</f>
        <v>32748.510000000002</v>
      </c>
      <c r="F40" s="21">
        <f>Лист1!T33</f>
        <v>4226.07</v>
      </c>
      <c r="G40" s="50">
        <f>Лист1!AB33</f>
        <v>9347.720000000001</v>
      </c>
      <c r="H40" s="50">
        <f>Лист1!AC33</f>
        <v>25207.755</v>
      </c>
      <c r="I40" s="51">
        <f>Лист1!AG33</f>
        <v>429.17999999999995</v>
      </c>
      <c r="J40" s="19">
        <f>Лист1!AI33+Лист1!AJ33</f>
        <v>715.3</v>
      </c>
      <c r="K40" s="19">
        <f>Лист1!AH33+Лист1!AK33+Лист1!AL33+Лист1!AM33+Лист1!AN33+Лист1!AO33+Лист1!AP33</f>
        <v>4381.2789999999995</v>
      </c>
      <c r="L40" s="20">
        <f>Лист1!AQ33+Лист1!AR33+Лист1!AS33+Лист1!AU33+Лист1!AZ33+Лист1!BA33</f>
        <v>4634</v>
      </c>
      <c r="M40" s="20">
        <f>Лист1!AX33</f>
        <v>35532</v>
      </c>
      <c r="N40" s="21">
        <f>Лист1!BB33</f>
        <v>45691.75899999999</v>
      </c>
      <c r="O40" s="52">
        <f>Лист1!BD33</f>
        <v>-20484.00399999999</v>
      </c>
      <c r="P40" s="52">
        <f>Лист1!BE33</f>
        <v>-23400.79</v>
      </c>
      <c r="Q40" s="1"/>
      <c r="R40" s="1"/>
    </row>
    <row r="41" spans="1:18" ht="12.75">
      <c r="A41" s="13" t="s">
        <v>49</v>
      </c>
      <c r="B41" s="14">
        <f>Лист1!B34</f>
        <v>715.3</v>
      </c>
      <c r="C41" s="48">
        <f>Лист1!C34</f>
        <v>6187.345</v>
      </c>
      <c r="D41" s="49">
        <f>Лист1!D34</f>
        <v>11768.545000000002</v>
      </c>
      <c r="E41" s="19">
        <f>Лист1!S34</f>
        <v>24008.46</v>
      </c>
      <c r="F41" s="21">
        <f>Лист1!T34</f>
        <v>3137.8199999999997</v>
      </c>
      <c r="G41" s="50">
        <f>Лист1!AB34</f>
        <v>23032.93</v>
      </c>
      <c r="H41" s="50">
        <f>Лист1!AC34</f>
        <v>37939.295</v>
      </c>
      <c r="I41" s="51">
        <f>Лист1!AG34</f>
        <v>429.17999999999995</v>
      </c>
      <c r="J41" s="19">
        <f>Лист1!AI34+Лист1!AJ34</f>
        <v>715.3</v>
      </c>
      <c r="K41" s="19">
        <f>Лист1!AH34+Лист1!AK34+Лист1!AL34+Лист1!AM34+Лист1!AN34+Лист1!AO34+Лист1!AP34</f>
        <v>2453.479</v>
      </c>
      <c r="L41" s="20">
        <f>Лист1!AQ34+Лист1!AR34+Лист1!AS34+Лист1!AU34+Лист1!AZ34+Лист1!BA34</f>
        <v>484</v>
      </c>
      <c r="M41" s="20">
        <f>Лист1!AX34</f>
        <v>24612</v>
      </c>
      <c r="N41" s="21">
        <f>Лист1!BB34</f>
        <v>28693.959000000003</v>
      </c>
      <c r="O41" s="52">
        <f>Лист1!BD34</f>
        <v>9245.335999999996</v>
      </c>
      <c r="P41" s="52">
        <f>Лист1!BE34</f>
        <v>-975.5299999999988</v>
      </c>
      <c r="Q41" s="1"/>
      <c r="R41" s="1"/>
    </row>
    <row r="42" spans="1:18" ht="12.75">
      <c r="A42" s="13" t="s">
        <v>50</v>
      </c>
      <c r="B42" s="14">
        <f>Лист1!B35</f>
        <v>715.3</v>
      </c>
      <c r="C42" s="48">
        <f>Лист1!C35</f>
        <v>6187.345</v>
      </c>
      <c r="D42" s="49">
        <f>Лист1!D35</f>
        <v>1193.8650000000007</v>
      </c>
      <c r="E42" s="19">
        <f>Лист1!S35</f>
        <v>4308.469999999999</v>
      </c>
      <c r="F42" s="21">
        <f>Лист1!T35</f>
        <v>685.01</v>
      </c>
      <c r="G42" s="50">
        <f>Лист1!AB35</f>
        <v>19201.52</v>
      </c>
      <c r="H42" s="50">
        <f>Лист1!AC35</f>
        <v>21080.395</v>
      </c>
      <c r="I42" s="51">
        <f>Лист1!AG35</f>
        <v>429.17999999999995</v>
      </c>
      <c r="J42" s="19">
        <f>Лист1!AI35+Лист1!AJ35</f>
        <v>715.3</v>
      </c>
      <c r="K42" s="19">
        <f>Лист1!AH35+Лист1!AK35+Лист1!AL35+Лист1!AM35+Лист1!AN35+Лист1!AO35+Лист1!AP35</f>
        <v>2453.479</v>
      </c>
      <c r="L42" s="20">
        <f>Лист1!AQ35+Лист1!AR35+Лист1!AS35+Лист1!AU35+Лист1!AZ35+Лист1!BA35</f>
        <v>0</v>
      </c>
      <c r="M42" s="20">
        <f>Лист1!AX35</f>
        <v>0</v>
      </c>
      <c r="N42" s="21">
        <f>Лист1!BB35</f>
        <v>3597.959</v>
      </c>
      <c r="O42" s="52">
        <f>Лист1!BD35</f>
        <v>17482.436</v>
      </c>
      <c r="P42" s="52">
        <f>Лист1!BE35</f>
        <v>14893.050000000001</v>
      </c>
      <c r="Q42" s="1"/>
      <c r="R42" s="1"/>
    </row>
    <row r="43" spans="1:18" ht="12.75">
      <c r="A43" s="13" t="s">
        <v>51</v>
      </c>
      <c r="B43" s="14">
        <f>Лист1!B36</f>
        <v>715.3</v>
      </c>
      <c r="C43" s="48">
        <f>Лист1!C36</f>
        <v>6187.345</v>
      </c>
      <c r="D43" s="49">
        <f>Лист1!D36</f>
        <v>1193.8649999999998</v>
      </c>
      <c r="E43" s="19">
        <f>Лист1!S36</f>
        <v>4993.48</v>
      </c>
      <c r="F43" s="21">
        <f>Лист1!T36</f>
        <v>0</v>
      </c>
      <c r="G43" s="50">
        <f>Лист1!AB36</f>
        <v>17952.67</v>
      </c>
      <c r="H43" s="50">
        <f>Лист1!AC36</f>
        <v>19146.534999999996</v>
      </c>
      <c r="I43" s="51">
        <f>Лист1!AG36</f>
        <v>429.17999999999995</v>
      </c>
      <c r="J43" s="19">
        <f>Лист1!AI36+Лист1!AJ36</f>
        <v>715.3</v>
      </c>
      <c r="K43" s="19">
        <f>Лист1!AH36+Лист1!AK36+Лист1!AL36+Лист1!AM36+Лист1!AN36+Лист1!AO36+Лист1!AP36</f>
        <v>2453.479</v>
      </c>
      <c r="L43" s="20">
        <f>Лист1!AQ36+Лист1!AR36+Лист1!AS36+Лист1!AU36+Лист1!AZ36+Лист1!BA36</f>
        <v>0</v>
      </c>
      <c r="M43" s="20">
        <f>Лист1!AX36</f>
        <v>0</v>
      </c>
      <c r="N43" s="21">
        <f>Лист1!BB36</f>
        <v>3597.959</v>
      </c>
      <c r="O43" s="52">
        <f>Лист1!BD36</f>
        <v>15548.575999999997</v>
      </c>
      <c r="P43" s="52">
        <f>Лист1!BE36</f>
        <v>12959.189999999999</v>
      </c>
      <c r="Q43" s="1"/>
      <c r="R43" s="1"/>
    </row>
    <row r="44" spans="1:18" ht="12.75">
      <c r="A44" s="13" t="s">
        <v>52</v>
      </c>
      <c r="B44" s="14">
        <f>Лист1!B37</f>
        <v>715.3</v>
      </c>
      <c r="C44" s="48">
        <f>Лист1!C37</f>
        <v>6187.345</v>
      </c>
      <c r="D44" s="49">
        <f>Лист1!D37</f>
        <v>1193.8649999999998</v>
      </c>
      <c r="E44" s="19">
        <f>Лист1!S37</f>
        <v>4993.48</v>
      </c>
      <c r="F44" s="21">
        <f>Лист1!T37</f>
        <v>0</v>
      </c>
      <c r="G44" s="50">
        <f>Лист1!AB37</f>
        <v>5794.820000000001</v>
      </c>
      <c r="H44" s="50">
        <f>Лист1!AC37</f>
        <v>6988.685</v>
      </c>
      <c r="I44" s="51">
        <f>Лист1!AG37</f>
        <v>429.17999999999995</v>
      </c>
      <c r="J44" s="19">
        <f>Лист1!AI37+Лист1!AJ37</f>
        <v>715.3</v>
      </c>
      <c r="K44" s="19">
        <f>Лист1!AH37+Лист1!AK37+Лист1!AL37+Лист1!AM37+Лист1!AN37+Лист1!AO37+Лист1!AP37</f>
        <v>2453.479</v>
      </c>
      <c r="L44" s="20">
        <f>Лист1!AQ37+Лист1!AR37+Лист1!AS37+Лист1!AU37+Лист1!AZ37+Лист1!BA37</f>
        <v>0</v>
      </c>
      <c r="M44" s="20">
        <f>Лист1!AX37</f>
        <v>0</v>
      </c>
      <c r="N44" s="21">
        <f>Лист1!BB37</f>
        <v>3729.759</v>
      </c>
      <c r="O44" s="52">
        <f>Лист1!BD37</f>
        <v>3258.9260000000004</v>
      </c>
      <c r="P44" s="52">
        <f>Лист1!BE37</f>
        <v>801.340000000001</v>
      </c>
      <c r="Q44" s="1"/>
      <c r="R44" s="1"/>
    </row>
    <row r="45" spans="1:18" ht="12.75">
      <c r="A45" s="13" t="s">
        <v>53</v>
      </c>
      <c r="B45" s="14">
        <f>Лист1!B38</f>
        <v>715.3</v>
      </c>
      <c r="C45" s="48">
        <f>Лист1!C38</f>
        <v>6187.345</v>
      </c>
      <c r="D45" s="49">
        <f>Лист1!D38</f>
        <v>1944.7050000000008</v>
      </c>
      <c r="E45" s="19">
        <f>Лист1!S38</f>
        <v>11801.74</v>
      </c>
      <c r="F45" s="21">
        <f>Лист1!T38</f>
        <v>0</v>
      </c>
      <c r="G45" s="50">
        <f>Лист1!AB38</f>
        <v>5140.7699999999995</v>
      </c>
      <c r="H45" s="50">
        <f>Лист1!AC38</f>
        <v>7085.475</v>
      </c>
      <c r="I45" s="51">
        <f>Лист1!AG38</f>
        <v>429.17999999999995</v>
      </c>
      <c r="J45" s="19">
        <f>Лист1!AI38+Лист1!AJ38</f>
        <v>715.3</v>
      </c>
      <c r="K45" s="19">
        <f>Лист1!AH38+Лист1!AK38+Лист1!AL38+Лист1!AM38+Лист1!AN38+Лист1!AO38+Лист1!AP38</f>
        <v>2453.479</v>
      </c>
      <c r="L45" s="20">
        <f>Лист1!AQ38+Лист1!AR38+Лист1!AS38+Лист1!AU38+Лист1!AZ38+Лист1!BA38</f>
        <v>0</v>
      </c>
      <c r="M45" s="20">
        <f>Лист1!AX38</f>
        <v>7559.999999999999</v>
      </c>
      <c r="N45" s="21">
        <f>Лист1!BB38</f>
        <v>11493.958999999999</v>
      </c>
      <c r="O45" s="52">
        <f>Лист1!BD38</f>
        <v>-4408.483999999999</v>
      </c>
      <c r="P45" s="52">
        <f>Лист1!BE38</f>
        <v>-6660.97</v>
      </c>
      <c r="Q45" s="1"/>
      <c r="R45" s="1"/>
    </row>
    <row r="46" spans="1:18" ht="12.75">
      <c r="A46" s="13" t="s">
        <v>41</v>
      </c>
      <c r="B46" s="14">
        <f>Лист1!B39</f>
        <v>715.3</v>
      </c>
      <c r="C46" s="48">
        <f>Лист1!C39</f>
        <v>6187.345</v>
      </c>
      <c r="D46" s="49">
        <f>Лист1!D39</f>
        <v>3635.024999999999</v>
      </c>
      <c r="E46" s="19">
        <f>Лист1!S39</f>
        <v>27166.36</v>
      </c>
      <c r="F46" s="21">
        <f>Лист1!T39</f>
        <v>0</v>
      </c>
      <c r="G46" s="50">
        <f>Лист1!AB39</f>
        <v>11628.240000000002</v>
      </c>
      <c r="H46" s="50">
        <f>Лист1!AC39</f>
        <v>15263.265000000001</v>
      </c>
      <c r="I46" s="51">
        <f>Лист1!AG39</f>
        <v>429.17999999999995</v>
      </c>
      <c r="J46" s="19">
        <f>Лист1!AI39+Лист1!AJ39</f>
        <v>715.3</v>
      </c>
      <c r="K46" s="19">
        <f>Лист1!AH39+Лист1!AK39+Лист1!AL39+Лист1!AM39+Лист1!AN39+Лист1!AO39+Лист1!AP39</f>
        <v>2453.479</v>
      </c>
      <c r="L46" s="20">
        <f>Лист1!AQ39+Лист1!AR39+Лист1!AS39+Лист1!AU39+Лист1!AZ39+Лист1!BA39</f>
        <v>0</v>
      </c>
      <c r="M46" s="20">
        <f>Лист1!AX39</f>
        <v>24612</v>
      </c>
      <c r="N46" s="21">
        <f>Лист1!BB39</f>
        <v>31540.959000000003</v>
      </c>
      <c r="O46" s="52">
        <f>Лист1!BD39</f>
        <v>-16277.694000000001</v>
      </c>
      <c r="P46" s="52">
        <f>Лист1!BE39</f>
        <v>-15538.119999999999</v>
      </c>
      <c r="Q46" s="1"/>
      <c r="R46" s="1"/>
    </row>
    <row r="47" spans="1:18" ht="12.75">
      <c r="A47" s="13" t="s">
        <v>42</v>
      </c>
      <c r="B47" s="14">
        <f>Лист1!B40</f>
        <v>715.3</v>
      </c>
      <c r="C47" s="48">
        <f>Лист1!C40</f>
        <v>6187.345</v>
      </c>
      <c r="D47" s="49">
        <f>Лист1!D40</f>
        <v>4826.635</v>
      </c>
      <c r="E47" s="19">
        <f>Лист1!S40</f>
        <v>37985</v>
      </c>
      <c r="F47" s="21">
        <f>Лист1!T40</f>
        <v>0</v>
      </c>
      <c r="G47" s="50">
        <f>Лист1!AB40</f>
        <v>21916.22</v>
      </c>
      <c r="H47" s="50">
        <f>Лист1!AC40</f>
        <v>26742.855000000003</v>
      </c>
      <c r="I47" s="51">
        <f>Лист1!AG40</f>
        <v>429.17999999999995</v>
      </c>
      <c r="J47" s="19">
        <f>Лист1!AI40+Лист1!AJ40</f>
        <v>715.3</v>
      </c>
      <c r="K47" s="19">
        <f>Лист1!AH40+Лист1!AK40+Лист1!AL40+Лист1!AM40+Лист1!AN40+Лист1!AO40+Лист1!AP40</f>
        <v>2453.479</v>
      </c>
      <c r="L47" s="20">
        <f>Лист1!AQ40+Лист1!AR40+Лист1!AS40+Лист1!AU40+Лист1!AZ40+Лист1!BA40</f>
        <v>0</v>
      </c>
      <c r="M47" s="20">
        <f>Лист1!AX40</f>
        <v>36624</v>
      </c>
      <c r="N47" s="21">
        <f>Лист1!BB40</f>
        <v>40221.959</v>
      </c>
      <c r="O47" s="52">
        <f>Лист1!BD40</f>
        <v>-13479.104</v>
      </c>
      <c r="P47" s="52">
        <f>Лист1!BE40</f>
        <v>-16068.779999999999</v>
      </c>
      <c r="Q47" s="1"/>
      <c r="R47" s="1"/>
    </row>
    <row r="48" spans="1:18" ht="13.5" thickBot="1">
      <c r="A48" s="53" t="s">
        <v>43</v>
      </c>
      <c r="B48" s="14">
        <f>Лист1!B41</f>
        <v>715.3</v>
      </c>
      <c r="C48" s="48">
        <f>Лист1!C41</f>
        <v>6187.345</v>
      </c>
      <c r="D48" s="49">
        <f>Лист1!D41</f>
        <v>5255.025</v>
      </c>
      <c r="E48" s="19">
        <f>Лист1!S41</f>
        <v>41839.62</v>
      </c>
      <c r="F48" s="21">
        <f>Лист1!T41</f>
        <v>0</v>
      </c>
      <c r="G48" s="50">
        <f>Лист1!AB41</f>
        <v>40105.85</v>
      </c>
      <c r="H48" s="50">
        <f>Лист1!AC41</f>
        <v>45360.875</v>
      </c>
      <c r="I48" s="51">
        <f>Лист1!AG41</f>
        <v>429.17999999999995</v>
      </c>
      <c r="J48" s="19">
        <f>Лист1!AI41+Лист1!AJ41</f>
        <v>715.3</v>
      </c>
      <c r="K48" s="19">
        <f>Лист1!AH41+Лист1!AK41+Лист1!AL41+Лист1!AM41+Лист1!AN41+Лист1!AO41+Лист1!AP41</f>
        <v>2453.479</v>
      </c>
      <c r="L48" s="20">
        <f>Лист1!AQ41+Лист1!AR41+Лист1!AS41+Лист1!AU41+Лист1!AZ41+Лист1!BA41</f>
        <v>83.44</v>
      </c>
      <c r="M48" s="20">
        <f>Лист1!AX41</f>
        <v>49476</v>
      </c>
      <c r="N48" s="21">
        <f>Лист1!BB41</f>
        <v>55873.05900000001</v>
      </c>
      <c r="O48" s="52">
        <f>Лист1!BD41</f>
        <v>-10512.184000000008</v>
      </c>
      <c r="P48" s="52">
        <f>Лист1!BE41</f>
        <v>-1733.770000000004</v>
      </c>
      <c r="Q48" s="1"/>
      <c r="R48" s="1"/>
    </row>
    <row r="49" spans="1:18" s="28" customFormat="1" ht="13.5" thickBot="1">
      <c r="A49" s="55" t="s">
        <v>5</v>
      </c>
      <c r="B49" s="56"/>
      <c r="C49" s="57">
        <f aca="true" t="shared" si="3" ref="C49:J49">SUM(C37:C48)</f>
        <v>74248.14</v>
      </c>
      <c r="D49" s="58">
        <f t="shared" si="3"/>
        <v>78511.43999999999</v>
      </c>
      <c r="E49" s="57">
        <f t="shared" si="3"/>
        <v>305419.64</v>
      </c>
      <c r="F49" s="59">
        <f t="shared" si="3"/>
        <v>23901.42</v>
      </c>
      <c r="G49" s="60">
        <f t="shared" si="3"/>
        <v>257383.60999999996</v>
      </c>
      <c r="H49" s="57">
        <f t="shared" si="3"/>
        <v>359796.47</v>
      </c>
      <c r="I49" s="58">
        <f t="shared" si="3"/>
        <v>5150.16</v>
      </c>
      <c r="J49" s="57">
        <f t="shared" si="3"/>
        <v>8583.6</v>
      </c>
      <c r="K49" s="57">
        <f aca="true" t="shared" si="4" ref="K49:P49">SUM(K37:K48)</f>
        <v>31369.547999999995</v>
      </c>
      <c r="L49" s="57">
        <f t="shared" si="4"/>
        <v>23023.44</v>
      </c>
      <c r="M49" s="57">
        <f t="shared" si="4"/>
        <v>306684</v>
      </c>
      <c r="N49" s="59">
        <f t="shared" si="4"/>
        <v>382439.40800000005</v>
      </c>
      <c r="O49" s="61">
        <f t="shared" si="4"/>
        <v>-22642.93800000001</v>
      </c>
      <c r="P49" s="61">
        <f t="shared" si="4"/>
        <v>-48036.02999999999</v>
      </c>
      <c r="Q49" s="63"/>
      <c r="R49" s="63"/>
    </row>
    <row r="50" spans="1:18" ht="13.5" thickBot="1">
      <c r="A50" s="335" t="s">
        <v>68</v>
      </c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70"/>
      <c r="Q50" s="1"/>
      <c r="R50" s="1"/>
    </row>
    <row r="51" spans="1:18" s="28" customFormat="1" ht="13.5" thickBot="1">
      <c r="A51" s="71" t="s">
        <v>54</v>
      </c>
      <c r="B51" s="72"/>
      <c r="C51" s="73">
        <f>C35+C49</f>
        <v>167058.315</v>
      </c>
      <c r="D51" s="74">
        <f aca="true" t="shared" si="5" ref="D51:P51">D35+D49</f>
        <v>173588.09619795</v>
      </c>
      <c r="E51" s="72">
        <f t="shared" si="5"/>
        <v>521542.76</v>
      </c>
      <c r="F51" s="73">
        <f t="shared" si="5"/>
        <v>49995.67999999999</v>
      </c>
      <c r="G51" s="74">
        <f t="shared" si="5"/>
        <v>436883.7699999999</v>
      </c>
      <c r="H51" s="73">
        <f t="shared" si="5"/>
        <v>660467.5461979499</v>
      </c>
      <c r="I51" s="74">
        <f t="shared" si="5"/>
        <v>11416.187999999998</v>
      </c>
      <c r="J51" s="72">
        <f t="shared" si="5"/>
        <v>18951.283704285</v>
      </c>
      <c r="K51" s="72">
        <f t="shared" si="5"/>
        <v>66941.7513913052</v>
      </c>
      <c r="L51" s="72">
        <f t="shared" si="5"/>
        <v>86888.48419999999</v>
      </c>
      <c r="M51" s="72">
        <f t="shared" si="5"/>
        <v>581603.232</v>
      </c>
      <c r="N51" s="75">
        <f t="shared" si="5"/>
        <v>792629.6992955902</v>
      </c>
      <c r="O51" s="76">
        <f t="shared" si="5"/>
        <v>-132162.1530976402</v>
      </c>
      <c r="P51" s="76">
        <f t="shared" si="5"/>
        <v>-84658.98999999999</v>
      </c>
      <c r="Q51" s="77"/>
      <c r="R51" s="63"/>
    </row>
    <row r="53" spans="1:18" ht="12.75">
      <c r="A53" s="78"/>
      <c r="Q53" s="1"/>
      <c r="R53" s="1"/>
    </row>
    <row r="54" spans="1:18" ht="12.75">
      <c r="A54" s="28" t="s">
        <v>86</v>
      </c>
      <c r="D54" s="166" t="s">
        <v>91</v>
      </c>
      <c r="Q54" s="1"/>
      <c r="R54" s="1"/>
    </row>
    <row r="55" spans="1:18" ht="12.75">
      <c r="A55" s="32" t="s">
        <v>69</v>
      </c>
      <c r="B55" s="32" t="s">
        <v>70</v>
      </c>
      <c r="C55" s="334" t="s">
        <v>71</v>
      </c>
      <c r="D55" s="334"/>
      <c r="Q55" s="1"/>
      <c r="R55" s="1"/>
    </row>
    <row r="56" spans="1:18" ht="12.75">
      <c r="A56" s="135">
        <v>25768.23</v>
      </c>
      <c r="B56" s="135">
        <v>11216</v>
      </c>
      <c r="C56" s="342">
        <f>A56-B56</f>
        <v>14552.23</v>
      </c>
      <c r="D56" s="343"/>
      <c r="Q56" s="1"/>
      <c r="R56" s="1"/>
    </row>
    <row r="57" spans="1:18" ht="12.75">
      <c r="A57" s="78"/>
      <c r="Q57" s="1"/>
      <c r="R57" s="1"/>
    </row>
    <row r="58" spans="1:18" ht="12.75">
      <c r="A58" s="2" t="s">
        <v>72</v>
      </c>
      <c r="G58" s="2" t="s">
        <v>73</v>
      </c>
      <c r="Q58" s="1"/>
      <c r="R58" s="1"/>
    </row>
    <row r="59" ht="12.75">
      <c r="A59" s="1"/>
    </row>
    <row r="60" ht="12.75">
      <c r="A60" s="1" t="s">
        <v>84</v>
      </c>
    </row>
    <row r="61" ht="12.75">
      <c r="A61" s="2" t="s">
        <v>74</v>
      </c>
    </row>
  </sheetData>
  <sheetProtection/>
  <mergeCells count="24">
    <mergeCell ref="A6:O6"/>
    <mergeCell ref="A10:A13"/>
    <mergeCell ref="B10:B13"/>
    <mergeCell ref="C10:C13"/>
    <mergeCell ref="D10:D13"/>
    <mergeCell ref="E10:F11"/>
    <mergeCell ref="I10:N11"/>
    <mergeCell ref="O10:O13"/>
    <mergeCell ref="C56:D56"/>
    <mergeCell ref="P10:P13"/>
    <mergeCell ref="E12:F12"/>
    <mergeCell ref="H12:H13"/>
    <mergeCell ref="I12:I13"/>
    <mergeCell ref="J12:J13"/>
    <mergeCell ref="K12:K13"/>
    <mergeCell ref="L12:L13"/>
    <mergeCell ref="M12:M13"/>
    <mergeCell ref="N12:N13"/>
    <mergeCell ref="C55:D55"/>
    <mergeCell ref="A34:O34"/>
    <mergeCell ref="A50:O50"/>
    <mergeCell ref="A7:G7"/>
    <mergeCell ref="G10:H11"/>
    <mergeCell ref="A35:B35"/>
  </mergeCells>
  <printOptions/>
  <pageMargins left="0.18" right="0.17" top="0.3937007874015748" bottom="0.3937007874015748" header="0.43" footer="0.4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0"/>
  <sheetViews>
    <sheetView zoomScalePageLayoutView="0" workbookViewId="0" topLeftCell="A1">
      <pane xSplit="2" ySplit="7" topLeftCell="AV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38" sqref="C38:BG38"/>
    </sheetView>
  </sheetViews>
  <sheetFormatPr defaultColWidth="9.00390625" defaultRowHeight="12.75"/>
  <cols>
    <col min="1" max="1" width="8.75390625" style="172" bestFit="1" customWidth="1"/>
    <col min="2" max="2" width="9.125" style="172" customWidth="1"/>
    <col min="3" max="3" width="10.125" style="172" customWidth="1"/>
    <col min="4" max="4" width="10.375" style="172" customWidth="1"/>
    <col min="5" max="6" width="9.125" style="172" customWidth="1"/>
    <col min="7" max="7" width="10.25390625" style="172" customWidth="1"/>
    <col min="8" max="8" width="9.125" style="172" customWidth="1"/>
    <col min="9" max="9" width="9.875" style="172" customWidth="1"/>
    <col min="10" max="10" width="9.125" style="172" customWidth="1"/>
    <col min="11" max="11" width="10.375" style="172" customWidth="1"/>
    <col min="12" max="12" width="9.125" style="172" customWidth="1"/>
    <col min="13" max="13" width="9.875" style="172" customWidth="1"/>
    <col min="14" max="14" width="9.125" style="172" customWidth="1"/>
    <col min="15" max="15" width="10.125" style="172" bestFit="1" customWidth="1"/>
    <col min="16" max="18" width="9.125" style="172" customWidth="1"/>
    <col min="19" max="19" width="10.125" style="172" bestFit="1" customWidth="1"/>
    <col min="20" max="20" width="10.125" style="172" customWidth="1"/>
    <col min="21" max="21" width="10.125" style="172" bestFit="1" customWidth="1"/>
    <col min="22" max="22" width="9.125" style="172" customWidth="1"/>
    <col min="23" max="23" width="10.625" style="172" customWidth="1"/>
    <col min="24" max="24" width="10.125" style="172" customWidth="1"/>
    <col min="25" max="27" width="9.125" style="172" customWidth="1"/>
    <col min="28" max="28" width="10.125" style="172" bestFit="1" customWidth="1"/>
    <col min="29" max="30" width="11.375" style="172" customWidth="1"/>
    <col min="31" max="31" width="9.25390625" style="172" bestFit="1" customWidth="1"/>
    <col min="32" max="32" width="10.125" style="172" bestFit="1" customWidth="1"/>
    <col min="33" max="33" width="10.25390625" style="172" customWidth="1"/>
    <col min="34" max="38" width="9.25390625" style="172" bestFit="1" customWidth="1"/>
    <col min="39" max="39" width="10.125" style="172" bestFit="1" customWidth="1"/>
    <col min="40" max="42" width="9.25390625" style="172" bestFit="1" customWidth="1"/>
    <col min="43" max="45" width="9.25390625" style="172" customWidth="1"/>
    <col min="46" max="46" width="10.125" style="172" bestFit="1" customWidth="1"/>
    <col min="47" max="47" width="11.625" style="172" customWidth="1"/>
    <col min="48" max="48" width="10.875" style="172" customWidth="1"/>
    <col min="49" max="49" width="10.625" style="172" customWidth="1"/>
    <col min="50" max="50" width="9.25390625" style="172" customWidth="1"/>
    <col min="51" max="51" width="10.625" style="172" customWidth="1"/>
    <col min="52" max="52" width="9.25390625" style="172" bestFit="1" customWidth="1"/>
    <col min="53" max="54" width="10.125" style="172" bestFit="1" customWidth="1"/>
    <col min="55" max="56" width="10.375" style="172" customWidth="1"/>
    <col min="57" max="57" width="10.75390625" style="172" customWidth="1"/>
    <col min="58" max="58" width="14.00390625" style="172" customWidth="1"/>
    <col min="59" max="59" width="10.375" style="172" customWidth="1"/>
    <col min="60" max="16384" width="9.125" style="172" customWidth="1"/>
  </cols>
  <sheetData>
    <row r="1" spans="1:18" ht="21" customHeight="1">
      <c r="A1" s="326" t="s">
        <v>122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171"/>
      <c r="P1" s="171"/>
      <c r="Q1" s="171"/>
      <c r="R1" s="171"/>
    </row>
    <row r="2" spans="1:18" ht="13.5" thickBot="1">
      <c r="A2" s="171"/>
      <c r="B2" s="173"/>
      <c r="C2" s="174"/>
      <c r="D2" s="174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59" ht="29.25" customHeight="1" thickBot="1">
      <c r="A3" s="376" t="s">
        <v>0</v>
      </c>
      <c r="B3" s="378" t="s">
        <v>1</v>
      </c>
      <c r="C3" s="380" t="s">
        <v>2</v>
      </c>
      <c r="D3" s="382" t="s">
        <v>3</v>
      </c>
      <c r="E3" s="376" t="s">
        <v>93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69"/>
      <c r="S3" s="376"/>
      <c r="T3" s="384"/>
      <c r="U3" s="376" t="s">
        <v>5</v>
      </c>
      <c r="V3" s="384"/>
      <c r="W3" s="388" t="s">
        <v>6</v>
      </c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90"/>
      <c r="AJ3" s="394" t="s">
        <v>94</v>
      </c>
      <c r="AK3" s="397" t="s">
        <v>10</v>
      </c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9"/>
      <c r="BF3" s="403" t="s">
        <v>11</v>
      </c>
      <c r="BG3" s="410" t="s">
        <v>12</v>
      </c>
    </row>
    <row r="4" spans="1:59" ht="51.75" customHeight="1" hidden="1" thickBot="1">
      <c r="A4" s="377"/>
      <c r="B4" s="379"/>
      <c r="C4" s="381"/>
      <c r="D4" s="383"/>
      <c r="E4" s="377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48"/>
      <c r="S4" s="386"/>
      <c r="T4" s="387"/>
      <c r="U4" s="386"/>
      <c r="V4" s="387"/>
      <c r="W4" s="391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3"/>
      <c r="AJ4" s="395"/>
      <c r="AK4" s="400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2"/>
      <c r="BF4" s="404"/>
      <c r="BG4" s="411"/>
    </row>
    <row r="5" spans="1:59" ht="19.5" customHeight="1">
      <c r="A5" s="377"/>
      <c r="B5" s="379"/>
      <c r="C5" s="381"/>
      <c r="D5" s="383"/>
      <c r="E5" s="413" t="s">
        <v>13</v>
      </c>
      <c r="F5" s="414"/>
      <c r="G5" s="413" t="s">
        <v>95</v>
      </c>
      <c r="H5" s="414"/>
      <c r="I5" s="413" t="s">
        <v>14</v>
      </c>
      <c r="J5" s="414"/>
      <c r="K5" s="413" t="s">
        <v>16</v>
      </c>
      <c r="L5" s="414"/>
      <c r="M5" s="413" t="s">
        <v>15</v>
      </c>
      <c r="N5" s="414"/>
      <c r="O5" s="417" t="s">
        <v>17</v>
      </c>
      <c r="P5" s="417"/>
      <c r="Q5" s="413" t="s">
        <v>96</v>
      </c>
      <c r="R5" s="414"/>
      <c r="S5" s="417" t="s">
        <v>97</v>
      </c>
      <c r="T5" s="414"/>
      <c r="U5" s="420" t="s">
        <v>20</v>
      </c>
      <c r="V5" s="406" t="s">
        <v>21</v>
      </c>
      <c r="W5" s="408" t="s">
        <v>22</v>
      </c>
      <c r="X5" s="408" t="s">
        <v>98</v>
      </c>
      <c r="Y5" s="408" t="s">
        <v>23</v>
      </c>
      <c r="Z5" s="408" t="s">
        <v>25</v>
      </c>
      <c r="AA5" s="408" t="s">
        <v>24</v>
      </c>
      <c r="AB5" s="408" t="s">
        <v>26</v>
      </c>
      <c r="AC5" s="408" t="s">
        <v>27</v>
      </c>
      <c r="AD5" s="422" t="s">
        <v>28</v>
      </c>
      <c r="AE5" s="422" t="s">
        <v>99</v>
      </c>
      <c r="AF5" s="424" t="s">
        <v>29</v>
      </c>
      <c r="AG5" s="426" t="s">
        <v>100</v>
      </c>
      <c r="AH5" s="428" t="s">
        <v>8</v>
      </c>
      <c r="AI5" s="430" t="s">
        <v>9</v>
      </c>
      <c r="AJ5" s="395"/>
      <c r="AK5" s="432" t="s">
        <v>101</v>
      </c>
      <c r="AL5" s="434" t="s">
        <v>102</v>
      </c>
      <c r="AM5" s="434" t="s">
        <v>103</v>
      </c>
      <c r="AN5" s="436" t="s">
        <v>104</v>
      </c>
      <c r="AO5" s="434" t="s">
        <v>105</v>
      </c>
      <c r="AP5" s="436" t="s">
        <v>106</v>
      </c>
      <c r="AQ5" s="436" t="s">
        <v>107</v>
      </c>
      <c r="AR5" s="436" t="s">
        <v>108</v>
      </c>
      <c r="AS5" s="436" t="s">
        <v>109</v>
      </c>
      <c r="AT5" s="436" t="s">
        <v>36</v>
      </c>
      <c r="AU5" s="307" t="s">
        <v>110</v>
      </c>
      <c r="AV5" s="311" t="s">
        <v>111</v>
      </c>
      <c r="AW5" s="307" t="s">
        <v>112</v>
      </c>
      <c r="AX5" s="297" t="s">
        <v>113</v>
      </c>
      <c r="AY5" s="168"/>
      <c r="AZ5" s="438" t="s">
        <v>19</v>
      </c>
      <c r="BA5" s="436" t="s">
        <v>38</v>
      </c>
      <c r="BB5" s="436" t="s">
        <v>33</v>
      </c>
      <c r="BC5" s="440" t="s">
        <v>39</v>
      </c>
      <c r="BD5" s="442" t="s">
        <v>85</v>
      </c>
      <c r="BE5" s="436" t="s">
        <v>114</v>
      </c>
      <c r="BF5" s="404"/>
      <c r="BG5" s="411"/>
    </row>
    <row r="6" spans="1:59" ht="56.25" customHeight="1" thickBot="1">
      <c r="A6" s="377"/>
      <c r="B6" s="379"/>
      <c r="C6" s="381"/>
      <c r="D6" s="383"/>
      <c r="E6" s="415"/>
      <c r="F6" s="416"/>
      <c r="G6" s="415"/>
      <c r="H6" s="416"/>
      <c r="I6" s="415"/>
      <c r="J6" s="416"/>
      <c r="K6" s="415"/>
      <c r="L6" s="416"/>
      <c r="M6" s="415"/>
      <c r="N6" s="416"/>
      <c r="O6" s="418"/>
      <c r="P6" s="418"/>
      <c r="Q6" s="415"/>
      <c r="R6" s="416"/>
      <c r="S6" s="419"/>
      <c r="T6" s="416"/>
      <c r="U6" s="421"/>
      <c r="V6" s="407"/>
      <c r="W6" s="409"/>
      <c r="X6" s="409"/>
      <c r="Y6" s="409"/>
      <c r="Z6" s="409"/>
      <c r="AA6" s="409"/>
      <c r="AB6" s="409"/>
      <c r="AC6" s="409"/>
      <c r="AD6" s="423"/>
      <c r="AE6" s="423"/>
      <c r="AF6" s="425"/>
      <c r="AG6" s="427"/>
      <c r="AH6" s="429"/>
      <c r="AI6" s="431"/>
      <c r="AJ6" s="396"/>
      <c r="AK6" s="433"/>
      <c r="AL6" s="435"/>
      <c r="AM6" s="435"/>
      <c r="AN6" s="437"/>
      <c r="AO6" s="435"/>
      <c r="AP6" s="437"/>
      <c r="AQ6" s="437"/>
      <c r="AR6" s="437"/>
      <c r="AS6" s="437"/>
      <c r="AT6" s="437"/>
      <c r="AU6" s="308"/>
      <c r="AV6" s="312"/>
      <c r="AW6" s="308"/>
      <c r="AX6" s="298"/>
      <c r="AY6" s="169" t="s">
        <v>115</v>
      </c>
      <c r="AZ6" s="439"/>
      <c r="BA6" s="437"/>
      <c r="BB6" s="437"/>
      <c r="BC6" s="441"/>
      <c r="BD6" s="443"/>
      <c r="BE6" s="437"/>
      <c r="BF6" s="405"/>
      <c r="BG6" s="412"/>
    </row>
    <row r="7" spans="1:59" ht="19.5" customHeight="1" thickBot="1">
      <c r="A7" s="175">
        <v>1</v>
      </c>
      <c r="B7" s="176">
        <v>2</v>
      </c>
      <c r="C7" s="176">
        <v>3</v>
      </c>
      <c r="D7" s="175">
        <v>4</v>
      </c>
      <c r="E7" s="176">
        <v>5</v>
      </c>
      <c r="F7" s="176">
        <v>6</v>
      </c>
      <c r="G7" s="175">
        <v>7</v>
      </c>
      <c r="H7" s="176">
        <v>8</v>
      </c>
      <c r="I7" s="176">
        <v>9</v>
      </c>
      <c r="J7" s="175">
        <v>10</v>
      </c>
      <c r="K7" s="176">
        <v>11</v>
      </c>
      <c r="L7" s="176">
        <v>12</v>
      </c>
      <c r="M7" s="175">
        <v>13</v>
      </c>
      <c r="N7" s="176">
        <v>14</v>
      </c>
      <c r="O7" s="176">
        <v>15</v>
      </c>
      <c r="P7" s="175">
        <v>16</v>
      </c>
      <c r="Q7" s="176">
        <v>17</v>
      </c>
      <c r="R7" s="176">
        <v>18</v>
      </c>
      <c r="S7" s="175">
        <v>19</v>
      </c>
      <c r="T7" s="176">
        <v>20</v>
      </c>
      <c r="U7" s="176">
        <v>21</v>
      </c>
      <c r="V7" s="175">
        <v>22</v>
      </c>
      <c r="W7" s="176">
        <v>23</v>
      </c>
      <c r="X7" s="175">
        <v>24</v>
      </c>
      <c r="Y7" s="176">
        <v>25</v>
      </c>
      <c r="Z7" s="175">
        <v>26</v>
      </c>
      <c r="AA7" s="176">
        <v>27</v>
      </c>
      <c r="AB7" s="175">
        <v>28</v>
      </c>
      <c r="AC7" s="176">
        <v>29</v>
      </c>
      <c r="AD7" s="175">
        <v>30</v>
      </c>
      <c r="AE7" s="175">
        <v>31</v>
      </c>
      <c r="AF7" s="176">
        <v>32</v>
      </c>
      <c r="AG7" s="176">
        <v>33</v>
      </c>
      <c r="AH7" s="176">
        <v>34</v>
      </c>
      <c r="AI7" s="175">
        <v>35</v>
      </c>
      <c r="AJ7" s="176">
        <v>36</v>
      </c>
      <c r="AK7" s="175">
        <v>37</v>
      </c>
      <c r="AL7" s="176">
        <v>38</v>
      </c>
      <c r="AM7" s="175">
        <v>39</v>
      </c>
      <c r="AN7" s="175">
        <v>40</v>
      </c>
      <c r="AO7" s="176">
        <v>41</v>
      </c>
      <c r="AP7" s="175">
        <v>42</v>
      </c>
      <c r="AQ7" s="176">
        <v>43</v>
      </c>
      <c r="AR7" s="175"/>
      <c r="AS7" s="175">
        <v>44</v>
      </c>
      <c r="AT7" s="176">
        <v>45</v>
      </c>
      <c r="AU7" s="175">
        <v>46</v>
      </c>
      <c r="AV7" s="176">
        <v>47</v>
      </c>
      <c r="AW7" s="175">
        <v>48</v>
      </c>
      <c r="AX7" s="175">
        <v>49</v>
      </c>
      <c r="AY7" s="176"/>
      <c r="AZ7" s="176">
        <v>50</v>
      </c>
      <c r="BA7" s="176">
        <v>51</v>
      </c>
      <c r="BB7" s="176">
        <v>52</v>
      </c>
      <c r="BC7" s="176">
        <v>53</v>
      </c>
      <c r="BD7" s="176">
        <v>54</v>
      </c>
      <c r="BE7" s="176"/>
      <c r="BF7" s="176">
        <v>55</v>
      </c>
      <c r="BG7" s="176">
        <v>56</v>
      </c>
    </row>
    <row r="8" spans="1:59" s="28" customFormat="1" ht="13.5" thickBot="1">
      <c r="A8" s="33" t="s">
        <v>54</v>
      </c>
      <c r="B8" s="152"/>
      <c r="C8" s="152">
        <f>Лист1!C44</f>
        <v>167058.315</v>
      </c>
      <c r="D8" s="152">
        <f>Лист1!D44</f>
        <v>173588.09619795</v>
      </c>
      <c r="E8" s="152">
        <f>Лист1!E44</f>
        <v>15494.849999999999</v>
      </c>
      <c r="F8" s="152">
        <f>Лист1!F44</f>
        <v>1783.8600000000001</v>
      </c>
      <c r="G8" s="152">
        <f>0</f>
        <v>0</v>
      </c>
      <c r="H8" s="152">
        <f>0</f>
        <v>0</v>
      </c>
      <c r="I8" s="152">
        <f>Лист1!G44</f>
        <v>19599.29</v>
      </c>
      <c r="J8" s="152">
        <f>Лист1!H44</f>
        <v>1195.5700000000002</v>
      </c>
      <c r="K8" s="152">
        <f>Лист1!K44</f>
        <v>26603.090000000004</v>
      </c>
      <c r="L8" s="152">
        <f>Лист1!L44</f>
        <v>3013.18</v>
      </c>
      <c r="M8" s="152">
        <f>Лист1!I44</f>
        <v>38743.03</v>
      </c>
      <c r="N8" s="152">
        <f>Лист1!J44</f>
        <v>4359.14</v>
      </c>
      <c r="O8" s="152">
        <f>Лист1!M44</f>
        <v>12395.66</v>
      </c>
      <c r="P8" s="152">
        <f>Лист1!N44</f>
        <v>1427.35</v>
      </c>
      <c r="Q8" s="152">
        <f>'[1]Лист1'!O44</f>
        <v>0</v>
      </c>
      <c r="R8" s="152">
        <f>'[1]Лист1'!P44</f>
        <v>0</v>
      </c>
      <c r="S8" s="152">
        <f>'[1]Лист1'!Q44</f>
        <v>0</v>
      </c>
      <c r="T8" s="152">
        <f>'[1]Лист1'!R44</f>
        <v>0</v>
      </c>
      <c r="U8" s="152">
        <f>Лист1!S44</f>
        <v>521542.76</v>
      </c>
      <c r="V8" s="152">
        <f>Лист1!T44</f>
        <v>49995.67999999999</v>
      </c>
      <c r="W8" s="152">
        <f>Лист1!U44</f>
        <v>13239.939999999999</v>
      </c>
      <c r="X8" s="152">
        <v>0</v>
      </c>
      <c r="Y8" s="152">
        <f>Лист1!V44</f>
        <v>16694.21</v>
      </c>
      <c r="Z8" s="152">
        <f>Лист1!X44</f>
        <v>22406.239999999998</v>
      </c>
      <c r="AA8" s="152">
        <f>Лист1!W44</f>
        <v>32406.84</v>
      </c>
      <c r="AB8" s="152">
        <f>Лист1!Y44</f>
        <v>10591.810000000001</v>
      </c>
      <c r="AC8" s="152">
        <f>Лист1!Z44</f>
        <v>341544.73000000004</v>
      </c>
      <c r="AD8" s="152">
        <f>'[2]Лист1'!AA46</f>
        <v>0</v>
      </c>
      <c r="AF8" s="152">
        <f>Лист1!AB44</f>
        <v>436883.7699999999</v>
      </c>
      <c r="AG8" s="152">
        <f>Лист1!AC44</f>
        <v>660467.5461979499</v>
      </c>
      <c r="AH8" s="152">
        <f>'[2]Лист1'!AD46</f>
        <v>0</v>
      </c>
      <c r="AI8" s="152">
        <f>'[2]Лист1'!AE46</f>
        <v>0</v>
      </c>
      <c r="AJ8" s="152">
        <f>'[2]Лист1'!AF46</f>
        <v>0</v>
      </c>
      <c r="AK8" s="152">
        <f>Лист1!AG44</f>
        <v>11416.187999999998</v>
      </c>
      <c r="AL8" s="152">
        <f>Лист1!AH44</f>
        <v>3825.3614535999995</v>
      </c>
      <c r="AM8" s="152">
        <f>Лист1!AI44+Лист1!AJ44</f>
        <v>18951.283704284997</v>
      </c>
      <c r="AN8" s="152">
        <v>0</v>
      </c>
      <c r="AO8" s="152">
        <f>Лист1!AK44+Лист1!AL44</f>
        <v>18902.379325072994</v>
      </c>
      <c r="AP8" s="152">
        <f>Лист1!AM44+Лист1!AN44</f>
        <v>42286.210612632196</v>
      </c>
      <c r="AQ8" s="152">
        <v>0</v>
      </c>
      <c r="AR8" s="152">
        <v>0</v>
      </c>
      <c r="AS8" s="152">
        <f>0</f>
        <v>0</v>
      </c>
      <c r="AT8" s="152">
        <f>Лист1!AO44+Лист1!AP44</f>
        <v>1927.8</v>
      </c>
      <c r="AU8" s="152">
        <f>Лист1!AS44+Лист1!AU44</f>
        <v>45698.974799999996</v>
      </c>
      <c r="AV8" s="152">
        <f>0</f>
        <v>0</v>
      </c>
      <c r="AW8" s="152">
        <f>Лист1!AT44</f>
        <v>26828.76</v>
      </c>
      <c r="AX8" s="152">
        <f>Лист1!AQ44+Лист1!AR44</f>
        <v>41189.5094</v>
      </c>
      <c r="AY8" s="177">
        <f>Лист1!AX44</f>
        <v>581603.232</v>
      </c>
      <c r="AZ8" s="177">
        <f>'[2]Лист1'!AY46</f>
        <v>0</v>
      </c>
      <c r="BA8" s="177">
        <f>'[2]Лист1'!AZ46</f>
        <v>0</v>
      </c>
      <c r="BB8" s="177">
        <f>'[2]Лист1'!BA46</f>
        <v>0</v>
      </c>
      <c r="BC8" s="177">
        <f>Лист1!BB44</f>
        <v>792629.6992955902</v>
      </c>
      <c r="BD8" s="177">
        <f>'[2]Лист1'!BC46</f>
        <v>0</v>
      </c>
      <c r="BE8" s="178">
        <f>BC8</f>
        <v>792629.6992955902</v>
      </c>
      <c r="BF8" s="179">
        <f>Лист1!BD44</f>
        <v>-132162.1530976402</v>
      </c>
      <c r="BG8" s="179">
        <f>Лист1!BE44</f>
        <v>-84658.98999999999</v>
      </c>
    </row>
    <row r="9" spans="1:59" ht="12.75">
      <c r="A9" s="5" t="s">
        <v>116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79"/>
      <c r="BG9" s="182"/>
    </row>
    <row r="10" spans="1:60" ht="14.25">
      <c r="A10" s="183" t="s">
        <v>45</v>
      </c>
      <c r="B10" s="184">
        <v>715.3</v>
      </c>
      <c r="C10" s="134">
        <f aca="true" t="shared" si="0" ref="C10:C21">(B10*0.87)+((B10*5.17*0.9*0.9)+(B10*2.51*0.9*0.9))</f>
        <v>5072.04924</v>
      </c>
      <c r="D10" s="118">
        <v>314.262</v>
      </c>
      <c r="E10" s="186">
        <v>0</v>
      </c>
      <c r="F10" s="185">
        <v>0</v>
      </c>
      <c r="G10" s="186">
        <v>3072.74</v>
      </c>
      <c r="H10" s="186">
        <v>0</v>
      </c>
      <c r="I10" s="186">
        <v>0</v>
      </c>
      <c r="J10" s="186">
        <v>0</v>
      </c>
      <c r="K10" s="270">
        <v>0</v>
      </c>
      <c r="L10" s="270">
        <v>0</v>
      </c>
      <c r="M10" s="186">
        <v>1489.88</v>
      </c>
      <c r="N10" s="186">
        <v>0</v>
      </c>
      <c r="O10" s="271">
        <v>638.76</v>
      </c>
      <c r="P10" s="272">
        <v>0</v>
      </c>
      <c r="Q10" s="187">
        <v>0</v>
      </c>
      <c r="R10" s="188">
        <v>0</v>
      </c>
      <c r="S10" s="206">
        <v>0</v>
      </c>
      <c r="T10" s="208">
        <v>0</v>
      </c>
      <c r="U10" s="189">
        <f aca="true" t="shared" si="1" ref="U10:V21">E10+G10+I10+K10+M10+O10+Q10+S10</f>
        <v>5201.38</v>
      </c>
      <c r="V10" s="190">
        <f t="shared" si="1"/>
        <v>0</v>
      </c>
      <c r="W10" s="186">
        <v>277</v>
      </c>
      <c r="X10" s="186"/>
      <c r="Y10" s="186">
        <v>373.33</v>
      </c>
      <c r="Z10" s="186">
        <v>503.51</v>
      </c>
      <c r="AA10" s="186">
        <v>727.71</v>
      </c>
      <c r="AB10" s="174">
        <v>221.58</v>
      </c>
      <c r="AC10" s="273">
        <v>17162.21</v>
      </c>
      <c r="AD10" s="185">
        <v>0</v>
      </c>
      <c r="AE10" s="191">
        <v>0</v>
      </c>
      <c r="AF10" s="191">
        <f>SUM(W10:AE10)</f>
        <v>19265.34</v>
      </c>
      <c r="AG10" s="192">
        <f>AF10+V10+D10</f>
        <v>19579.602</v>
      </c>
      <c r="AH10" s="193">
        <f aca="true" t="shared" si="2" ref="AH10:AI21">AC10</f>
        <v>17162.21</v>
      </c>
      <c r="AI10" s="193">
        <f t="shared" si="2"/>
        <v>0</v>
      </c>
      <c r="AJ10" s="194"/>
      <c r="AK10" s="195">
        <f aca="true" t="shared" si="3" ref="AK10:AK21">0.67*B10</f>
        <v>479.251</v>
      </c>
      <c r="AL10" s="195">
        <f aca="true" t="shared" si="4" ref="AL10:AL21">B10*0.2</f>
        <v>143.06</v>
      </c>
      <c r="AM10" s="195">
        <f aca="true" t="shared" si="5" ref="AM10:AM21">B10*1</f>
        <v>715.3</v>
      </c>
      <c r="AN10" s="195">
        <f aca="true" t="shared" si="6" ref="AN10:AN21">B10*0.21</f>
        <v>150.213</v>
      </c>
      <c r="AO10" s="195">
        <f aca="true" t="shared" si="7" ref="AO10:AO21">2.02*B10</f>
        <v>1444.906</v>
      </c>
      <c r="AP10" s="195">
        <f aca="true" t="shared" si="8" ref="AP10:AP21">B10*1.03</f>
        <v>736.759</v>
      </c>
      <c r="AQ10" s="195">
        <f aca="true" t="shared" si="9" ref="AQ10:AQ21">B10*0.75</f>
        <v>536.4749999999999</v>
      </c>
      <c r="AR10" s="195">
        <f aca="true" t="shared" si="10" ref="AR10:AR21">B10*0.75</f>
        <v>536.4749999999999</v>
      </c>
      <c r="AS10" s="229">
        <v>0</v>
      </c>
      <c r="AT10" s="195"/>
      <c r="AU10" s="196"/>
      <c r="AV10" s="197"/>
      <c r="AW10" s="196"/>
      <c r="AX10" s="196"/>
      <c r="AY10" s="130"/>
      <c r="AZ10" s="284"/>
      <c r="BA10" s="198"/>
      <c r="BB10" s="198">
        <f>BA10*0.18</f>
        <v>0</v>
      </c>
      <c r="BC10" s="198">
        <f aca="true" t="shared" si="11" ref="BC10:BC21">SUM(AK10:BB10)</f>
        <v>4742.439</v>
      </c>
      <c r="BD10" s="199"/>
      <c r="BE10" s="285">
        <f>BC10</f>
        <v>4742.439</v>
      </c>
      <c r="BF10" s="285">
        <f aca="true" t="shared" si="12" ref="BF10:BF21">AG10-BE10</f>
        <v>14837.162999999999</v>
      </c>
      <c r="BG10" s="285">
        <f>AF10-U10</f>
        <v>14063.96</v>
      </c>
      <c r="BH10" s="200"/>
    </row>
    <row r="11" spans="1:59" ht="12.75">
      <c r="A11" s="183" t="s">
        <v>46</v>
      </c>
      <c r="B11" s="184">
        <v>715.3</v>
      </c>
      <c r="C11" s="134">
        <f t="shared" si="0"/>
        <v>5072.04924</v>
      </c>
      <c r="D11" s="118">
        <v>314.262</v>
      </c>
      <c r="E11" s="186">
        <v>0</v>
      </c>
      <c r="F11" s="185">
        <v>0</v>
      </c>
      <c r="G11" s="186">
        <v>3072.72</v>
      </c>
      <c r="H11" s="186">
        <v>0</v>
      </c>
      <c r="I11" s="186">
        <v>0</v>
      </c>
      <c r="J11" s="186">
        <v>0</v>
      </c>
      <c r="K11" s="274">
        <v>0</v>
      </c>
      <c r="L11" s="274">
        <v>0</v>
      </c>
      <c r="M11" s="186">
        <v>1489.88</v>
      </c>
      <c r="N11" s="186">
        <v>0</v>
      </c>
      <c r="O11" s="271">
        <v>638.76</v>
      </c>
      <c r="P11" s="275">
        <v>0</v>
      </c>
      <c r="Q11" s="186">
        <v>0</v>
      </c>
      <c r="R11" s="185">
        <v>0</v>
      </c>
      <c r="S11" s="185">
        <v>0</v>
      </c>
      <c r="T11" s="186">
        <v>0</v>
      </c>
      <c r="U11" s="201">
        <f t="shared" si="1"/>
        <v>5201.360000000001</v>
      </c>
      <c r="V11" s="190">
        <f t="shared" si="1"/>
        <v>0</v>
      </c>
      <c r="W11" s="186">
        <v>117.81</v>
      </c>
      <c r="X11" s="185">
        <v>2055.73</v>
      </c>
      <c r="Y11" s="186">
        <v>153.58</v>
      </c>
      <c r="Z11" s="186">
        <v>212</v>
      </c>
      <c r="AA11" s="186">
        <v>1178.09</v>
      </c>
      <c r="AB11" s="174">
        <v>483.56</v>
      </c>
      <c r="AC11" s="186">
        <v>7294.01</v>
      </c>
      <c r="AD11" s="185">
        <v>0</v>
      </c>
      <c r="AE11" s="185">
        <v>0</v>
      </c>
      <c r="AF11" s="191">
        <f>SUM(W11:AE11)</f>
        <v>11494.78</v>
      </c>
      <c r="AG11" s="192">
        <f>AF11+V11+D11</f>
        <v>11809.042000000001</v>
      </c>
      <c r="AH11" s="193">
        <f t="shared" si="2"/>
        <v>7294.01</v>
      </c>
      <c r="AI11" s="193">
        <f t="shared" si="2"/>
        <v>0</v>
      </c>
      <c r="AJ11" s="194"/>
      <c r="AK11" s="195">
        <f t="shared" si="3"/>
        <v>479.251</v>
      </c>
      <c r="AL11" s="195">
        <f t="shared" si="4"/>
        <v>143.06</v>
      </c>
      <c r="AM11" s="195">
        <f t="shared" si="5"/>
        <v>715.3</v>
      </c>
      <c r="AN11" s="195">
        <f t="shared" si="6"/>
        <v>150.213</v>
      </c>
      <c r="AO11" s="195">
        <f t="shared" si="7"/>
        <v>1444.906</v>
      </c>
      <c r="AP11" s="195">
        <f t="shared" si="8"/>
        <v>736.759</v>
      </c>
      <c r="AQ11" s="195">
        <f t="shared" si="9"/>
        <v>536.4749999999999</v>
      </c>
      <c r="AR11" s="195">
        <f t="shared" si="10"/>
        <v>536.4749999999999</v>
      </c>
      <c r="AS11" s="229">
        <v>0</v>
      </c>
      <c r="AT11" s="195">
        <f>0.45*357</f>
        <v>160.65</v>
      </c>
      <c r="AU11" s="196"/>
      <c r="AV11" s="197"/>
      <c r="AW11" s="196"/>
      <c r="AX11" s="196">
        <v>33.84</v>
      </c>
      <c r="AY11" s="130"/>
      <c r="AZ11" s="284"/>
      <c r="BA11" s="198"/>
      <c r="BB11" s="198">
        <f>BA11*0.18</f>
        <v>0</v>
      </c>
      <c r="BC11" s="198">
        <f t="shared" si="11"/>
        <v>4936.929</v>
      </c>
      <c r="BD11" s="199"/>
      <c r="BE11" s="285">
        <f aca="true" t="shared" si="13" ref="BE11:BE21">BC11</f>
        <v>4936.929</v>
      </c>
      <c r="BF11" s="285">
        <f t="shared" si="12"/>
        <v>6872.113000000001</v>
      </c>
      <c r="BG11" s="285">
        <f aca="true" t="shared" si="14" ref="BG11:BG21">AF11-U11</f>
        <v>6293.42</v>
      </c>
    </row>
    <row r="12" spans="1:59" ht="12.75">
      <c r="A12" s="183" t="s">
        <v>47</v>
      </c>
      <c r="B12" s="184">
        <v>715.3</v>
      </c>
      <c r="C12" s="134">
        <f t="shared" si="0"/>
        <v>5072.04924</v>
      </c>
      <c r="D12" s="118">
        <v>271.83</v>
      </c>
      <c r="E12" s="186">
        <v>-1.49</v>
      </c>
      <c r="F12" s="185">
        <v>0</v>
      </c>
      <c r="G12" s="186">
        <v>3065.04</v>
      </c>
      <c r="H12" s="186">
        <v>0</v>
      </c>
      <c r="I12" s="186">
        <v>-2.02</v>
      </c>
      <c r="J12" s="186">
        <v>0</v>
      </c>
      <c r="K12" s="270">
        <v>-2.72</v>
      </c>
      <c r="L12" s="270">
        <v>0</v>
      </c>
      <c r="M12" s="186">
        <v>1482.11</v>
      </c>
      <c r="N12" s="186">
        <v>0</v>
      </c>
      <c r="O12" s="271">
        <v>635.89</v>
      </c>
      <c r="P12" s="272">
        <v>0</v>
      </c>
      <c r="Q12" s="213">
        <v>0</v>
      </c>
      <c r="R12" s="213">
        <v>0</v>
      </c>
      <c r="S12" s="213">
        <v>0</v>
      </c>
      <c r="T12" s="186">
        <v>0</v>
      </c>
      <c r="U12" s="186">
        <f t="shared" si="1"/>
        <v>5176.81</v>
      </c>
      <c r="V12" s="202">
        <f t="shared" si="1"/>
        <v>0</v>
      </c>
      <c r="W12" s="203">
        <v>53.99</v>
      </c>
      <c r="X12" s="185">
        <v>2250.66</v>
      </c>
      <c r="Y12" s="186">
        <v>68.61</v>
      </c>
      <c r="Z12" s="186">
        <v>96.52</v>
      </c>
      <c r="AA12" s="186">
        <v>1202.4</v>
      </c>
      <c r="AB12" s="174">
        <v>502.13</v>
      </c>
      <c r="AC12" s="186">
        <v>1957.13</v>
      </c>
      <c r="AD12" s="185">
        <v>0</v>
      </c>
      <c r="AE12" s="186">
        <v>0</v>
      </c>
      <c r="AF12" s="204">
        <f>SUM(W12:AE12)</f>
        <v>6131.44</v>
      </c>
      <c r="AG12" s="192">
        <f>AF12+V12+D12</f>
        <v>6403.2699999999995</v>
      </c>
      <c r="AH12" s="193">
        <f t="shared" si="2"/>
        <v>1957.13</v>
      </c>
      <c r="AI12" s="193">
        <f t="shared" si="2"/>
        <v>0</v>
      </c>
      <c r="AJ12" s="194"/>
      <c r="AK12" s="195">
        <f t="shared" si="3"/>
        <v>479.251</v>
      </c>
      <c r="AL12" s="195">
        <f t="shared" si="4"/>
        <v>143.06</v>
      </c>
      <c r="AM12" s="195">
        <f t="shared" si="5"/>
        <v>715.3</v>
      </c>
      <c r="AN12" s="195">
        <f t="shared" si="6"/>
        <v>150.213</v>
      </c>
      <c r="AO12" s="195">
        <f t="shared" si="7"/>
        <v>1444.906</v>
      </c>
      <c r="AP12" s="195">
        <f t="shared" si="8"/>
        <v>736.759</v>
      </c>
      <c r="AQ12" s="195">
        <f t="shared" si="9"/>
        <v>536.4749999999999</v>
      </c>
      <c r="AR12" s="195">
        <f t="shared" si="10"/>
        <v>536.4749999999999</v>
      </c>
      <c r="AS12" s="229">
        <v>0</v>
      </c>
      <c r="AT12" s="195">
        <f>0.45*357</f>
        <v>160.65</v>
      </c>
      <c r="AU12" s="196"/>
      <c r="AV12" s="205"/>
      <c r="AW12" s="196"/>
      <c r="AX12" s="196"/>
      <c r="AY12" s="130"/>
      <c r="AZ12" s="284"/>
      <c r="BA12" s="198"/>
      <c r="BB12" s="198">
        <f>BA12*0.18</f>
        <v>0</v>
      </c>
      <c r="BC12" s="198">
        <f t="shared" si="11"/>
        <v>4903.089</v>
      </c>
      <c r="BD12" s="199"/>
      <c r="BE12" s="285">
        <f t="shared" si="13"/>
        <v>4903.089</v>
      </c>
      <c r="BF12" s="285">
        <f t="shared" si="12"/>
        <v>1500.1809999999996</v>
      </c>
      <c r="BG12" s="285">
        <f t="shared" si="14"/>
        <v>954.6299999999992</v>
      </c>
    </row>
    <row r="13" spans="1:59" ht="12.75">
      <c r="A13" s="183" t="s">
        <v>48</v>
      </c>
      <c r="B13" s="184">
        <v>715.3</v>
      </c>
      <c r="C13" s="134">
        <f t="shared" si="0"/>
        <v>5072.04924</v>
      </c>
      <c r="D13" s="118">
        <v>271.83</v>
      </c>
      <c r="E13" s="207">
        <v>0</v>
      </c>
      <c r="F13" s="185">
        <v>0</v>
      </c>
      <c r="G13" s="186">
        <v>3058.71</v>
      </c>
      <c r="H13" s="186">
        <v>0</v>
      </c>
      <c r="I13" s="186">
        <v>0</v>
      </c>
      <c r="J13" s="186">
        <v>0</v>
      </c>
      <c r="K13" s="270">
        <v>0</v>
      </c>
      <c r="L13" s="270">
        <v>0</v>
      </c>
      <c r="M13" s="186">
        <v>1482.86</v>
      </c>
      <c r="N13" s="186">
        <v>0</v>
      </c>
      <c r="O13" s="271">
        <v>635.71</v>
      </c>
      <c r="P13" s="272">
        <v>0</v>
      </c>
      <c r="Q13" s="272">
        <v>0</v>
      </c>
      <c r="R13" s="272">
        <v>0</v>
      </c>
      <c r="S13" s="276">
        <v>0</v>
      </c>
      <c r="T13" s="208">
        <v>0</v>
      </c>
      <c r="U13" s="201">
        <f t="shared" si="1"/>
        <v>5177.28</v>
      </c>
      <c r="V13" s="202">
        <f t="shared" si="1"/>
        <v>0</v>
      </c>
      <c r="W13" s="186">
        <v>8.28</v>
      </c>
      <c r="X13" s="185">
        <v>1439.04</v>
      </c>
      <c r="Y13" s="186">
        <v>10.81</v>
      </c>
      <c r="Z13" s="186">
        <v>14.86</v>
      </c>
      <c r="AA13" s="186">
        <v>706.38</v>
      </c>
      <c r="AB13" s="174">
        <v>301.84</v>
      </c>
      <c r="AC13" s="186">
        <v>398.07</v>
      </c>
      <c r="AD13" s="185">
        <v>0</v>
      </c>
      <c r="AE13" s="185">
        <v>0</v>
      </c>
      <c r="AF13" s="191">
        <f>SUM(W13:AD13)</f>
        <v>2879.28</v>
      </c>
      <c r="AG13" s="209">
        <f>AF13+V13+D13</f>
        <v>3151.11</v>
      </c>
      <c r="AH13" s="210">
        <f t="shared" si="2"/>
        <v>398.07</v>
      </c>
      <c r="AI13" s="210">
        <f t="shared" si="2"/>
        <v>0</v>
      </c>
      <c r="AJ13" s="180"/>
      <c r="AK13" s="195">
        <f t="shared" si="3"/>
        <v>479.251</v>
      </c>
      <c r="AL13" s="195">
        <f t="shared" si="4"/>
        <v>143.06</v>
      </c>
      <c r="AM13" s="195">
        <f t="shared" si="5"/>
        <v>715.3</v>
      </c>
      <c r="AN13" s="195">
        <f t="shared" si="6"/>
        <v>150.213</v>
      </c>
      <c r="AO13" s="195">
        <f t="shared" si="7"/>
        <v>1444.906</v>
      </c>
      <c r="AP13" s="195">
        <f t="shared" si="8"/>
        <v>736.759</v>
      </c>
      <c r="AQ13" s="195">
        <f t="shared" si="9"/>
        <v>536.4749999999999</v>
      </c>
      <c r="AR13" s="195">
        <f t="shared" si="10"/>
        <v>536.4749999999999</v>
      </c>
      <c r="AS13" s="229"/>
      <c r="AT13" s="270"/>
      <c r="AU13" s="274"/>
      <c r="AV13" s="274"/>
      <c r="AW13" s="274"/>
      <c r="AX13" s="274">
        <f>25</f>
        <v>25</v>
      </c>
      <c r="AY13" s="130"/>
      <c r="AZ13" s="130"/>
      <c r="BA13" s="274"/>
      <c r="BB13" s="274"/>
      <c r="BC13" s="186">
        <f t="shared" si="11"/>
        <v>4767.439</v>
      </c>
      <c r="BD13" s="214"/>
      <c r="BE13" s="285">
        <f t="shared" si="13"/>
        <v>4767.439</v>
      </c>
      <c r="BF13" s="285">
        <f t="shared" si="12"/>
        <v>-1616.3290000000002</v>
      </c>
      <c r="BG13" s="285">
        <f t="shared" si="14"/>
        <v>-2297.9999999999995</v>
      </c>
    </row>
    <row r="14" spans="1:59" ht="12.75">
      <c r="A14" s="183" t="s">
        <v>49</v>
      </c>
      <c r="B14" s="277">
        <v>715.3</v>
      </c>
      <c r="C14" s="134">
        <f t="shared" si="0"/>
        <v>5072.04924</v>
      </c>
      <c r="D14" s="118">
        <v>271.83</v>
      </c>
      <c r="E14" s="203">
        <v>0</v>
      </c>
      <c r="F14" s="185">
        <v>0</v>
      </c>
      <c r="G14" s="186">
        <v>3058.71</v>
      </c>
      <c r="H14" s="186">
        <v>0</v>
      </c>
      <c r="I14" s="186">
        <v>0</v>
      </c>
      <c r="J14" s="186">
        <v>0</v>
      </c>
      <c r="K14" s="270">
        <v>0</v>
      </c>
      <c r="L14" s="270">
        <v>0</v>
      </c>
      <c r="M14" s="186">
        <v>1482.86</v>
      </c>
      <c r="N14" s="186">
        <v>0</v>
      </c>
      <c r="O14" s="271">
        <v>635.71</v>
      </c>
      <c r="P14" s="272">
        <v>0</v>
      </c>
      <c r="Q14" s="213">
        <v>0</v>
      </c>
      <c r="R14" s="278">
        <v>0</v>
      </c>
      <c r="S14" s="213">
        <v>0</v>
      </c>
      <c r="T14" s="185">
        <v>0</v>
      </c>
      <c r="U14" s="206">
        <f t="shared" si="1"/>
        <v>5177.28</v>
      </c>
      <c r="V14" s="215">
        <f>F14+H14+J14+L14+N14++R14+T14</f>
        <v>0</v>
      </c>
      <c r="W14" s="186">
        <v>71.95</v>
      </c>
      <c r="X14" s="185">
        <v>2219.3</v>
      </c>
      <c r="Y14" s="186">
        <v>97.53</v>
      </c>
      <c r="Z14" s="186">
        <v>131.11</v>
      </c>
      <c r="AA14" s="186">
        <v>1265.32</v>
      </c>
      <c r="AB14" s="174">
        <v>518.7</v>
      </c>
      <c r="AC14" s="186">
        <v>5899.21</v>
      </c>
      <c r="AD14" s="185">
        <v>0</v>
      </c>
      <c r="AE14" s="191">
        <v>0</v>
      </c>
      <c r="AF14" s="216">
        <f>SUM(W14:AE14)</f>
        <v>10203.119999999999</v>
      </c>
      <c r="AG14" s="209">
        <f aca="true" t="shared" si="15" ref="AG14:AG21">D14+V14+AF14</f>
        <v>10474.949999999999</v>
      </c>
      <c r="AH14" s="210">
        <f t="shared" si="2"/>
        <v>5899.21</v>
      </c>
      <c r="AI14" s="210">
        <f t="shared" si="2"/>
        <v>0</v>
      </c>
      <c r="AJ14" s="211"/>
      <c r="AK14" s="195">
        <f t="shared" si="3"/>
        <v>479.251</v>
      </c>
      <c r="AL14" s="195">
        <f t="shared" si="4"/>
        <v>143.06</v>
      </c>
      <c r="AM14" s="195">
        <f t="shared" si="5"/>
        <v>715.3</v>
      </c>
      <c r="AN14" s="195">
        <f t="shared" si="6"/>
        <v>150.213</v>
      </c>
      <c r="AO14" s="195">
        <f t="shared" si="7"/>
        <v>1444.906</v>
      </c>
      <c r="AP14" s="195">
        <f t="shared" si="8"/>
        <v>736.759</v>
      </c>
      <c r="AQ14" s="195">
        <f t="shared" si="9"/>
        <v>536.4749999999999</v>
      </c>
      <c r="AR14" s="195">
        <f t="shared" si="10"/>
        <v>536.4749999999999</v>
      </c>
      <c r="AS14" s="229"/>
      <c r="AT14" s="270"/>
      <c r="AU14" s="212"/>
      <c r="AV14" s="212"/>
      <c r="AW14" s="212"/>
      <c r="AX14" s="212"/>
      <c r="AY14" s="130"/>
      <c r="AZ14" s="130"/>
      <c r="BA14" s="274"/>
      <c r="BB14" s="274"/>
      <c r="BC14" s="186">
        <f t="shared" si="11"/>
        <v>4742.439</v>
      </c>
      <c r="BD14" s="214"/>
      <c r="BE14" s="285">
        <f t="shared" si="13"/>
        <v>4742.439</v>
      </c>
      <c r="BF14" s="285">
        <f t="shared" si="12"/>
        <v>5732.510999999999</v>
      </c>
      <c r="BG14" s="285">
        <f t="shared" si="14"/>
        <v>5025.839999999999</v>
      </c>
    </row>
    <row r="15" spans="1:59" ht="12.75">
      <c r="A15" s="183" t="s">
        <v>50</v>
      </c>
      <c r="B15" s="184">
        <v>715.3</v>
      </c>
      <c r="C15" s="134">
        <f t="shared" si="0"/>
        <v>5072.04924</v>
      </c>
      <c r="D15" s="118">
        <v>271.83</v>
      </c>
      <c r="E15" s="217">
        <v>0</v>
      </c>
      <c r="F15" s="217"/>
      <c r="G15" s="217">
        <v>3058.71</v>
      </c>
      <c r="H15" s="217"/>
      <c r="I15" s="218">
        <v>0</v>
      </c>
      <c r="J15" s="218"/>
      <c r="K15" s="218">
        <v>0</v>
      </c>
      <c r="L15" s="218"/>
      <c r="M15" s="218">
        <v>1482.86</v>
      </c>
      <c r="N15" s="218"/>
      <c r="O15" s="218">
        <v>635.71</v>
      </c>
      <c r="P15" s="218"/>
      <c r="Q15" s="218">
        <v>0</v>
      </c>
      <c r="R15" s="219"/>
      <c r="S15" s="219">
        <v>0</v>
      </c>
      <c r="T15" s="218"/>
      <c r="U15" s="279">
        <f t="shared" si="1"/>
        <v>5177.28</v>
      </c>
      <c r="V15" s="220">
        <f t="shared" si="1"/>
        <v>0</v>
      </c>
      <c r="W15" s="221">
        <v>7.64</v>
      </c>
      <c r="X15" s="217">
        <v>2468.99</v>
      </c>
      <c r="Y15" s="217">
        <v>9.98</v>
      </c>
      <c r="Z15" s="217">
        <v>13.71</v>
      </c>
      <c r="AA15" s="217">
        <v>1210.39</v>
      </c>
      <c r="AB15" s="217">
        <v>517.47</v>
      </c>
      <c r="AC15" s="217">
        <v>330.16</v>
      </c>
      <c r="AD15" s="217">
        <v>0</v>
      </c>
      <c r="AE15" s="232">
        <v>0</v>
      </c>
      <c r="AF15" s="222">
        <f aca="true" t="shared" si="16" ref="AF15:AF21">SUM(W15:AE15)</f>
        <v>4558.34</v>
      </c>
      <c r="AG15" s="209">
        <f t="shared" si="15"/>
        <v>4830.17</v>
      </c>
      <c r="AH15" s="210">
        <f t="shared" si="2"/>
        <v>330.16</v>
      </c>
      <c r="AI15" s="210">
        <f t="shared" si="2"/>
        <v>0</v>
      </c>
      <c r="AJ15" s="211"/>
      <c r="AK15" s="195">
        <f t="shared" si="3"/>
        <v>479.251</v>
      </c>
      <c r="AL15" s="195">
        <f t="shared" si="4"/>
        <v>143.06</v>
      </c>
      <c r="AM15" s="195">
        <f t="shared" si="5"/>
        <v>715.3</v>
      </c>
      <c r="AN15" s="195">
        <f t="shared" si="6"/>
        <v>150.213</v>
      </c>
      <c r="AO15" s="195">
        <f t="shared" si="7"/>
        <v>1444.906</v>
      </c>
      <c r="AP15" s="195">
        <f t="shared" si="8"/>
        <v>736.759</v>
      </c>
      <c r="AQ15" s="195">
        <f t="shared" si="9"/>
        <v>536.4749999999999</v>
      </c>
      <c r="AR15" s="195">
        <f t="shared" si="10"/>
        <v>536.4749999999999</v>
      </c>
      <c r="AS15" s="195"/>
      <c r="AT15" s="270"/>
      <c r="AU15" s="274"/>
      <c r="AV15" s="274"/>
      <c r="AW15" s="274"/>
      <c r="AX15" s="274"/>
      <c r="AY15" s="195"/>
      <c r="AZ15" s="195"/>
      <c r="BA15" s="274"/>
      <c r="BB15" s="274"/>
      <c r="BC15" s="223">
        <f t="shared" si="11"/>
        <v>4742.439</v>
      </c>
      <c r="BD15" s="214"/>
      <c r="BE15" s="285">
        <f t="shared" si="13"/>
        <v>4742.439</v>
      </c>
      <c r="BF15" s="285">
        <f t="shared" si="12"/>
        <v>87.73099999999977</v>
      </c>
      <c r="BG15" s="285">
        <f t="shared" si="14"/>
        <v>-618.9399999999996</v>
      </c>
    </row>
    <row r="16" spans="1:59" ht="12.75">
      <c r="A16" s="183" t="s">
        <v>51</v>
      </c>
      <c r="B16" s="184">
        <v>715.3</v>
      </c>
      <c r="C16" s="134">
        <f t="shared" si="0"/>
        <v>5072.04924</v>
      </c>
      <c r="D16" s="118">
        <v>271.83</v>
      </c>
      <c r="E16" s="224"/>
      <c r="F16" s="224"/>
      <c r="G16" s="224">
        <v>3058.71</v>
      </c>
      <c r="H16" s="224"/>
      <c r="I16" s="224"/>
      <c r="J16" s="224"/>
      <c r="K16" s="224"/>
      <c r="L16" s="224"/>
      <c r="M16" s="224">
        <v>1482.86</v>
      </c>
      <c r="N16" s="224"/>
      <c r="O16" s="224">
        <v>635.71</v>
      </c>
      <c r="P16" s="224"/>
      <c r="Q16" s="224"/>
      <c r="R16" s="224"/>
      <c r="S16" s="225"/>
      <c r="T16" s="221"/>
      <c r="U16" s="226">
        <f t="shared" si="1"/>
        <v>5177.28</v>
      </c>
      <c r="V16" s="280">
        <f t="shared" si="1"/>
        <v>0</v>
      </c>
      <c r="W16" s="227">
        <v>7.37</v>
      </c>
      <c r="X16" s="224">
        <v>2974.9</v>
      </c>
      <c r="Y16" s="224">
        <v>9.61</v>
      </c>
      <c r="Z16" s="224">
        <v>13.21</v>
      </c>
      <c r="AA16" s="224">
        <v>1459.38</v>
      </c>
      <c r="AB16" s="224">
        <v>623.65</v>
      </c>
      <c r="AC16" s="217">
        <v>2773.34</v>
      </c>
      <c r="AD16" s="224"/>
      <c r="AE16" s="225"/>
      <c r="AF16" s="222">
        <f t="shared" si="16"/>
        <v>7861.46</v>
      </c>
      <c r="AG16" s="228">
        <f t="shared" si="15"/>
        <v>8133.29</v>
      </c>
      <c r="AH16" s="210">
        <f t="shared" si="2"/>
        <v>2773.34</v>
      </c>
      <c r="AI16" s="210">
        <f t="shared" si="2"/>
        <v>0</v>
      </c>
      <c r="AJ16" s="281"/>
      <c r="AK16" s="195">
        <f t="shared" si="3"/>
        <v>479.251</v>
      </c>
      <c r="AL16" s="195">
        <f t="shared" si="4"/>
        <v>143.06</v>
      </c>
      <c r="AM16" s="195">
        <f t="shared" si="5"/>
        <v>715.3</v>
      </c>
      <c r="AN16" s="195">
        <f t="shared" si="6"/>
        <v>150.213</v>
      </c>
      <c r="AO16" s="195">
        <f t="shared" si="7"/>
        <v>1444.906</v>
      </c>
      <c r="AP16" s="195">
        <f t="shared" si="8"/>
        <v>736.759</v>
      </c>
      <c r="AQ16" s="195">
        <f t="shared" si="9"/>
        <v>536.4749999999999</v>
      </c>
      <c r="AR16" s="195">
        <f t="shared" si="10"/>
        <v>536.4749999999999</v>
      </c>
      <c r="AS16" s="229"/>
      <c r="AT16" s="270"/>
      <c r="AU16" s="212"/>
      <c r="AV16" s="212"/>
      <c r="AW16" s="212"/>
      <c r="AX16" s="212"/>
      <c r="AY16" s="130"/>
      <c r="AZ16" s="130"/>
      <c r="BA16" s="274"/>
      <c r="BB16" s="274"/>
      <c r="BC16" s="186">
        <f t="shared" si="11"/>
        <v>4742.439</v>
      </c>
      <c r="BD16" s="214"/>
      <c r="BE16" s="285">
        <f t="shared" si="13"/>
        <v>4742.439</v>
      </c>
      <c r="BF16" s="285">
        <f t="shared" si="12"/>
        <v>3390.8509999999997</v>
      </c>
      <c r="BG16" s="285">
        <f t="shared" si="14"/>
        <v>2684.1800000000003</v>
      </c>
    </row>
    <row r="17" spans="1:59" ht="12.75">
      <c r="A17" s="183" t="s">
        <v>52</v>
      </c>
      <c r="B17" s="184">
        <v>715.3</v>
      </c>
      <c r="C17" s="134">
        <f t="shared" si="0"/>
        <v>5072.04924</v>
      </c>
      <c r="D17" s="118">
        <v>271.83</v>
      </c>
      <c r="E17" s="224"/>
      <c r="F17" s="224"/>
      <c r="G17" s="224">
        <v>3055.63</v>
      </c>
      <c r="H17" s="224"/>
      <c r="I17" s="224"/>
      <c r="J17" s="224"/>
      <c r="K17" s="224"/>
      <c r="L17" s="224"/>
      <c r="M17" s="224">
        <v>1481.33</v>
      </c>
      <c r="N17" s="224"/>
      <c r="O17" s="224">
        <v>635.04</v>
      </c>
      <c r="P17" s="224"/>
      <c r="Q17" s="224"/>
      <c r="R17" s="224"/>
      <c r="S17" s="225"/>
      <c r="T17" s="232"/>
      <c r="U17" s="282">
        <f t="shared" si="1"/>
        <v>5172</v>
      </c>
      <c r="V17" s="283">
        <f t="shared" si="1"/>
        <v>0</v>
      </c>
      <c r="W17" s="224">
        <v>7.04</v>
      </c>
      <c r="X17" s="224">
        <v>2431.32</v>
      </c>
      <c r="Y17" s="224">
        <v>9.19</v>
      </c>
      <c r="Z17" s="224">
        <v>12.63</v>
      </c>
      <c r="AA17" s="224">
        <v>1262.89</v>
      </c>
      <c r="AB17" s="224">
        <v>510.97</v>
      </c>
      <c r="AC17" s="224">
        <v>338.67</v>
      </c>
      <c r="AD17" s="224"/>
      <c r="AE17" s="225"/>
      <c r="AF17" s="222">
        <f t="shared" si="16"/>
        <v>4572.710000000001</v>
      </c>
      <c r="AG17" s="228">
        <f t="shared" si="15"/>
        <v>4844.540000000001</v>
      </c>
      <c r="AH17" s="210">
        <f t="shared" si="2"/>
        <v>338.67</v>
      </c>
      <c r="AI17" s="210">
        <f t="shared" si="2"/>
        <v>0</v>
      </c>
      <c r="AJ17" s="281"/>
      <c r="AK17" s="195">
        <f t="shared" si="3"/>
        <v>479.251</v>
      </c>
      <c r="AL17" s="195">
        <f t="shared" si="4"/>
        <v>143.06</v>
      </c>
      <c r="AM17" s="195">
        <f t="shared" si="5"/>
        <v>715.3</v>
      </c>
      <c r="AN17" s="195">
        <f t="shared" si="6"/>
        <v>150.213</v>
      </c>
      <c r="AO17" s="195">
        <f t="shared" si="7"/>
        <v>1444.906</v>
      </c>
      <c r="AP17" s="195">
        <f t="shared" si="8"/>
        <v>736.759</v>
      </c>
      <c r="AQ17" s="195">
        <f t="shared" si="9"/>
        <v>536.4749999999999</v>
      </c>
      <c r="AR17" s="195">
        <f t="shared" si="10"/>
        <v>536.4749999999999</v>
      </c>
      <c r="AS17" s="229"/>
      <c r="AT17" s="270"/>
      <c r="AU17" s="212"/>
      <c r="AV17" s="212"/>
      <c r="AW17" s="212"/>
      <c r="AX17" s="212"/>
      <c r="AY17" s="130"/>
      <c r="AZ17" s="130"/>
      <c r="BA17" s="274"/>
      <c r="BB17" s="274"/>
      <c r="BC17" s="186">
        <f t="shared" si="11"/>
        <v>4742.439</v>
      </c>
      <c r="BD17" s="214"/>
      <c r="BE17" s="285">
        <f t="shared" si="13"/>
        <v>4742.439</v>
      </c>
      <c r="BF17" s="285">
        <f t="shared" si="12"/>
        <v>102.10100000000057</v>
      </c>
      <c r="BG17" s="285">
        <f t="shared" si="14"/>
        <v>-599.289999999999</v>
      </c>
    </row>
    <row r="18" spans="1:59" ht="12.75">
      <c r="A18" s="183" t="s">
        <v>53</v>
      </c>
      <c r="B18" s="184">
        <v>715.3</v>
      </c>
      <c r="C18" s="134">
        <f t="shared" si="0"/>
        <v>5072.04924</v>
      </c>
      <c r="D18" s="118">
        <v>271.83</v>
      </c>
      <c r="E18" s="224"/>
      <c r="F18" s="224"/>
      <c r="G18" s="224">
        <v>3054.59</v>
      </c>
      <c r="H18" s="224"/>
      <c r="I18" s="224"/>
      <c r="J18" s="224"/>
      <c r="K18" s="224"/>
      <c r="L18" s="224"/>
      <c r="M18" s="224">
        <v>1480.8</v>
      </c>
      <c r="N18" s="224"/>
      <c r="O18" s="224">
        <v>634.81</v>
      </c>
      <c r="P18" s="224"/>
      <c r="Q18" s="224"/>
      <c r="R18" s="224"/>
      <c r="S18" s="225"/>
      <c r="T18" s="230"/>
      <c r="U18" s="230">
        <f t="shared" si="1"/>
        <v>5170.200000000001</v>
      </c>
      <c r="V18" s="231">
        <f t="shared" si="1"/>
        <v>0</v>
      </c>
      <c r="W18" s="224">
        <v>6.75</v>
      </c>
      <c r="X18" s="224">
        <v>1324.71</v>
      </c>
      <c r="Y18" s="224">
        <v>8.81</v>
      </c>
      <c r="Z18" s="224">
        <v>12.11</v>
      </c>
      <c r="AA18" s="224">
        <v>603.57</v>
      </c>
      <c r="AB18" s="224">
        <v>267.45</v>
      </c>
      <c r="AC18" s="224">
        <v>220.44</v>
      </c>
      <c r="AD18" s="224"/>
      <c r="AE18" s="225"/>
      <c r="AF18" s="222">
        <f t="shared" si="16"/>
        <v>2443.8399999999997</v>
      </c>
      <c r="AG18" s="228">
        <f t="shared" si="15"/>
        <v>2715.6699999999996</v>
      </c>
      <c r="AH18" s="210">
        <f t="shared" si="2"/>
        <v>220.44</v>
      </c>
      <c r="AI18" s="210">
        <f t="shared" si="2"/>
        <v>0</v>
      </c>
      <c r="AJ18" s="281"/>
      <c r="AK18" s="195">
        <f t="shared" si="3"/>
        <v>479.251</v>
      </c>
      <c r="AL18" s="195">
        <f t="shared" si="4"/>
        <v>143.06</v>
      </c>
      <c r="AM18" s="195">
        <f t="shared" si="5"/>
        <v>715.3</v>
      </c>
      <c r="AN18" s="195">
        <f t="shared" si="6"/>
        <v>150.213</v>
      </c>
      <c r="AO18" s="195">
        <f t="shared" si="7"/>
        <v>1444.906</v>
      </c>
      <c r="AP18" s="195">
        <f t="shared" si="8"/>
        <v>736.759</v>
      </c>
      <c r="AQ18" s="195">
        <f t="shared" si="9"/>
        <v>536.4749999999999</v>
      </c>
      <c r="AR18" s="195">
        <f t="shared" si="10"/>
        <v>536.4749999999999</v>
      </c>
      <c r="AS18" s="229"/>
      <c r="AT18" s="270"/>
      <c r="AU18" s="212"/>
      <c r="AV18" s="212"/>
      <c r="AW18" s="212"/>
      <c r="AX18" s="212"/>
      <c r="AY18" s="130"/>
      <c r="AZ18" s="130"/>
      <c r="BA18" s="274"/>
      <c r="BB18" s="274"/>
      <c r="BC18" s="186">
        <f t="shared" si="11"/>
        <v>4742.439</v>
      </c>
      <c r="BD18" s="214"/>
      <c r="BE18" s="285">
        <f t="shared" si="13"/>
        <v>4742.439</v>
      </c>
      <c r="BF18" s="285">
        <f t="shared" si="12"/>
        <v>-2026.7690000000007</v>
      </c>
      <c r="BG18" s="285">
        <f t="shared" si="14"/>
        <v>-2726.360000000001</v>
      </c>
    </row>
    <row r="19" spans="1:59" ht="12.75">
      <c r="A19" s="183" t="s">
        <v>41</v>
      </c>
      <c r="B19" s="184">
        <v>715.3</v>
      </c>
      <c r="C19" s="134">
        <f t="shared" si="0"/>
        <v>5072.04924</v>
      </c>
      <c r="D19" s="118">
        <v>271.83</v>
      </c>
      <c r="E19" s="217"/>
      <c r="F19" s="217"/>
      <c r="G19" s="217">
        <v>3054.59</v>
      </c>
      <c r="H19" s="217"/>
      <c r="I19" s="217"/>
      <c r="J19" s="217"/>
      <c r="K19" s="217"/>
      <c r="L19" s="217"/>
      <c r="M19" s="217">
        <v>1480.8</v>
      </c>
      <c r="N19" s="217"/>
      <c r="O19" s="217">
        <v>634.81</v>
      </c>
      <c r="P19" s="217"/>
      <c r="Q19" s="217"/>
      <c r="R19" s="217"/>
      <c r="S19" s="232"/>
      <c r="T19" s="233"/>
      <c r="U19" s="234">
        <f t="shared" si="1"/>
        <v>5170.200000000001</v>
      </c>
      <c r="V19" s="235">
        <f t="shared" si="1"/>
        <v>0</v>
      </c>
      <c r="W19" s="217">
        <v>0</v>
      </c>
      <c r="X19" s="217">
        <v>2927.1</v>
      </c>
      <c r="Y19" s="217">
        <v>0</v>
      </c>
      <c r="Z19" s="217">
        <v>0</v>
      </c>
      <c r="AA19" s="217">
        <v>1419.13</v>
      </c>
      <c r="AB19" s="217">
        <v>608.38</v>
      </c>
      <c r="AC19" s="217"/>
      <c r="AD19" s="217"/>
      <c r="AE19" s="232"/>
      <c r="AF19" s="222">
        <f t="shared" si="16"/>
        <v>4954.61</v>
      </c>
      <c r="AG19" s="228">
        <f t="shared" si="15"/>
        <v>5226.44</v>
      </c>
      <c r="AH19" s="210">
        <f t="shared" si="2"/>
        <v>0</v>
      </c>
      <c r="AI19" s="210">
        <f t="shared" si="2"/>
        <v>0</v>
      </c>
      <c r="AJ19" s="281"/>
      <c r="AK19" s="195">
        <f t="shared" si="3"/>
        <v>479.251</v>
      </c>
      <c r="AL19" s="195">
        <f t="shared" si="4"/>
        <v>143.06</v>
      </c>
      <c r="AM19" s="195">
        <f t="shared" si="5"/>
        <v>715.3</v>
      </c>
      <c r="AN19" s="195">
        <f t="shared" si="6"/>
        <v>150.213</v>
      </c>
      <c r="AO19" s="195">
        <f t="shared" si="7"/>
        <v>1444.906</v>
      </c>
      <c r="AP19" s="195">
        <f t="shared" si="8"/>
        <v>736.759</v>
      </c>
      <c r="AQ19" s="195">
        <f t="shared" si="9"/>
        <v>536.4749999999999</v>
      </c>
      <c r="AR19" s="195">
        <f t="shared" si="10"/>
        <v>536.4749999999999</v>
      </c>
      <c r="AS19" s="236">
        <f>B19*1.15</f>
        <v>822.5949999999999</v>
      </c>
      <c r="AT19" s="270"/>
      <c r="AU19" s="212"/>
      <c r="AV19" s="212"/>
      <c r="AW19" s="212"/>
      <c r="AX19" s="212">
        <v>14544</v>
      </c>
      <c r="AY19" s="130"/>
      <c r="AZ19" s="130"/>
      <c r="BA19" s="274"/>
      <c r="BB19" s="274"/>
      <c r="BC19" s="186">
        <f t="shared" si="11"/>
        <v>20109.034</v>
      </c>
      <c r="BD19" s="214"/>
      <c r="BE19" s="285">
        <f t="shared" si="13"/>
        <v>20109.034</v>
      </c>
      <c r="BF19" s="285">
        <f t="shared" si="12"/>
        <v>-14882.594000000001</v>
      </c>
      <c r="BG19" s="285">
        <f t="shared" si="14"/>
        <v>-215.59000000000106</v>
      </c>
    </row>
    <row r="20" spans="1:59" ht="12.75">
      <c r="A20" s="183" t="s">
        <v>42</v>
      </c>
      <c r="B20" s="184">
        <v>715.3</v>
      </c>
      <c r="C20" s="134">
        <f t="shared" si="0"/>
        <v>5072.04924</v>
      </c>
      <c r="D20" s="118">
        <v>271.83</v>
      </c>
      <c r="E20" s="217"/>
      <c r="F20" s="217"/>
      <c r="G20" s="217">
        <v>3054.59</v>
      </c>
      <c r="H20" s="217"/>
      <c r="I20" s="217"/>
      <c r="J20" s="217"/>
      <c r="K20" s="217"/>
      <c r="L20" s="217"/>
      <c r="M20" s="217">
        <v>1480.8</v>
      </c>
      <c r="N20" s="217"/>
      <c r="O20" s="217">
        <v>634.81</v>
      </c>
      <c r="P20" s="217"/>
      <c r="Q20" s="217"/>
      <c r="R20" s="217"/>
      <c r="S20" s="232"/>
      <c r="T20" s="233"/>
      <c r="U20" s="234">
        <f t="shared" si="1"/>
        <v>5170.200000000001</v>
      </c>
      <c r="V20" s="235">
        <f t="shared" si="1"/>
        <v>0</v>
      </c>
      <c r="W20" s="217">
        <v>0</v>
      </c>
      <c r="X20" s="217">
        <v>1981.37</v>
      </c>
      <c r="Y20" s="217">
        <v>0</v>
      </c>
      <c r="Z20" s="217">
        <v>0</v>
      </c>
      <c r="AA20" s="217">
        <v>960.31</v>
      </c>
      <c r="AB20" s="217">
        <v>411.66</v>
      </c>
      <c r="AC20" s="217"/>
      <c r="AD20" s="217"/>
      <c r="AE20" s="232"/>
      <c r="AF20" s="222">
        <f t="shared" si="16"/>
        <v>3353.3399999999997</v>
      </c>
      <c r="AG20" s="228">
        <f t="shared" si="15"/>
        <v>3625.1699999999996</v>
      </c>
      <c r="AH20" s="210">
        <f t="shared" si="2"/>
        <v>0</v>
      </c>
      <c r="AI20" s="210">
        <f t="shared" si="2"/>
        <v>0</v>
      </c>
      <c r="AJ20" s="281"/>
      <c r="AK20" s="195">
        <f t="shared" si="3"/>
        <v>479.251</v>
      </c>
      <c r="AL20" s="195">
        <f t="shared" si="4"/>
        <v>143.06</v>
      </c>
      <c r="AM20" s="195">
        <f t="shared" si="5"/>
        <v>715.3</v>
      </c>
      <c r="AN20" s="195">
        <f t="shared" si="6"/>
        <v>150.213</v>
      </c>
      <c r="AO20" s="195">
        <f t="shared" si="7"/>
        <v>1444.906</v>
      </c>
      <c r="AP20" s="195">
        <f t="shared" si="8"/>
        <v>736.759</v>
      </c>
      <c r="AQ20" s="195">
        <f t="shared" si="9"/>
        <v>536.4749999999999</v>
      </c>
      <c r="AR20" s="195">
        <f t="shared" si="10"/>
        <v>536.4749999999999</v>
      </c>
      <c r="AS20" s="236">
        <f>B20*1.15</f>
        <v>822.5949999999999</v>
      </c>
      <c r="AT20" s="270"/>
      <c r="AU20" s="212"/>
      <c r="AV20" s="212"/>
      <c r="AW20" s="212"/>
      <c r="AX20" s="212"/>
      <c r="AY20" s="130"/>
      <c r="AZ20" s="130"/>
      <c r="BA20" s="274"/>
      <c r="BB20" s="274"/>
      <c r="BC20" s="186">
        <f t="shared" si="11"/>
        <v>5565.034000000001</v>
      </c>
      <c r="BD20" s="214"/>
      <c r="BE20" s="285">
        <f t="shared" si="13"/>
        <v>5565.034000000001</v>
      </c>
      <c r="BF20" s="285">
        <f t="shared" si="12"/>
        <v>-1939.864000000001</v>
      </c>
      <c r="BG20" s="285">
        <f t="shared" si="14"/>
        <v>-1816.860000000001</v>
      </c>
    </row>
    <row r="21" spans="1:59" ht="13.5" thickBot="1">
      <c r="A21" s="183" t="s">
        <v>43</v>
      </c>
      <c r="B21" s="184">
        <v>715.3</v>
      </c>
      <c r="C21" s="134">
        <f t="shared" si="0"/>
        <v>5072.04924</v>
      </c>
      <c r="D21" s="118">
        <v>271.83</v>
      </c>
      <c r="E21" s="237"/>
      <c r="F21" s="237"/>
      <c r="G21" s="237">
        <v>3054.59</v>
      </c>
      <c r="H21" s="237"/>
      <c r="I21" s="237"/>
      <c r="J21" s="237"/>
      <c r="K21" s="237"/>
      <c r="L21" s="237"/>
      <c r="M21" s="237">
        <v>1480.8</v>
      </c>
      <c r="N21" s="237"/>
      <c r="O21" s="237">
        <v>634.81</v>
      </c>
      <c r="P21" s="237"/>
      <c r="Q21" s="237"/>
      <c r="R21" s="237"/>
      <c r="S21" s="238"/>
      <c r="T21" s="239"/>
      <c r="U21" s="234">
        <f t="shared" si="1"/>
        <v>5170.200000000001</v>
      </c>
      <c r="V21" s="235">
        <f t="shared" si="1"/>
        <v>0</v>
      </c>
      <c r="W21" s="217">
        <v>0</v>
      </c>
      <c r="X21" s="217">
        <v>5258.99</v>
      </c>
      <c r="Y21" s="217">
        <v>0</v>
      </c>
      <c r="Z21" s="217">
        <v>0</v>
      </c>
      <c r="AA21" s="217">
        <v>2548.96</v>
      </c>
      <c r="AB21" s="217">
        <v>1092.62</v>
      </c>
      <c r="AC21" s="217"/>
      <c r="AD21" s="217"/>
      <c r="AE21" s="232"/>
      <c r="AF21" s="222">
        <f t="shared" si="16"/>
        <v>8900.57</v>
      </c>
      <c r="AG21" s="228">
        <f t="shared" si="15"/>
        <v>9172.4</v>
      </c>
      <c r="AH21" s="210">
        <f t="shared" si="2"/>
        <v>0</v>
      </c>
      <c r="AI21" s="210">
        <f t="shared" si="2"/>
        <v>0</v>
      </c>
      <c r="AJ21" s="281"/>
      <c r="AK21" s="195">
        <f t="shared" si="3"/>
        <v>479.251</v>
      </c>
      <c r="AL21" s="195">
        <f t="shared" si="4"/>
        <v>143.06</v>
      </c>
      <c r="AM21" s="195">
        <f t="shared" si="5"/>
        <v>715.3</v>
      </c>
      <c r="AN21" s="195">
        <f t="shared" si="6"/>
        <v>150.213</v>
      </c>
      <c r="AO21" s="195">
        <f t="shared" si="7"/>
        <v>1444.906</v>
      </c>
      <c r="AP21" s="195">
        <f t="shared" si="8"/>
        <v>736.759</v>
      </c>
      <c r="AQ21" s="195">
        <f t="shared" si="9"/>
        <v>536.4749999999999</v>
      </c>
      <c r="AR21" s="195">
        <f t="shared" si="10"/>
        <v>536.4749999999999</v>
      </c>
      <c r="AS21" s="236">
        <f>B21*1.15</f>
        <v>822.5949999999999</v>
      </c>
      <c r="AT21" s="270"/>
      <c r="AU21" s="212"/>
      <c r="AV21" s="212"/>
      <c r="AW21" s="212"/>
      <c r="AX21" s="212">
        <v>600</v>
      </c>
      <c r="AY21" s="130"/>
      <c r="AZ21" s="130"/>
      <c r="BA21" s="274"/>
      <c r="BB21" s="274"/>
      <c r="BC21" s="186">
        <f t="shared" si="11"/>
        <v>6165.034000000001</v>
      </c>
      <c r="BD21" s="214"/>
      <c r="BE21" s="285">
        <f t="shared" si="13"/>
        <v>6165.034000000001</v>
      </c>
      <c r="BF21" s="285">
        <f t="shared" si="12"/>
        <v>3007.365999999999</v>
      </c>
      <c r="BG21" s="285">
        <f t="shared" si="14"/>
        <v>3730.369999999999</v>
      </c>
    </row>
    <row r="22" spans="1:59" s="28" customFormat="1" ht="13.5" thickBot="1">
      <c r="A22" s="240" t="s">
        <v>5</v>
      </c>
      <c r="B22" s="162"/>
      <c r="C22" s="241">
        <f aca="true" t="shared" si="17" ref="C22:AY22">SUM(C10:C21)</f>
        <v>60864.59088</v>
      </c>
      <c r="D22" s="241">
        <f t="shared" si="17"/>
        <v>3346.8239999999996</v>
      </c>
      <c r="E22" s="241">
        <f t="shared" si="17"/>
        <v>-1.49</v>
      </c>
      <c r="F22" s="241">
        <f t="shared" si="17"/>
        <v>0</v>
      </c>
      <c r="G22" s="241">
        <f t="shared" si="17"/>
        <v>36719.33</v>
      </c>
      <c r="H22" s="241">
        <f t="shared" si="17"/>
        <v>0</v>
      </c>
      <c r="I22" s="241">
        <f t="shared" si="17"/>
        <v>-2.02</v>
      </c>
      <c r="J22" s="241">
        <f t="shared" si="17"/>
        <v>0</v>
      </c>
      <c r="K22" s="241">
        <f t="shared" si="17"/>
        <v>-2.72</v>
      </c>
      <c r="L22" s="241">
        <f t="shared" si="17"/>
        <v>0</v>
      </c>
      <c r="M22" s="241">
        <f t="shared" si="17"/>
        <v>17797.839999999997</v>
      </c>
      <c r="N22" s="241">
        <f t="shared" si="17"/>
        <v>0</v>
      </c>
      <c r="O22" s="241">
        <f t="shared" si="17"/>
        <v>7630.529999999999</v>
      </c>
      <c r="P22" s="241">
        <f t="shared" si="17"/>
        <v>0</v>
      </c>
      <c r="Q22" s="241">
        <f t="shared" si="17"/>
        <v>0</v>
      </c>
      <c r="R22" s="241">
        <f t="shared" si="17"/>
        <v>0</v>
      </c>
      <c r="S22" s="241">
        <f t="shared" si="17"/>
        <v>0</v>
      </c>
      <c r="T22" s="241">
        <f t="shared" si="17"/>
        <v>0</v>
      </c>
      <c r="U22" s="241">
        <f t="shared" si="17"/>
        <v>62141.46999999999</v>
      </c>
      <c r="V22" s="241">
        <f t="shared" si="17"/>
        <v>0</v>
      </c>
      <c r="W22" s="241">
        <f t="shared" si="17"/>
        <v>557.8299999999999</v>
      </c>
      <c r="X22" s="241">
        <f t="shared" si="17"/>
        <v>27332.109999999993</v>
      </c>
      <c r="Y22" s="241">
        <f t="shared" si="17"/>
        <v>741.4499999999999</v>
      </c>
      <c r="Z22" s="241">
        <f t="shared" si="17"/>
        <v>1009.6600000000001</v>
      </c>
      <c r="AA22" s="241">
        <f t="shared" si="17"/>
        <v>14544.529999999999</v>
      </c>
      <c r="AB22" s="241">
        <f t="shared" si="17"/>
        <v>6060.009999999999</v>
      </c>
      <c r="AC22" s="241">
        <f t="shared" si="17"/>
        <v>36373.240000000005</v>
      </c>
      <c r="AD22" s="241">
        <f t="shared" si="17"/>
        <v>0</v>
      </c>
      <c r="AE22" s="241">
        <f t="shared" si="17"/>
        <v>0</v>
      </c>
      <c r="AF22" s="241">
        <f t="shared" si="17"/>
        <v>86618.82999999999</v>
      </c>
      <c r="AG22" s="241">
        <f t="shared" si="17"/>
        <v>89965.65399999998</v>
      </c>
      <c r="AH22" s="241">
        <f t="shared" si="17"/>
        <v>36373.240000000005</v>
      </c>
      <c r="AI22" s="241">
        <f t="shared" si="17"/>
        <v>0</v>
      </c>
      <c r="AJ22" s="241">
        <f t="shared" si="17"/>
        <v>0</v>
      </c>
      <c r="AK22" s="241">
        <f t="shared" si="17"/>
        <v>5751.0120000000015</v>
      </c>
      <c r="AL22" s="241">
        <f t="shared" si="17"/>
        <v>1716.7199999999996</v>
      </c>
      <c r="AM22" s="241">
        <f t="shared" si="17"/>
        <v>8583.6</v>
      </c>
      <c r="AN22" s="241">
        <f t="shared" si="17"/>
        <v>1802.5559999999998</v>
      </c>
      <c r="AO22" s="241">
        <f t="shared" si="17"/>
        <v>17338.871999999996</v>
      </c>
      <c r="AP22" s="241">
        <f t="shared" si="17"/>
        <v>8841.108</v>
      </c>
      <c r="AQ22" s="241">
        <f t="shared" si="17"/>
        <v>6437.700000000001</v>
      </c>
      <c r="AR22" s="241">
        <f t="shared" si="17"/>
        <v>6437.700000000001</v>
      </c>
      <c r="AS22" s="241">
        <f t="shared" si="17"/>
        <v>2467.785</v>
      </c>
      <c r="AT22" s="241">
        <f t="shared" si="17"/>
        <v>321.3</v>
      </c>
      <c r="AU22" s="241">
        <f t="shared" si="17"/>
        <v>0</v>
      </c>
      <c r="AV22" s="241">
        <f t="shared" si="17"/>
        <v>0</v>
      </c>
      <c r="AW22" s="241">
        <f t="shared" si="17"/>
        <v>0</v>
      </c>
      <c r="AX22" s="241">
        <f t="shared" si="17"/>
        <v>15202.84</v>
      </c>
      <c r="AY22" s="241">
        <f t="shared" si="17"/>
        <v>0</v>
      </c>
      <c r="AZ22" s="241">
        <f>SUM(BA10:BA21)</f>
        <v>0</v>
      </c>
      <c r="BA22" s="241">
        <f aca="true" t="shared" si="18" ref="BA22:BG22">SUM(BA10:BA21)</f>
        <v>0</v>
      </c>
      <c r="BB22" s="241">
        <f t="shared" si="18"/>
        <v>0</v>
      </c>
      <c r="BC22" s="241">
        <f t="shared" si="18"/>
        <v>74901.193</v>
      </c>
      <c r="BD22" s="241">
        <f t="shared" si="18"/>
        <v>0</v>
      </c>
      <c r="BE22" s="241">
        <f t="shared" si="18"/>
        <v>74901.193</v>
      </c>
      <c r="BF22" s="241">
        <f t="shared" si="18"/>
        <v>15064.460999999988</v>
      </c>
      <c r="BG22" s="241">
        <f t="shared" si="18"/>
        <v>24477.359999999993</v>
      </c>
    </row>
    <row r="23" spans="1:59" s="28" customFormat="1" ht="13.5" thickBot="1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4"/>
      <c r="BF23" s="243"/>
      <c r="BG23" s="163"/>
    </row>
    <row r="24" spans="1:59" s="28" customFormat="1" ht="13.5" thickBot="1">
      <c r="A24" s="33" t="s">
        <v>54</v>
      </c>
      <c r="B24" s="243"/>
      <c r="C24" s="245">
        <f aca="true" t="shared" si="19" ref="C24:AD24">C22+C8</f>
        <v>227922.90588</v>
      </c>
      <c r="D24" s="245">
        <f t="shared" si="19"/>
        <v>176934.92019795</v>
      </c>
      <c r="E24" s="245">
        <f t="shared" si="19"/>
        <v>15493.359999999999</v>
      </c>
      <c r="F24" s="245">
        <f t="shared" si="19"/>
        <v>1783.8600000000001</v>
      </c>
      <c r="G24" s="245">
        <f t="shared" si="19"/>
        <v>36719.33</v>
      </c>
      <c r="H24" s="245">
        <f t="shared" si="19"/>
        <v>0</v>
      </c>
      <c r="I24" s="245">
        <f t="shared" si="19"/>
        <v>19597.27</v>
      </c>
      <c r="J24" s="245">
        <f t="shared" si="19"/>
        <v>1195.5700000000002</v>
      </c>
      <c r="K24" s="245">
        <f t="shared" si="19"/>
        <v>26600.370000000003</v>
      </c>
      <c r="L24" s="245">
        <f t="shared" si="19"/>
        <v>3013.18</v>
      </c>
      <c r="M24" s="245">
        <f t="shared" si="19"/>
        <v>56540.869999999995</v>
      </c>
      <c r="N24" s="245">
        <f t="shared" si="19"/>
        <v>4359.14</v>
      </c>
      <c r="O24" s="245">
        <f t="shared" si="19"/>
        <v>20026.19</v>
      </c>
      <c r="P24" s="245">
        <f t="shared" si="19"/>
        <v>1427.35</v>
      </c>
      <c r="Q24" s="245">
        <f t="shared" si="19"/>
        <v>0</v>
      </c>
      <c r="R24" s="245">
        <f t="shared" si="19"/>
        <v>0</v>
      </c>
      <c r="S24" s="245">
        <f t="shared" si="19"/>
        <v>0</v>
      </c>
      <c r="T24" s="245">
        <f t="shared" si="19"/>
        <v>0</v>
      </c>
      <c r="U24" s="245">
        <f t="shared" si="19"/>
        <v>583684.23</v>
      </c>
      <c r="V24" s="245">
        <f t="shared" si="19"/>
        <v>49995.67999999999</v>
      </c>
      <c r="W24" s="245">
        <f t="shared" si="19"/>
        <v>13797.769999999999</v>
      </c>
      <c r="X24" s="245">
        <f t="shared" si="19"/>
        <v>27332.109999999993</v>
      </c>
      <c r="Y24" s="245">
        <f t="shared" si="19"/>
        <v>17435.66</v>
      </c>
      <c r="Z24" s="245">
        <f t="shared" si="19"/>
        <v>23415.899999999998</v>
      </c>
      <c r="AA24" s="245">
        <f t="shared" si="19"/>
        <v>46951.369999999995</v>
      </c>
      <c r="AB24" s="245">
        <f t="shared" si="19"/>
        <v>16651.82</v>
      </c>
      <c r="AC24" s="245">
        <f t="shared" si="19"/>
        <v>377917.97000000003</v>
      </c>
      <c r="AD24" s="245">
        <f t="shared" si="19"/>
        <v>0</v>
      </c>
      <c r="AE24" s="245">
        <f>AE22+AF8</f>
        <v>436883.7699999999</v>
      </c>
      <c r="AF24" s="245" t="e">
        <f>AF22+#REF!</f>
        <v>#REF!</v>
      </c>
      <c r="AG24" s="245">
        <f aca="true" t="shared" si="20" ref="AG24:BG24">AG22+AG8</f>
        <v>750433.2001979499</v>
      </c>
      <c r="AH24" s="245">
        <f t="shared" si="20"/>
        <v>36373.240000000005</v>
      </c>
      <c r="AI24" s="245">
        <f t="shared" si="20"/>
        <v>0</v>
      </c>
      <c r="AJ24" s="245">
        <f t="shared" si="20"/>
        <v>0</v>
      </c>
      <c r="AK24" s="245">
        <f t="shared" si="20"/>
        <v>17167.2</v>
      </c>
      <c r="AL24" s="245">
        <f t="shared" si="20"/>
        <v>5542.081453599999</v>
      </c>
      <c r="AM24" s="245">
        <f t="shared" si="20"/>
        <v>27534.883704285</v>
      </c>
      <c r="AN24" s="245">
        <f t="shared" si="20"/>
        <v>1802.5559999999998</v>
      </c>
      <c r="AO24" s="245">
        <f t="shared" si="20"/>
        <v>36241.25132507299</v>
      </c>
      <c r="AP24" s="245">
        <f t="shared" si="20"/>
        <v>51127.318612632196</v>
      </c>
      <c r="AQ24" s="245">
        <f t="shared" si="20"/>
        <v>6437.700000000001</v>
      </c>
      <c r="AR24" s="245">
        <f t="shared" si="20"/>
        <v>6437.700000000001</v>
      </c>
      <c r="AS24" s="245">
        <f t="shared" si="20"/>
        <v>2467.785</v>
      </c>
      <c r="AT24" s="245">
        <f t="shared" si="20"/>
        <v>2249.1</v>
      </c>
      <c r="AU24" s="245">
        <f t="shared" si="20"/>
        <v>45698.974799999996</v>
      </c>
      <c r="AV24" s="245">
        <f t="shared" si="20"/>
        <v>0</v>
      </c>
      <c r="AW24" s="245">
        <f t="shared" si="20"/>
        <v>26828.76</v>
      </c>
      <c r="AX24" s="245">
        <f t="shared" si="20"/>
        <v>56392.34940000001</v>
      </c>
      <c r="AY24" s="245">
        <f t="shared" si="20"/>
        <v>581603.232</v>
      </c>
      <c r="AZ24" s="245">
        <f t="shared" si="20"/>
        <v>0</v>
      </c>
      <c r="BA24" s="245">
        <f t="shared" si="20"/>
        <v>0</v>
      </c>
      <c r="BB24" s="245">
        <f t="shared" si="20"/>
        <v>0</v>
      </c>
      <c r="BC24" s="245">
        <f t="shared" si="20"/>
        <v>867530.8922955901</v>
      </c>
      <c r="BD24" s="245">
        <f t="shared" si="20"/>
        <v>0</v>
      </c>
      <c r="BE24" s="246">
        <f t="shared" si="20"/>
        <v>867530.8922955901</v>
      </c>
      <c r="BF24" s="245">
        <f t="shared" si="20"/>
        <v>-117097.69209764022</v>
      </c>
      <c r="BG24" s="165">
        <f t="shared" si="20"/>
        <v>-60181.63</v>
      </c>
    </row>
    <row r="25" spans="1:59" ht="12.75">
      <c r="A25" s="5" t="s">
        <v>123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1"/>
      <c r="BF25" s="179"/>
      <c r="BG25" s="182"/>
    </row>
    <row r="26" spans="1:60" ht="12.75">
      <c r="A26" s="183" t="s">
        <v>45</v>
      </c>
      <c r="B26" s="184">
        <v>715.3</v>
      </c>
      <c r="C26" s="134">
        <f aca="true" t="shared" si="21" ref="C26:C31">(B26*0.87)+((B26*5.17*0.9*0.9)+(B26*2.51*0.9*0.9))</f>
        <v>5072.04924</v>
      </c>
      <c r="D26" s="286">
        <v>271.83</v>
      </c>
      <c r="E26" s="217"/>
      <c r="F26" s="217"/>
      <c r="G26" s="217">
        <v>3054.59</v>
      </c>
      <c r="H26" s="217"/>
      <c r="I26" s="217"/>
      <c r="J26" s="217"/>
      <c r="K26" s="217"/>
      <c r="L26" s="217"/>
      <c r="M26" s="217">
        <v>1480.8</v>
      </c>
      <c r="N26" s="217"/>
      <c r="O26" s="217">
        <v>634.81</v>
      </c>
      <c r="P26" s="217"/>
      <c r="Q26" s="217"/>
      <c r="R26" s="217"/>
      <c r="S26" s="232"/>
      <c r="T26" s="239"/>
      <c r="U26" s="234">
        <f aca="true" t="shared" si="22" ref="U26:V31">E26+G26+I26+K26+M26+O26+Q26+S26</f>
        <v>5170.200000000001</v>
      </c>
      <c r="V26" s="235">
        <f t="shared" si="22"/>
        <v>0</v>
      </c>
      <c r="W26" s="217">
        <v>0</v>
      </c>
      <c r="X26" s="217">
        <v>2480.01</v>
      </c>
      <c r="Y26" s="217">
        <v>0</v>
      </c>
      <c r="Z26" s="217">
        <v>0</v>
      </c>
      <c r="AA26" s="217">
        <v>1201.93</v>
      </c>
      <c r="AB26" s="217">
        <v>515.2</v>
      </c>
      <c r="AC26" s="217"/>
      <c r="AD26" s="217"/>
      <c r="AE26" s="232"/>
      <c r="AF26" s="222">
        <f aca="true" t="shared" si="23" ref="AF26:AF31">SUM(W26:AE26)</f>
        <v>4197.14</v>
      </c>
      <c r="AG26" s="228">
        <f aca="true" t="shared" si="24" ref="AG26:AG37">D26+V26+AF26</f>
        <v>4468.97</v>
      </c>
      <c r="AH26" s="210">
        <f aca="true" t="shared" si="25" ref="AH26:AI37">AC26</f>
        <v>0</v>
      </c>
      <c r="AI26" s="210">
        <f t="shared" si="25"/>
        <v>0</v>
      </c>
      <c r="AJ26" s="281"/>
      <c r="AK26" s="195">
        <f aca="true" t="shared" si="26" ref="AK26:AK31">0.67*B26</f>
        <v>479.251</v>
      </c>
      <c r="AL26" s="195">
        <f aca="true" t="shared" si="27" ref="AL26:AL37">B26*0.2</f>
        <v>143.06</v>
      </c>
      <c r="AM26" s="195">
        <f aca="true" t="shared" si="28" ref="AM26:AM37">B26*1</f>
        <v>715.3</v>
      </c>
      <c r="AN26" s="195">
        <f aca="true" t="shared" si="29" ref="AN26:AN37">B26*0.21</f>
        <v>150.213</v>
      </c>
      <c r="AO26" s="195">
        <f aca="true" t="shared" si="30" ref="AO26:AO37">2.02*B26</f>
        <v>1444.906</v>
      </c>
      <c r="AP26" s="195">
        <f aca="true" t="shared" si="31" ref="AP26:AP37">B26*1.03</f>
        <v>736.759</v>
      </c>
      <c r="AQ26" s="195">
        <f aca="true" t="shared" si="32" ref="AQ26:AQ37">B26*0.75</f>
        <v>536.4749999999999</v>
      </c>
      <c r="AR26" s="195">
        <f aca="true" t="shared" si="33" ref="AR26:AR37">B26*0.75</f>
        <v>536.4749999999999</v>
      </c>
      <c r="AS26" s="236">
        <f>B26*1.15</f>
        <v>822.5949999999999</v>
      </c>
      <c r="AT26" s="270"/>
      <c r="AU26" s="212"/>
      <c r="AV26" s="212"/>
      <c r="AW26" s="212"/>
      <c r="AX26" s="212"/>
      <c r="AY26" s="212"/>
      <c r="AZ26" s="212"/>
      <c r="BA26" s="130"/>
      <c r="BB26" s="274"/>
      <c r="BC26" s="223">
        <f aca="true" t="shared" si="34" ref="BC26:BC37">SUM(AK26:BB26)</f>
        <v>5565.034000000001</v>
      </c>
      <c r="BD26" s="214"/>
      <c r="BE26" s="285">
        <f>BC26</f>
        <v>5565.034000000001</v>
      </c>
      <c r="BF26" s="285">
        <f>AG26-BE26</f>
        <v>-1096.0640000000003</v>
      </c>
      <c r="BG26" s="285">
        <f>AF26-U26</f>
        <v>-973.0600000000004</v>
      </c>
      <c r="BH26" s="200"/>
    </row>
    <row r="27" spans="1:59" ht="12.75">
      <c r="A27" s="183" t="s">
        <v>46</v>
      </c>
      <c r="B27" s="184">
        <v>715.3</v>
      </c>
      <c r="C27" s="134">
        <f t="shared" si="21"/>
        <v>5072.04924</v>
      </c>
      <c r="D27" s="286">
        <v>271.83</v>
      </c>
      <c r="E27" s="224"/>
      <c r="F27" s="224"/>
      <c r="G27" s="224">
        <v>3054.59</v>
      </c>
      <c r="H27" s="224"/>
      <c r="I27" s="224"/>
      <c r="J27" s="224"/>
      <c r="K27" s="224"/>
      <c r="L27" s="224"/>
      <c r="M27" s="224">
        <v>1480.8</v>
      </c>
      <c r="N27" s="224"/>
      <c r="O27" s="224">
        <v>634.81</v>
      </c>
      <c r="P27" s="224"/>
      <c r="Q27" s="224"/>
      <c r="R27" s="224"/>
      <c r="S27" s="225"/>
      <c r="T27" s="239"/>
      <c r="U27" s="234">
        <f t="shared" si="22"/>
        <v>5170.200000000001</v>
      </c>
      <c r="V27" s="235">
        <f t="shared" si="22"/>
        <v>0</v>
      </c>
      <c r="W27" s="224">
        <v>0</v>
      </c>
      <c r="X27" s="224">
        <v>1837.67</v>
      </c>
      <c r="Y27" s="224">
        <v>0</v>
      </c>
      <c r="Z27" s="224">
        <v>0</v>
      </c>
      <c r="AA27" s="224">
        <v>890.61</v>
      </c>
      <c r="AB27" s="224">
        <v>381.77</v>
      </c>
      <c r="AC27" s="224"/>
      <c r="AD27" s="224"/>
      <c r="AE27" s="225"/>
      <c r="AF27" s="222">
        <f t="shared" si="23"/>
        <v>3110.05</v>
      </c>
      <c r="AG27" s="228">
        <f t="shared" si="24"/>
        <v>3381.88</v>
      </c>
      <c r="AH27" s="210">
        <f t="shared" si="25"/>
        <v>0</v>
      </c>
      <c r="AI27" s="210">
        <f t="shared" si="25"/>
        <v>0</v>
      </c>
      <c r="AJ27" s="281"/>
      <c r="AK27" s="186">
        <f t="shared" si="26"/>
        <v>479.251</v>
      </c>
      <c r="AL27" s="195">
        <f t="shared" si="27"/>
        <v>143.06</v>
      </c>
      <c r="AM27" s="195">
        <f t="shared" si="28"/>
        <v>715.3</v>
      </c>
      <c r="AN27" s="195">
        <f t="shared" si="29"/>
        <v>150.213</v>
      </c>
      <c r="AO27" s="195">
        <f t="shared" si="30"/>
        <v>1444.906</v>
      </c>
      <c r="AP27" s="195">
        <f t="shared" si="31"/>
        <v>736.759</v>
      </c>
      <c r="AQ27" s="195">
        <f t="shared" si="32"/>
        <v>536.4749999999999</v>
      </c>
      <c r="AR27" s="195">
        <f t="shared" si="33"/>
        <v>536.4749999999999</v>
      </c>
      <c r="AS27" s="236">
        <f>B27*1.15</f>
        <v>822.5949999999999</v>
      </c>
      <c r="AT27" s="270"/>
      <c r="AU27" s="212"/>
      <c r="AV27" s="212"/>
      <c r="AW27" s="212"/>
      <c r="AX27" s="212"/>
      <c r="AY27" s="212"/>
      <c r="AZ27" s="212"/>
      <c r="BA27" s="130"/>
      <c r="BB27" s="274"/>
      <c r="BC27" s="186">
        <f t="shared" si="34"/>
        <v>5565.034000000001</v>
      </c>
      <c r="BD27" s="214"/>
      <c r="BE27" s="285">
        <f aca="true" t="shared" si="35" ref="BE27:BE37">BC27</f>
        <v>5565.034000000001</v>
      </c>
      <c r="BF27" s="285">
        <f aca="true" t="shared" si="36" ref="BF27:BF37">AG27-BE27</f>
        <v>-2183.1540000000005</v>
      </c>
      <c r="BG27" s="285">
        <f aca="true" t="shared" si="37" ref="BG27:BG37">AF27-U27</f>
        <v>-2060.1500000000005</v>
      </c>
    </row>
    <row r="28" spans="1:59" ht="12.75">
      <c r="A28" s="183" t="s">
        <v>47</v>
      </c>
      <c r="B28" s="184">
        <v>715.3</v>
      </c>
      <c r="C28" s="134">
        <f t="shared" si="21"/>
        <v>5072.04924</v>
      </c>
      <c r="D28" s="286">
        <v>271.83</v>
      </c>
      <c r="E28" s="224"/>
      <c r="F28" s="224"/>
      <c r="G28" s="224">
        <v>3054.59</v>
      </c>
      <c r="H28" s="224"/>
      <c r="I28" s="224"/>
      <c r="J28" s="224"/>
      <c r="K28" s="224"/>
      <c r="L28" s="224"/>
      <c r="M28" s="224">
        <v>1480.8</v>
      </c>
      <c r="N28" s="224"/>
      <c r="O28" s="224">
        <v>634.81</v>
      </c>
      <c r="P28" s="224"/>
      <c r="Q28" s="224"/>
      <c r="R28" s="224"/>
      <c r="S28" s="225"/>
      <c r="T28" s="239"/>
      <c r="U28" s="234">
        <f t="shared" si="22"/>
        <v>5170.200000000001</v>
      </c>
      <c r="V28" s="235">
        <f t="shared" si="22"/>
        <v>0</v>
      </c>
      <c r="W28" s="217">
        <v>0</v>
      </c>
      <c r="X28" s="217">
        <v>4430.24</v>
      </c>
      <c r="Y28" s="217">
        <v>0</v>
      </c>
      <c r="Z28" s="217">
        <v>0</v>
      </c>
      <c r="AA28" s="217">
        <v>1488.53</v>
      </c>
      <c r="AB28" s="217">
        <v>638.02</v>
      </c>
      <c r="AC28" s="217"/>
      <c r="AD28" s="217"/>
      <c r="AE28" s="232"/>
      <c r="AF28" s="222">
        <f t="shared" si="23"/>
        <v>6556.789999999999</v>
      </c>
      <c r="AG28" s="228">
        <f t="shared" si="24"/>
        <v>6828.619999999999</v>
      </c>
      <c r="AH28" s="210">
        <f t="shared" si="25"/>
        <v>0</v>
      </c>
      <c r="AI28" s="210">
        <f t="shared" si="25"/>
        <v>0</v>
      </c>
      <c r="AJ28" s="281"/>
      <c r="AK28" s="186">
        <f t="shared" si="26"/>
        <v>479.251</v>
      </c>
      <c r="AL28" s="195">
        <f t="shared" si="27"/>
        <v>143.06</v>
      </c>
      <c r="AM28" s="195">
        <f t="shared" si="28"/>
        <v>715.3</v>
      </c>
      <c r="AN28" s="195">
        <f t="shared" si="29"/>
        <v>150.213</v>
      </c>
      <c r="AO28" s="195">
        <f t="shared" si="30"/>
        <v>1444.906</v>
      </c>
      <c r="AP28" s="195">
        <f t="shared" si="31"/>
        <v>736.759</v>
      </c>
      <c r="AQ28" s="195">
        <f t="shared" si="32"/>
        <v>536.4749999999999</v>
      </c>
      <c r="AR28" s="195">
        <f t="shared" si="33"/>
        <v>536.4749999999999</v>
      </c>
      <c r="AS28" s="236">
        <f>B28*1.15</f>
        <v>822.5949999999999</v>
      </c>
      <c r="AT28" s="270"/>
      <c r="AU28" s="212"/>
      <c r="AV28" s="212"/>
      <c r="AW28" s="212"/>
      <c r="AX28" s="212"/>
      <c r="AY28" s="212"/>
      <c r="AZ28" s="212"/>
      <c r="BA28" s="130"/>
      <c r="BB28" s="274"/>
      <c r="BC28" s="223">
        <f t="shared" si="34"/>
        <v>5565.034000000001</v>
      </c>
      <c r="BD28" s="214"/>
      <c r="BE28" s="285">
        <f t="shared" si="35"/>
        <v>5565.034000000001</v>
      </c>
      <c r="BF28" s="285">
        <f t="shared" si="36"/>
        <v>1263.5859999999984</v>
      </c>
      <c r="BG28" s="285">
        <f t="shared" si="37"/>
        <v>1386.5899999999983</v>
      </c>
    </row>
    <row r="29" spans="1:59" ht="12.75">
      <c r="A29" s="183" t="s">
        <v>48</v>
      </c>
      <c r="B29" s="184">
        <v>715.3</v>
      </c>
      <c r="C29" s="134">
        <f t="shared" si="21"/>
        <v>5072.04924</v>
      </c>
      <c r="D29" s="286">
        <v>271.83</v>
      </c>
      <c r="E29" s="224"/>
      <c r="F29" s="224"/>
      <c r="G29" s="224">
        <v>3054.59</v>
      </c>
      <c r="H29" s="224"/>
      <c r="I29" s="224"/>
      <c r="J29" s="224"/>
      <c r="K29" s="224"/>
      <c r="L29" s="224"/>
      <c r="M29" s="224">
        <v>1480.79</v>
      </c>
      <c r="N29" s="224"/>
      <c r="O29" s="224">
        <v>634.82</v>
      </c>
      <c r="P29" s="224"/>
      <c r="Q29" s="224"/>
      <c r="R29" s="224"/>
      <c r="S29" s="225"/>
      <c r="T29" s="239"/>
      <c r="U29" s="234">
        <f t="shared" si="22"/>
        <v>5170.2</v>
      </c>
      <c r="V29" s="235">
        <f t="shared" si="22"/>
        <v>0</v>
      </c>
      <c r="W29" s="237">
        <v>0</v>
      </c>
      <c r="X29" s="237">
        <v>3297</v>
      </c>
      <c r="Y29" s="237">
        <v>0</v>
      </c>
      <c r="Z29" s="237">
        <v>0</v>
      </c>
      <c r="AA29" s="237">
        <v>1029.19</v>
      </c>
      <c r="AB29" s="237">
        <v>441.28</v>
      </c>
      <c r="AC29" s="237"/>
      <c r="AD29" s="237"/>
      <c r="AE29" s="238"/>
      <c r="AF29" s="222">
        <f t="shared" si="23"/>
        <v>4767.47</v>
      </c>
      <c r="AG29" s="228">
        <f t="shared" si="24"/>
        <v>5039.3</v>
      </c>
      <c r="AH29" s="210">
        <f t="shared" si="25"/>
        <v>0</v>
      </c>
      <c r="AI29" s="210">
        <f t="shared" si="25"/>
        <v>0</v>
      </c>
      <c r="AJ29" s="281"/>
      <c r="AK29" s="186">
        <f t="shared" si="26"/>
        <v>479.251</v>
      </c>
      <c r="AL29" s="195">
        <f t="shared" si="27"/>
        <v>143.06</v>
      </c>
      <c r="AM29" s="195">
        <f t="shared" si="28"/>
        <v>715.3</v>
      </c>
      <c r="AN29" s="195">
        <f t="shared" si="29"/>
        <v>150.213</v>
      </c>
      <c r="AO29" s="195">
        <f t="shared" si="30"/>
        <v>1444.906</v>
      </c>
      <c r="AP29" s="195">
        <f t="shared" si="31"/>
        <v>736.759</v>
      </c>
      <c r="AQ29" s="195">
        <f t="shared" si="32"/>
        <v>536.4749999999999</v>
      </c>
      <c r="AR29" s="195">
        <f t="shared" si="33"/>
        <v>536.4749999999999</v>
      </c>
      <c r="AS29" s="236"/>
      <c r="AT29" s="270"/>
      <c r="AU29" s="212"/>
      <c r="AV29" s="212"/>
      <c r="AW29" s="212"/>
      <c r="AX29" s="212"/>
      <c r="AY29" s="212"/>
      <c r="AZ29" s="212"/>
      <c r="BA29" s="130"/>
      <c r="BB29" s="274"/>
      <c r="BC29" s="223">
        <f t="shared" si="34"/>
        <v>4742.439</v>
      </c>
      <c r="BD29" s="214"/>
      <c r="BE29" s="285">
        <f t="shared" si="35"/>
        <v>4742.439</v>
      </c>
      <c r="BF29" s="285">
        <f t="shared" si="36"/>
        <v>296.8609999999999</v>
      </c>
      <c r="BG29" s="285">
        <f t="shared" si="37"/>
        <v>-402.72999999999956</v>
      </c>
    </row>
    <row r="30" spans="1:59" ht="12.75">
      <c r="A30" s="183" t="s">
        <v>49</v>
      </c>
      <c r="B30" s="184">
        <v>715.3</v>
      </c>
      <c r="C30" s="134">
        <f t="shared" si="21"/>
        <v>5072.04924</v>
      </c>
      <c r="D30" s="286">
        <v>271.83</v>
      </c>
      <c r="E30" s="224"/>
      <c r="F30" s="224"/>
      <c r="G30" s="224">
        <v>3054.59</v>
      </c>
      <c r="H30" s="224"/>
      <c r="I30" s="224"/>
      <c r="J30" s="224"/>
      <c r="K30" s="224"/>
      <c r="L30" s="224"/>
      <c r="M30" s="224">
        <v>1480.8</v>
      </c>
      <c r="N30" s="224"/>
      <c r="O30" s="224">
        <v>634.81</v>
      </c>
      <c r="P30" s="224"/>
      <c r="Q30" s="224"/>
      <c r="R30" s="224"/>
      <c r="S30" s="225"/>
      <c r="T30" s="239"/>
      <c r="U30" s="234">
        <f t="shared" si="22"/>
        <v>5170.200000000001</v>
      </c>
      <c r="V30" s="235">
        <f t="shared" si="22"/>
        <v>0</v>
      </c>
      <c r="W30" s="237">
        <v>0</v>
      </c>
      <c r="X30" s="237">
        <v>1870.28</v>
      </c>
      <c r="Y30" s="237">
        <v>0</v>
      </c>
      <c r="Z30" s="237">
        <v>0</v>
      </c>
      <c r="AA30" s="237">
        <v>889.06</v>
      </c>
      <c r="AB30" s="237">
        <v>381.11</v>
      </c>
      <c r="AC30" s="237"/>
      <c r="AD30" s="237"/>
      <c r="AE30" s="237"/>
      <c r="AF30" s="222">
        <f t="shared" si="23"/>
        <v>3140.4500000000003</v>
      </c>
      <c r="AG30" s="228">
        <f t="shared" si="24"/>
        <v>3412.28</v>
      </c>
      <c r="AH30" s="210">
        <f t="shared" si="25"/>
        <v>0</v>
      </c>
      <c r="AI30" s="210">
        <f t="shared" si="25"/>
        <v>0</v>
      </c>
      <c r="AJ30" s="281"/>
      <c r="AK30" s="186">
        <f t="shared" si="26"/>
        <v>479.251</v>
      </c>
      <c r="AL30" s="195">
        <f t="shared" si="27"/>
        <v>143.06</v>
      </c>
      <c r="AM30" s="195">
        <f t="shared" si="28"/>
        <v>715.3</v>
      </c>
      <c r="AN30" s="195">
        <f t="shared" si="29"/>
        <v>150.213</v>
      </c>
      <c r="AO30" s="195">
        <f t="shared" si="30"/>
        <v>1444.906</v>
      </c>
      <c r="AP30" s="195">
        <f t="shared" si="31"/>
        <v>736.759</v>
      </c>
      <c r="AQ30" s="195">
        <f t="shared" si="32"/>
        <v>536.4749999999999</v>
      </c>
      <c r="AR30" s="195">
        <f t="shared" si="33"/>
        <v>536.4749999999999</v>
      </c>
      <c r="AS30" s="236"/>
      <c r="AT30" s="270"/>
      <c r="AU30" s="212">
        <v>105.54</v>
      </c>
      <c r="AV30" s="212"/>
      <c r="AW30" s="212"/>
      <c r="AX30" s="212">
        <f>62</f>
        <v>62</v>
      </c>
      <c r="AY30" s="212"/>
      <c r="AZ30" s="212"/>
      <c r="BA30" s="130"/>
      <c r="BB30" s="274"/>
      <c r="BC30" s="223">
        <f t="shared" si="34"/>
        <v>4909.979</v>
      </c>
      <c r="BD30" s="214"/>
      <c r="BE30" s="285">
        <f t="shared" si="35"/>
        <v>4909.979</v>
      </c>
      <c r="BF30" s="285">
        <f t="shared" si="36"/>
        <v>-1497.699</v>
      </c>
      <c r="BG30" s="285">
        <f t="shared" si="37"/>
        <v>-2029.7500000000005</v>
      </c>
    </row>
    <row r="31" spans="1:59" ht="12.75">
      <c r="A31" s="183" t="s">
        <v>50</v>
      </c>
      <c r="B31" s="184">
        <v>715.3</v>
      </c>
      <c r="C31" s="134">
        <f t="shared" si="21"/>
        <v>5072.04924</v>
      </c>
      <c r="D31" s="286">
        <v>271.83</v>
      </c>
      <c r="E31" s="224"/>
      <c r="F31" s="224"/>
      <c r="G31" s="224">
        <v>3054.59</v>
      </c>
      <c r="H31" s="224"/>
      <c r="I31" s="224"/>
      <c r="J31" s="224"/>
      <c r="K31" s="224"/>
      <c r="L31" s="224"/>
      <c r="M31" s="224">
        <v>1480.8</v>
      </c>
      <c r="N31" s="224"/>
      <c r="O31" s="224">
        <v>634.81</v>
      </c>
      <c r="P31" s="224"/>
      <c r="Q31" s="224"/>
      <c r="R31" s="224"/>
      <c r="S31" s="225"/>
      <c r="T31" s="239"/>
      <c r="U31" s="234">
        <f t="shared" si="22"/>
        <v>5170.200000000001</v>
      </c>
      <c r="V31" s="235">
        <f t="shared" si="22"/>
        <v>0</v>
      </c>
      <c r="W31" s="237"/>
      <c r="X31" s="287">
        <v>2535.19</v>
      </c>
      <c r="Y31" s="237"/>
      <c r="Z31" s="237"/>
      <c r="AA31" s="287">
        <v>1029.75</v>
      </c>
      <c r="AB31" s="287">
        <v>441.45</v>
      </c>
      <c r="AC31" s="237"/>
      <c r="AD31" s="287"/>
      <c r="AE31" s="288"/>
      <c r="AF31" s="222">
        <f t="shared" si="23"/>
        <v>4006.39</v>
      </c>
      <c r="AG31" s="228">
        <f t="shared" si="24"/>
        <v>4278.22</v>
      </c>
      <c r="AH31" s="210">
        <f t="shared" si="25"/>
        <v>0</v>
      </c>
      <c r="AI31" s="210">
        <f t="shared" si="25"/>
        <v>0</v>
      </c>
      <c r="AJ31" s="281"/>
      <c r="AK31" s="186">
        <f t="shared" si="26"/>
        <v>479.251</v>
      </c>
      <c r="AL31" s="195">
        <f t="shared" si="27"/>
        <v>143.06</v>
      </c>
      <c r="AM31" s="195">
        <f t="shared" si="28"/>
        <v>715.3</v>
      </c>
      <c r="AN31" s="195">
        <f t="shared" si="29"/>
        <v>150.213</v>
      </c>
      <c r="AO31" s="195">
        <f t="shared" si="30"/>
        <v>1444.906</v>
      </c>
      <c r="AP31" s="195">
        <f t="shared" si="31"/>
        <v>736.759</v>
      </c>
      <c r="AQ31" s="195">
        <f t="shared" si="32"/>
        <v>536.4749999999999</v>
      </c>
      <c r="AR31" s="195">
        <f t="shared" si="33"/>
        <v>536.4749999999999</v>
      </c>
      <c r="AS31" s="236"/>
      <c r="AT31" s="270"/>
      <c r="AU31" s="212"/>
      <c r="AV31" s="212"/>
      <c r="AW31" s="212"/>
      <c r="AX31" s="212"/>
      <c r="AY31" s="212"/>
      <c r="AZ31" s="212"/>
      <c r="BA31" s="130"/>
      <c r="BB31" s="274"/>
      <c r="BC31" s="223">
        <f t="shared" si="34"/>
        <v>4742.439</v>
      </c>
      <c r="BD31" s="214"/>
      <c r="BE31" s="285">
        <f t="shared" si="35"/>
        <v>4742.439</v>
      </c>
      <c r="BF31" s="285">
        <f t="shared" si="36"/>
        <v>-464.21900000000005</v>
      </c>
      <c r="BG31" s="285">
        <f t="shared" si="37"/>
        <v>-1163.8100000000009</v>
      </c>
    </row>
    <row r="32" spans="1:59" ht="12.75">
      <c r="A32" s="183" t="s">
        <v>51</v>
      </c>
      <c r="B32" s="184">
        <v>715.3</v>
      </c>
      <c r="C32" s="134">
        <f>(B32*9.51*0.9*0.9)</f>
        <v>5510.02743</v>
      </c>
      <c r="D32" s="286">
        <v>363.7725</v>
      </c>
      <c r="E32" s="224"/>
      <c r="F32" s="224"/>
      <c r="G32" s="224">
        <v>5615.23</v>
      </c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5"/>
      <c r="T32" s="239"/>
      <c r="U32" s="234">
        <f aca="true" t="shared" si="38" ref="U32:V37">G32+M32+O32+Q32+S32</f>
        <v>5615.23</v>
      </c>
      <c r="V32" s="289">
        <f t="shared" si="38"/>
        <v>0</v>
      </c>
      <c r="W32" s="237"/>
      <c r="X32" s="217">
        <v>2803.13</v>
      </c>
      <c r="Y32" s="237"/>
      <c r="Z32" s="237"/>
      <c r="AA32" s="217">
        <v>1263.38</v>
      </c>
      <c r="AB32" s="217">
        <v>541.56</v>
      </c>
      <c r="AC32" s="237"/>
      <c r="AD32" s="217"/>
      <c r="AE32" s="232"/>
      <c r="AF32" s="222">
        <f aca="true" t="shared" si="39" ref="AF32:AF37">SUM(X32:AE32)</f>
        <v>4608.07</v>
      </c>
      <c r="AG32" s="228">
        <f t="shared" si="24"/>
        <v>4971.8425</v>
      </c>
      <c r="AH32" s="290">
        <v>0</v>
      </c>
      <c r="AI32" s="210">
        <f t="shared" si="25"/>
        <v>0</v>
      </c>
      <c r="AJ32" s="281"/>
      <c r="AK32" s="195">
        <f aca="true" t="shared" si="40" ref="AK32:AK37">0.75*B32</f>
        <v>536.4749999999999</v>
      </c>
      <c r="AL32" s="195">
        <f t="shared" si="27"/>
        <v>143.06</v>
      </c>
      <c r="AM32" s="195">
        <f t="shared" si="28"/>
        <v>715.3</v>
      </c>
      <c r="AN32" s="195">
        <f t="shared" si="29"/>
        <v>150.213</v>
      </c>
      <c r="AO32" s="195">
        <f t="shared" si="30"/>
        <v>1444.906</v>
      </c>
      <c r="AP32" s="195">
        <f t="shared" si="31"/>
        <v>736.759</v>
      </c>
      <c r="AQ32" s="195">
        <f t="shared" si="32"/>
        <v>536.4749999999999</v>
      </c>
      <c r="AR32" s="195">
        <f t="shared" si="33"/>
        <v>536.4749999999999</v>
      </c>
      <c r="AS32" s="236"/>
      <c r="AT32" s="270"/>
      <c r="AU32" s="212"/>
      <c r="AV32" s="212"/>
      <c r="AW32" s="212"/>
      <c r="AX32" s="212"/>
      <c r="AY32" s="212"/>
      <c r="AZ32" s="212"/>
      <c r="BA32" s="130"/>
      <c r="BB32" s="274"/>
      <c r="BC32" s="223">
        <f t="shared" si="34"/>
        <v>4799.6630000000005</v>
      </c>
      <c r="BD32" s="214"/>
      <c r="BE32" s="285">
        <f t="shared" si="35"/>
        <v>4799.6630000000005</v>
      </c>
      <c r="BF32" s="285">
        <f t="shared" si="36"/>
        <v>172.17949999999928</v>
      </c>
      <c r="BG32" s="285">
        <f t="shared" si="37"/>
        <v>-1007.1599999999999</v>
      </c>
    </row>
    <row r="33" spans="1:59" ht="12.75">
      <c r="A33" s="183" t="s">
        <v>52</v>
      </c>
      <c r="B33" s="184">
        <v>715.3</v>
      </c>
      <c r="C33" s="134">
        <f>(B33*9.51*0.9*0.9)</f>
        <v>5510.02743</v>
      </c>
      <c r="D33" s="286"/>
      <c r="E33" s="224"/>
      <c r="F33" s="224"/>
      <c r="G33" s="224">
        <v>5615.23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5"/>
      <c r="T33" s="239"/>
      <c r="U33" s="234">
        <f t="shared" si="38"/>
        <v>5615.23</v>
      </c>
      <c r="V33" s="289">
        <f t="shared" si="38"/>
        <v>0</v>
      </c>
      <c r="W33" s="237"/>
      <c r="X33" s="217">
        <v>4253.55</v>
      </c>
      <c r="Y33" s="237"/>
      <c r="Z33" s="237"/>
      <c r="AA33" s="217">
        <v>72.25</v>
      </c>
      <c r="AB33" s="217">
        <v>30.98</v>
      </c>
      <c r="AC33" s="237"/>
      <c r="AD33" s="217"/>
      <c r="AE33" s="232"/>
      <c r="AF33" s="222">
        <f t="shared" si="39"/>
        <v>4356.78</v>
      </c>
      <c r="AG33" s="228">
        <f t="shared" si="24"/>
        <v>4356.78</v>
      </c>
      <c r="AH33" s="290">
        <v>0</v>
      </c>
      <c r="AI33" s="210">
        <f t="shared" si="25"/>
        <v>0</v>
      </c>
      <c r="AJ33" s="281"/>
      <c r="AK33" s="195">
        <f t="shared" si="40"/>
        <v>536.4749999999999</v>
      </c>
      <c r="AL33" s="195">
        <f t="shared" si="27"/>
        <v>143.06</v>
      </c>
      <c r="AM33" s="195">
        <f t="shared" si="28"/>
        <v>715.3</v>
      </c>
      <c r="AN33" s="195">
        <f t="shared" si="29"/>
        <v>150.213</v>
      </c>
      <c r="AO33" s="195">
        <f t="shared" si="30"/>
        <v>1444.906</v>
      </c>
      <c r="AP33" s="195">
        <f t="shared" si="31"/>
        <v>736.759</v>
      </c>
      <c r="AQ33" s="195">
        <f t="shared" si="32"/>
        <v>536.4749999999999</v>
      </c>
      <c r="AR33" s="195">
        <f t="shared" si="33"/>
        <v>536.4749999999999</v>
      </c>
      <c r="AS33" s="236"/>
      <c r="AT33" s="270"/>
      <c r="AU33" s="212"/>
      <c r="AV33" s="212"/>
      <c r="AW33" s="212"/>
      <c r="AX33" s="212"/>
      <c r="AY33" s="212"/>
      <c r="AZ33" s="212"/>
      <c r="BA33" s="130"/>
      <c r="BB33" s="274"/>
      <c r="BC33" s="223">
        <f t="shared" si="34"/>
        <v>4799.6630000000005</v>
      </c>
      <c r="BD33" s="214"/>
      <c r="BE33" s="285">
        <f t="shared" si="35"/>
        <v>4799.6630000000005</v>
      </c>
      <c r="BF33" s="285">
        <f t="shared" si="36"/>
        <v>-442.8830000000007</v>
      </c>
      <c r="BG33" s="285">
        <f t="shared" si="37"/>
        <v>-1258.4499999999998</v>
      </c>
    </row>
    <row r="34" spans="1:59" ht="12.75">
      <c r="A34" s="183" t="s">
        <v>53</v>
      </c>
      <c r="B34" s="184">
        <v>715.3</v>
      </c>
      <c r="C34" s="134">
        <f>(B34*9.51*0.9*0.9)</f>
        <v>5510.02743</v>
      </c>
      <c r="D34" s="286"/>
      <c r="E34" s="224"/>
      <c r="F34" s="224"/>
      <c r="G34" s="224">
        <v>5615.23</v>
      </c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5"/>
      <c r="T34" s="239"/>
      <c r="U34" s="234">
        <f t="shared" si="38"/>
        <v>5615.23</v>
      </c>
      <c r="V34" s="289">
        <f t="shared" si="38"/>
        <v>0</v>
      </c>
      <c r="W34" s="237"/>
      <c r="X34" s="217">
        <v>3397.14</v>
      </c>
      <c r="Y34" s="237"/>
      <c r="Z34" s="237"/>
      <c r="AA34" s="217">
        <v>157.92</v>
      </c>
      <c r="AB34" s="217">
        <v>67.68</v>
      </c>
      <c r="AC34" s="237"/>
      <c r="AD34" s="217"/>
      <c r="AE34" s="232"/>
      <c r="AF34" s="222">
        <f t="shared" si="39"/>
        <v>3622.74</v>
      </c>
      <c r="AG34" s="228">
        <f t="shared" si="24"/>
        <v>3622.74</v>
      </c>
      <c r="AH34" s="290">
        <v>0</v>
      </c>
      <c r="AI34" s="210">
        <f t="shared" si="25"/>
        <v>0</v>
      </c>
      <c r="AJ34" s="281"/>
      <c r="AK34" s="195">
        <f t="shared" si="40"/>
        <v>536.4749999999999</v>
      </c>
      <c r="AL34" s="195">
        <f t="shared" si="27"/>
        <v>143.06</v>
      </c>
      <c r="AM34" s="195">
        <f t="shared" si="28"/>
        <v>715.3</v>
      </c>
      <c r="AN34" s="195">
        <f t="shared" si="29"/>
        <v>150.213</v>
      </c>
      <c r="AO34" s="195">
        <f t="shared" si="30"/>
        <v>1444.906</v>
      </c>
      <c r="AP34" s="195">
        <f t="shared" si="31"/>
        <v>736.759</v>
      </c>
      <c r="AQ34" s="195">
        <f t="shared" si="32"/>
        <v>536.4749999999999</v>
      </c>
      <c r="AR34" s="195">
        <f t="shared" si="33"/>
        <v>536.4749999999999</v>
      </c>
      <c r="AS34" s="236"/>
      <c r="AT34" s="270"/>
      <c r="AU34" s="212"/>
      <c r="AV34" s="212"/>
      <c r="AW34" s="212">
        <v>300</v>
      </c>
      <c r="AX34" s="212"/>
      <c r="AY34" s="212"/>
      <c r="AZ34" s="212"/>
      <c r="BA34" s="130"/>
      <c r="BB34" s="274"/>
      <c r="BC34" s="223">
        <f t="shared" si="34"/>
        <v>5099.6630000000005</v>
      </c>
      <c r="BD34" s="214"/>
      <c r="BE34" s="285">
        <f t="shared" si="35"/>
        <v>5099.6630000000005</v>
      </c>
      <c r="BF34" s="285">
        <f t="shared" si="36"/>
        <v>-1476.9230000000007</v>
      </c>
      <c r="BG34" s="285">
        <f t="shared" si="37"/>
        <v>-1992.4899999999998</v>
      </c>
    </row>
    <row r="35" spans="1:59" ht="12.75">
      <c r="A35" s="183" t="s">
        <v>41</v>
      </c>
      <c r="B35" s="184">
        <v>715.3</v>
      </c>
      <c r="C35" s="134">
        <f>(B35*27.36)</f>
        <v>19570.607999999997</v>
      </c>
      <c r="D35" s="286"/>
      <c r="E35" s="224"/>
      <c r="F35" s="224"/>
      <c r="G35" s="224">
        <v>7045.75</v>
      </c>
      <c r="H35" s="224"/>
      <c r="I35" s="224"/>
      <c r="J35" s="224"/>
      <c r="K35" s="224"/>
      <c r="L35" s="224"/>
      <c r="M35" s="224">
        <v>11666.55</v>
      </c>
      <c r="N35" s="224"/>
      <c r="O35" s="224">
        <v>858.36</v>
      </c>
      <c r="P35" s="224"/>
      <c r="Q35" s="224"/>
      <c r="R35" s="224"/>
      <c r="S35" s="225"/>
      <c r="T35" s="239"/>
      <c r="U35" s="234">
        <f t="shared" si="38"/>
        <v>19570.66</v>
      </c>
      <c r="V35" s="289">
        <f t="shared" si="38"/>
        <v>0</v>
      </c>
      <c r="W35" s="237"/>
      <c r="X35" s="217">
        <v>5788.06</v>
      </c>
      <c r="Y35" s="237"/>
      <c r="Z35" s="237"/>
      <c r="AA35" s="217">
        <v>8530.49</v>
      </c>
      <c r="AB35" s="217">
        <v>566.48</v>
      </c>
      <c r="AC35" s="237"/>
      <c r="AD35" s="217"/>
      <c r="AE35" s="232"/>
      <c r="AF35" s="222">
        <f t="shared" si="39"/>
        <v>14885.029999999999</v>
      </c>
      <c r="AG35" s="228">
        <f t="shared" si="24"/>
        <v>14885.029999999999</v>
      </c>
      <c r="AH35" s="290">
        <v>0</v>
      </c>
      <c r="AI35" s="210">
        <f t="shared" si="25"/>
        <v>0</v>
      </c>
      <c r="AJ35" s="281"/>
      <c r="AK35" s="195">
        <f t="shared" si="40"/>
        <v>536.4749999999999</v>
      </c>
      <c r="AL35" s="195">
        <f t="shared" si="27"/>
        <v>143.06</v>
      </c>
      <c r="AM35" s="195">
        <f t="shared" si="28"/>
        <v>715.3</v>
      </c>
      <c r="AN35" s="195">
        <f t="shared" si="29"/>
        <v>150.213</v>
      </c>
      <c r="AO35" s="195">
        <f t="shared" si="30"/>
        <v>1444.906</v>
      </c>
      <c r="AP35" s="195">
        <f t="shared" si="31"/>
        <v>736.759</v>
      </c>
      <c r="AQ35" s="195">
        <f t="shared" si="32"/>
        <v>536.4749999999999</v>
      </c>
      <c r="AR35" s="195">
        <f t="shared" si="33"/>
        <v>536.4749999999999</v>
      </c>
      <c r="AS35" s="236">
        <f>B35*1.15</f>
        <v>822.5949999999999</v>
      </c>
      <c r="AT35" s="270"/>
      <c r="AU35" s="291">
        <v>898</v>
      </c>
      <c r="AV35" s="212"/>
      <c r="AW35" s="212"/>
      <c r="AX35" s="212"/>
      <c r="AY35" s="212"/>
      <c r="AZ35" s="212"/>
      <c r="BA35" s="130"/>
      <c r="BB35" s="274"/>
      <c r="BC35" s="223">
        <f t="shared" si="34"/>
        <v>6520.258000000001</v>
      </c>
      <c r="BD35" s="214"/>
      <c r="BE35" s="285">
        <f t="shared" si="35"/>
        <v>6520.258000000001</v>
      </c>
      <c r="BF35" s="285">
        <f t="shared" si="36"/>
        <v>8364.771999999997</v>
      </c>
      <c r="BG35" s="285">
        <f t="shared" si="37"/>
        <v>-4685.630000000001</v>
      </c>
    </row>
    <row r="36" spans="1:59" ht="12.75">
      <c r="A36" s="183" t="s">
        <v>42</v>
      </c>
      <c r="B36" s="292">
        <v>715.3</v>
      </c>
      <c r="C36" s="134">
        <f>(B36*27.36)</f>
        <v>19570.607999999997</v>
      </c>
      <c r="D36" s="286"/>
      <c r="E36" s="224"/>
      <c r="F36" s="224"/>
      <c r="G36" s="217">
        <v>7045.75</v>
      </c>
      <c r="H36" s="217"/>
      <c r="I36" s="224"/>
      <c r="J36" s="224"/>
      <c r="K36" s="224"/>
      <c r="L36" s="224"/>
      <c r="M36" s="217">
        <v>11666.55</v>
      </c>
      <c r="N36" s="217"/>
      <c r="O36" s="217">
        <v>858.36</v>
      </c>
      <c r="P36" s="217"/>
      <c r="Q36" s="217"/>
      <c r="R36" s="217"/>
      <c r="S36" s="232"/>
      <c r="T36" s="239"/>
      <c r="U36" s="234">
        <f t="shared" si="38"/>
        <v>19570.66</v>
      </c>
      <c r="V36" s="289">
        <f t="shared" si="38"/>
        <v>0</v>
      </c>
      <c r="W36" s="237"/>
      <c r="X36" s="217">
        <v>8985.26</v>
      </c>
      <c r="Y36" s="237"/>
      <c r="Z36" s="237"/>
      <c r="AA36" s="217">
        <v>7633.69</v>
      </c>
      <c r="AB36" s="217">
        <v>673.59</v>
      </c>
      <c r="AC36" s="237"/>
      <c r="AD36" s="217"/>
      <c r="AE36" s="232"/>
      <c r="AF36" s="222">
        <f t="shared" si="39"/>
        <v>17292.54</v>
      </c>
      <c r="AG36" s="228">
        <f t="shared" si="24"/>
        <v>17292.54</v>
      </c>
      <c r="AH36" s="290">
        <v>0</v>
      </c>
      <c r="AI36" s="210">
        <f t="shared" si="25"/>
        <v>0</v>
      </c>
      <c r="AJ36" s="281"/>
      <c r="AK36" s="195">
        <f t="shared" si="40"/>
        <v>536.4749999999999</v>
      </c>
      <c r="AL36" s="195">
        <f t="shared" si="27"/>
        <v>143.06</v>
      </c>
      <c r="AM36" s="195">
        <f t="shared" si="28"/>
        <v>715.3</v>
      </c>
      <c r="AN36" s="195">
        <f t="shared" si="29"/>
        <v>150.213</v>
      </c>
      <c r="AO36" s="195">
        <f t="shared" si="30"/>
        <v>1444.906</v>
      </c>
      <c r="AP36" s="195">
        <f t="shared" si="31"/>
        <v>736.759</v>
      </c>
      <c r="AQ36" s="195">
        <f t="shared" si="32"/>
        <v>536.4749999999999</v>
      </c>
      <c r="AR36" s="195">
        <f t="shared" si="33"/>
        <v>536.4749999999999</v>
      </c>
      <c r="AS36" s="236">
        <f>B36*1.15</f>
        <v>822.5949999999999</v>
      </c>
      <c r="AT36" s="270"/>
      <c r="AU36" s="212"/>
      <c r="AV36" s="212"/>
      <c r="AW36" s="212"/>
      <c r="AX36" s="212"/>
      <c r="AY36" s="212"/>
      <c r="AZ36" s="212"/>
      <c r="BA36" s="130"/>
      <c r="BB36" s="274"/>
      <c r="BC36" s="223">
        <f t="shared" si="34"/>
        <v>5622.258000000001</v>
      </c>
      <c r="BD36" s="214"/>
      <c r="BE36" s="285">
        <f t="shared" si="35"/>
        <v>5622.258000000001</v>
      </c>
      <c r="BF36" s="285">
        <f t="shared" si="36"/>
        <v>11670.282</v>
      </c>
      <c r="BG36" s="285">
        <f t="shared" si="37"/>
        <v>-2278.119999999999</v>
      </c>
    </row>
    <row r="37" spans="1:59" ht="13.5" thickBot="1">
      <c r="A37" s="183" t="s">
        <v>43</v>
      </c>
      <c r="B37" s="292">
        <v>715.3</v>
      </c>
      <c r="C37" s="134">
        <f>(B37*27.36)</f>
        <v>19570.607999999997</v>
      </c>
      <c r="D37" s="286"/>
      <c r="E37" s="217"/>
      <c r="F37" s="217"/>
      <c r="G37" s="217">
        <v>7045.75</v>
      </c>
      <c r="H37" s="217"/>
      <c r="I37" s="217"/>
      <c r="J37" s="217"/>
      <c r="K37" s="217"/>
      <c r="L37" s="217"/>
      <c r="M37" s="217">
        <v>11666.55</v>
      </c>
      <c r="N37" s="217"/>
      <c r="O37" s="217">
        <v>858.36</v>
      </c>
      <c r="P37" s="217"/>
      <c r="Q37" s="217"/>
      <c r="R37" s="217"/>
      <c r="S37" s="232"/>
      <c r="T37" s="239"/>
      <c r="U37" s="234">
        <f t="shared" si="38"/>
        <v>19570.66</v>
      </c>
      <c r="V37" s="289">
        <f t="shared" si="38"/>
        <v>0</v>
      </c>
      <c r="W37" s="237"/>
      <c r="X37" s="217">
        <v>7789.68</v>
      </c>
      <c r="Y37" s="217"/>
      <c r="Z37" s="217"/>
      <c r="AA37" s="217">
        <v>11601.7</v>
      </c>
      <c r="AB37" s="217">
        <v>952.68</v>
      </c>
      <c r="AC37" s="217"/>
      <c r="AD37" s="217"/>
      <c r="AE37" s="232"/>
      <c r="AF37" s="222">
        <f t="shared" si="39"/>
        <v>20344.06</v>
      </c>
      <c r="AG37" s="228">
        <f t="shared" si="24"/>
        <v>20344.06</v>
      </c>
      <c r="AH37" s="290">
        <v>0</v>
      </c>
      <c r="AI37" s="210">
        <f t="shared" si="25"/>
        <v>0</v>
      </c>
      <c r="AJ37" s="281"/>
      <c r="AK37" s="195">
        <f t="shared" si="40"/>
        <v>536.4749999999999</v>
      </c>
      <c r="AL37" s="195">
        <f t="shared" si="27"/>
        <v>143.06</v>
      </c>
      <c r="AM37" s="195">
        <f t="shared" si="28"/>
        <v>715.3</v>
      </c>
      <c r="AN37" s="195">
        <f t="shared" si="29"/>
        <v>150.213</v>
      </c>
      <c r="AO37" s="195">
        <f t="shared" si="30"/>
        <v>1444.906</v>
      </c>
      <c r="AP37" s="195">
        <f t="shared" si="31"/>
        <v>736.759</v>
      </c>
      <c r="AQ37" s="195">
        <f t="shared" si="32"/>
        <v>536.4749999999999</v>
      </c>
      <c r="AR37" s="195">
        <f t="shared" si="33"/>
        <v>536.4749999999999</v>
      </c>
      <c r="AS37" s="236">
        <f>B37*1.15</f>
        <v>822.5949999999999</v>
      </c>
      <c r="AT37" s="270"/>
      <c r="AU37" s="212"/>
      <c r="AV37" s="212"/>
      <c r="AW37" s="212"/>
      <c r="AX37" s="212"/>
      <c r="AY37" s="212"/>
      <c r="AZ37" s="212"/>
      <c r="BA37" s="130"/>
      <c r="BB37" s="274"/>
      <c r="BC37" s="223">
        <f t="shared" si="34"/>
        <v>5622.258000000001</v>
      </c>
      <c r="BD37" s="214"/>
      <c r="BE37" s="285">
        <f t="shared" si="35"/>
        <v>5622.258000000001</v>
      </c>
      <c r="BF37" s="285">
        <f t="shared" si="36"/>
        <v>14721.802</v>
      </c>
      <c r="BG37" s="285">
        <f t="shared" si="37"/>
        <v>773.4000000000015</v>
      </c>
    </row>
    <row r="38" spans="1:59" s="28" customFormat="1" ht="13.5" thickBot="1">
      <c r="A38" s="240" t="s">
        <v>5</v>
      </c>
      <c r="B38" s="162"/>
      <c r="C38" s="241">
        <f aca="true" t="shared" si="41" ref="C38:BF38">SUM(C26:C37)</f>
        <v>105674.20172999999</v>
      </c>
      <c r="D38" s="241">
        <f t="shared" si="41"/>
        <v>1994.7524999999998</v>
      </c>
      <c r="E38" s="241">
        <f t="shared" si="41"/>
        <v>0</v>
      </c>
      <c r="F38" s="241">
        <f t="shared" si="41"/>
        <v>0</v>
      </c>
      <c r="G38" s="241">
        <f t="shared" si="41"/>
        <v>56310.479999999996</v>
      </c>
      <c r="H38" s="241">
        <f t="shared" si="41"/>
        <v>0</v>
      </c>
      <c r="I38" s="241">
        <f t="shared" si="41"/>
        <v>0</v>
      </c>
      <c r="J38" s="241">
        <f t="shared" si="41"/>
        <v>0</v>
      </c>
      <c r="K38" s="241">
        <f t="shared" si="41"/>
        <v>0</v>
      </c>
      <c r="L38" s="241">
        <f t="shared" si="41"/>
        <v>0</v>
      </c>
      <c r="M38" s="241">
        <f t="shared" si="41"/>
        <v>43884.439999999995</v>
      </c>
      <c r="N38" s="241">
        <f t="shared" si="41"/>
        <v>0</v>
      </c>
      <c r="O38" s="241">
        <f t="shared" si="41"/>
        <v>6383.949999999999</v>
      </c>
      <c r="P38" s="241">
        <f t="shared" si="41"/>
        <v>0</v>
      </c>
      <c r="Q38" s="241">
        <f t="shared" si="41"/>
        <v>0</v>
      </c>
      <c r="R38" s="241">
        <f t="shared" si="41"/>
        <v>0</v>
      </c>
      <c r="S38" s="241">
        <f t="shared" si="41"/>
        <v>0</v>
      </c>
      <c r="T38" s="241">
        <f t="shared" si="41"/>
        <v>0</v>
      </c>
      <c r="U38" s="241">
        <f t="shared" si="41"/>
        <v>106578.87000000001</v>
      </c>
      <c r="V38" s="241">
        <f t="shared" si="41"/>
        <v>0</v>
      </c>
      <c r="W38" s="241">
        <f t="shared" si="41"/>
        <v>0</v>
      </c>
      <c r="X38" s="241">
        <f t="shared" si="41"/>
        <v>49467.21</v>
      </c>
      <c r="Y38" s="241">
        <f t="shared" si="41"/>
        <v>0</v>
      </c>
      <c r="Z38" s="241">
        <f t="shared" si="41"/>
        <v>0</v>
      </c>
      <c r="AA38" s="241">
        <f t="shared" si="41"/>
        <v>35788.5</v>
      </c>
      <c r="AB38" s="241">
        <f t="shared" si="41"/>
        <v>5631.8</v>
      </c>
      <c r="AC38" s="241">
        <f t="shared" si="41"/>
        <v>0</v>
      </c>
      <c r="AD38" s="241">
        <f t="shared" si="41"/>
        <v>0</v>
      </c>
      <c r="AE38" s="241">
        <f t="shared" si="41"/>
        <v>0</v>
      </c>
      <c r="AF38" s="241">
        <f t="shared" si="41"/>
        <v>90887.51</v>
      </c>
      <c r="AG38" s="241">
        <f t="shared" si="41"/>
        <v>92882.2625</v>
      </c>
      <c r="AH38" s="241">
        <f t="shared" si="41"/>
        <v>0</v>
      </c>
      <c r="AI38" s="241">
        <f t="shared" si="41"/>
        <v>0</v>
      </c>
      <c r="AJ38" s="241">
        <f t="shared" si="41"/>
        <v>0</v>
      </c>
      <c r="AK38" s="241">
        <f t="shared" si="41"/>
        <v>6094.356000000002</v>
      </c>
      <c r="AL38" s="241">
        <f t="shared" si="41"/>
        <v>1716.7199999999996</v>
      </c>
      <c r="AM38" s="241">
        <f t="shared" si="41"/>
        <v>8583.6</v>
      </c>
      <c r="AN38" s="241">
        <f t="shared" si="41"/>
        <v>1802.5559999999998</v>
      </c>
      <c r="AO38" s="241">
        <f t="shared" si="41"/>
        <v>17338.871999999996</v>
      </c>
      <c r="AP38" s="241">
        <f t="shared" si="41"/>
        <v>8841.108</v>
      </c>
      <c r="AQ38" s="241">
        <f t="shared" si="41"/>
        <v>6437.700000000001</v>
      </c>
      <c r="AR38" s="241">
        <f t="shared" si="41"/>
        <v>6437.700000000001</v>
      </c>
      <c r="AS38" s="241">
        <f t="shared" si="41"/>
        <v>4935.57</v>
      </c>
      <c r="AT38" s="241">
        <f t="shared" si="41"/>
        <v>0</v>
      </c>
      <c r="AU38" s="241">
        <f t="shared" si="41"/>
        <v>1003.54</v>
      </c>
      <c r="AV38" s="241">
        <f t="shared" si="41"/>
        <v>0</v>
      </c>
      <c r="AW38" s="241">
        <f t="shared" si="41"/>
        <v>300</v>
      </c>
      <c r="AX38" s="241">
        <f t="shared" si="41"/>
        <v>62</v>
      </c>
      <c r="AY38" s="241">
        <f t="shared" si="41"/>
        <v>0</v>
      </c>
      <c r="AZ38" s="241">
        <f t="shared" si="41"/>
        <v>0</v>
      </c>
      <c r="BA38" s="241">
        <f t="shared" si="41"/>
        <v>0</v>
      </c>
      <c r="BB38" s="241">
        <f t="shared" si="41"/>
        <v>0</v>
      </c>
      <c r="BC38" s="241">
        <f t="shared" si="41"/>
        <v>63553.72200000001</v>
      </c>
      <c r="BD38" s="241">
        <f t="shared" si="41"/>
        <v>0</v>
      </c>
      <c r="BE38" s="241">
        <f t="shared" si="41"/>
        <v>63553.72200000001</v>
      </c>
      <c r="BF38" s="241">
        <f t="shared" si="41"/>
        <v>29328.540499999992</v>
      </c>
      <c r="BG38" s="241">
        <f>SUM(BG26:BG37)</f>
        <v>-15691.36</v>
      </c>
    </row>
    <row r="39" spans="1:59" s="28" customFormat="1" ht="13.5" thickBot="1">
      <c r="A39" s="242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4"/>
      <c r="BF39" s="243"/>
      <c r="BG39" s="163"/>
    </row>
    <row r="40" spans="1:59" s="28" customFormat="1" ht="13.5" thickBot="1">
      <c r="A40" s="33" t="s">
        <v>54</v>
      </c>
      <c r="B40" s="243"/>
      <c r="C40" s="245">
        <f aca="true" t="shared" si="42" ref="C40:AD40">C38+C24</f>
        <v>333597.10761</v>
      </c>
      <c r="D40" s="245">
        <f t="shared" si="42"/>
        <v>178929.67269795</v>
      </c>
      <c r="E40" s="245">
        <f t="shared" si="42"/>
        <v>15493.359999999999</v>
      </c>
      <c r="F40" s="245">
        <f t="shared" si="42"/>
        <v>1783.8600000000001</v>
      </c>
      <c r="G40" s="245">
        <f t="shared" si="42"/>
        <v>93029.81</v>
      </c>
      <c r="H40" s="245">
        <f t="shared" si="42"/>
        <v>0</v>
      </c>
      <c r="I40" s="245">
        <f t="shared" si="42"/>
        <v>19597.27</v>
      </c>
      <c r="J40" s="245">
        <f t="shared" si="42"/>
        <v>1195.5700000000002</v>
      </c>
      <c r="K40" s="245">
        <f t="shared" si="42"/>
        <v>26600.370000000003</v>
      </c>
      <c r="L40" s="245">
        <f t="shared" si="42"/>
        <v>3013.18</v>
      </c>
      <c r="M40" s="245">
        <f t="shared" si="42"/>
        <v>100425.31</v>
      </c>
      <c r="N40" s="245">
        <f t="shared" si="42"/>
        <v>4359.14</v>
      </c>
      <c r="O40" s="245">
        <f t="shared" si="42"/>
        <v>26410.14</v>
      </c>
      <c r="P40" s="245">
        <f t="shared" si="42"/>
        <v>1427.35</v>
      </c>
      <c r="Q40" s="245">
        <f t="shared" si="42"/>
        <v>0</v>
      </c>
      <c r="R40" s="245">
        <f t="shared" si="42"/>
        <v>0</v>
      </c>
      <c r="S40" s="245">
        <f t="shared" si="42"/>
        <v>0</v>
      </c>
      <c r="T40" s="245">
        <f t="shared" si="42"/>
        <v>0</v>
      </c>
      <c r="U40" s="245">
        <f t="shared" si="42"/>
        <v>690263.1</v>
      </c>
      <c r="V40" s="245">
        <f t="shared" si="42"/>
        <v>49995.67999999999</v>
      </c>
      <c r="W40" s="245">
        <f t="shared" si="42"/>
        <v>13797.769999999999</v>
      </c>
      <c r="X40" s="245">
        <f t="shared" si="42"/>
        <v>76799.31999999999</v>
      </c>
      <c r="Y40" s="245">
        <f t="shared" si="42"/>
        <v>17435.66</v>
      </c>
      <c r="Z40" s="245">
        <f t="shared" si="42"/>
        <v>23415.899999999998</v>
      </c>
      <c r="AA40" s="245">
        <f t="shared" si="42"/>
        <v>82739.87</v>
      </c>
      <c r="AB40" s="245">
        <f t="shared" si="42"/>
        <v>22283.62</v>
      </c>
      <c r="AC40" s="245">
        <f t="shared" si="42"/>
        <v>377917.97000000003</v>
      </c>
      <c r="AD40" s="245">
        <f t="shared" si="42"/>
        <v>0</v>
      </c>
      <c r="AE40" s="245" t="e">
        <f>AE38+AF24</f>
        <v>#REF!</v>
      </c>
      <c r="AF40" s="245" t="e">
        <f>AF38+#REF!</f>
        <v>#REF!</v>
      </c>
      <c r="AG40" s="245">
        <f aca="true" t="shared" si="43" ref="AG40:BG40">AG38+AG24</f>
        <v>843315.4626979498</v>
      </c>
      <c r="AH40" s="245">
        <f t="shared" si="43"/>
        <v>36373.240000000005</v>
      </c>
      <c r="AI40" s="245">
        <f t="shared" si="43"/>
        <v>0</v>
      </c>
      <c r="AJ40" s="245">
        <f t="shared" si="43"/>
        <v>0</v>
      </c>
      <c r="AK40" s="245">
        <f t="shared" si="43"/>
        <v>23261.556000000004</v>
      </c>
      <c r="AL40" s="245">
        <f t="shared" si="43"/>
        <v>7258.801453599998</v>
      </c>
      <c r="AM40" s="245">
        <f t="shared" si="43"/>
        <v>36118.483704285</v>
      </c>
      <c r="AN40" s="245">
        <f t="shared" si="43"/>
        <v>3605.1119999999996</v>
      </c>
      <c r="AO40" s="245">
        <f t="shared" si="43"/>
        <v>53580.123325072986</v>
      </c>
      <c r="AP40" s="245">
        <f t="shared" si="43"/>
        <v>59968.426612632196</v>
      </c>
      <c r="AQ40" s="245">
        <f t="shared" si="43"/>
        <v>12875.400000000001</v>
      </c>
      <c r="AR40" s="245">
        <f t="shared" si="43"/>
        <v>12875.400000000001</v>
      </c>
      <c r="AS40" s="245">
        <f t="shared" si="43"/>
        <v>7403.355</v>
      </c>
      <c r="AT40" s="245">
        <f t="shared" si="43"/>
        <v>2249.1</v>
      </c>
      <c r="AU40" s="245">
        <f t="shared" si="43"/>
        <v>46702.5148</v>
      </c>
      <c r="AV40" s="245">
        <f t="shared" si="43"/>
        <v>0</v>
      </c>
      <c r="AW40" s="245">
        <f t="shared" si="43"/>
        <v>27128.76</v>
      </c>
      <c r="AX40" s="245">
        <f t="shared" si="43"/>
        <v>56454.34940000001</v>
      </c>
      <c r="AY40" s="245">
        <f t="shared" si="43"/>
        <v>581603.232</v>
      </c>
      <c r="AZ40" s="245">
        <f t="shared" si="43"/>
        <v>0</v>
      </c>
      <c r="BA40" s="245">
        <f t="shared" si="43"/>
        <v>0</v>
      </c>
      <c r="BB40" s="245">
        <f t="shared" si="43"/>
        <v>0</v>
      </c>
      <c r="BC40" s="245">
        <f t="shared" si="43"/>
        <v>931084.6142955902</v>
      </c>
      <c r="BD40" s="245">
        <f t="shared" si="43"/>
        <v>0</v>
      </c>
      <c r="BE40" s="246">
        <f t="shared" si="43"/>
        <v>931084.6142955902</v>
      </c>
      <c r="BF40" s="245">
        <f t="shared" si="43"/>
        <v>-87769.15159764023</v>
      </c>
      <c r="BG40" s="165">
        <f t="shared" si="43"/>
        <v>-75872.98999999999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E51" sqref="E51"/>
    </sheetView>
  </sheetViews>
  <sheetFormatPr defaultColWidth="9.00390625" defaultRowHeight="12.75"/>
  <cols>
    <col min="1" max="1" width="10.00390625" style="172" customWidth="1"/>
    <col min="2" max="2" width="9.125" style="172" customWidth="1"/>
    <col min="3" max="3" width="9.875" style="172" customWidth="1"/>
    <col min="4" max="4" width="10.875" style="172" customWidth="1"/>
    <col min="5" max="5" width="10.125" style="172" bestFit="1" customWidth="1"/>
    <col min="6" max="6" width="9.00390625" style="172" customWidth="1"/>
    <col min="7" max="7" width="10.00390625" style="172" customWidth="1"/>
    <col min="8" max="8" width="10.125" style="172" customWidth="1"/>
    <col min="9" max="9" width="9.25390625" style="172" customWidth="1"/>
    <col min="10" max="10" width="9.875" style="172" customWidth="1"/>
    <col min="11" max="11" width="10.875" style="172" customWidth="1"/>
    <col min="12" max="12" width="10.125" style="172" customWidth="1"/>
    <col min="13" max="13" width="9.375" style="172" hidden="1" customWidth="1"/>
    <col min="14" max="14" width="10.375" style="172" customWidth="1"/>
    <col min="15" max="15" width="10.75390625" style="172" customWidth="1"/>
    <col min="16" max="16" width="11.75390625" style="172" customWidth="1"/>
    <col min="17" max="16384" width="9.125" style="172" customWidth="1"/>
  </cols>
  <sheetData>
    <row r="1" spans="2:8" ht="20.25" customHeight="1">
      <c r="B1" s="447" t="s">
        <v>55</v>
      </c>
      <c r="C1" s="447"/>
      <c r="D1" s="447"/>
      <c r="E1" s="447"/>
      <c r="F1" s="447"/>
      <c r="G1" s="447"/>
      <c r="H1" s="447"/>
    </row>
    <row r="2" spans="2:8" ht="21" customHeight="1">
      <c r="B2" s="447" t="s">
        <v>56</v>
      </c>
      <c r="C2" s="447"/>
      <c r="D2" s="447"/>
      <c r="E2" s="447"/>
      <c r="F2" s="447"/>
      <c r="G2" s="447"/>
      <c r="H2" s="447"/>
    </row>
    <row r="5" spans="1:15" ht="12.75">
      <c r="A5" s="357" t="s">
        <v>121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</row>
    <row r="6" spans="1:15" ht="12.75">
      <c r="A6" s="337" t="s">
        <v>126</v>
      </c>
      <c r="B6" s="337"/>
      <c r="C6" s="337"/>
      <c r="D6" s="337"/>
      <c r="E6" s="337"/>
      <c r="F6" s="337"/>
      <c r="G6" s="337"/>
      <c r="H6" s="113"/>
      <c r="I6" s="113"/>
      <c r="J6" s="113"/>
      <c r="K6" s="113"/>
      <c r="L6" s="113"/>
      <c r="M6" s="113"/>
      <c r="N6" s="113"/>
      <c r="O6" s="113"/>
    </row>
    <row r="7" spans="1:6" ht="13.5" thickBot="1">
      <c r="A7" s="448" t="s">
        <v>57</v>
      </c>
      <c r="B7" s="448"/>
      <c r="C7" s="448"/>
      <c r="D7" s="448"/>
      <c r="E7" s="448">
        <v>27.36</v>
      </c>
      <c r="F7" s="448"/>
    </row>
    <row r="8" spans="1:16" ht="12.75" customHeight="1">
      <c r="A8" s="327" t="s">
        <v>58</v>
      </c>
      <c r="B8" s="359" t="s">
        <v>1</v>
      </c>
      <c r="C8" s="362" t="s">
        <v>125</v>
      </c>
      <c r="D8" s="365" t="s">
        <v>3</v>
      </c>
      <c r="E8" s="368" t="s">
        <v>60</v>
      </c>
      <c r="F8" s="369"/>
      <c r="G8" s="449" t="s">
        <v>117</v>
      </c>
      <c r="H8" s="450"/>
      <c r="I8" s="372" t="s">
        <v>10</v>
      </c>
      <c r="J8" s="306"/>
      <c r="K8" s="306"/>
      <c r="L8" s="306"/>
      <c r="M8" s="306"/>
      <c r="N8" s="373"/>
      <c r="O8" s="344" t="s">
        <v>61</v>
      </c>
      <c r="P8" s="344" t="s">
        <v>12</v>
      </c>
    </row>
    <row r="9" spans="1:16" ht="12.75">
      <c r="A9" s="328"/>
      <c r="B9" s="360"/>
      <c r="C9" s="363"/>
      <c r="D9" s="366"/>
      <c r="E9" s="370"/>
      <c r="F9" s="371"/>
      <c r="G9" s="451"/>
      <c r="H9" s="452"/>
      <c r="I9" s="374"/>
      <c r="J9" s="299"/>
      <c r="K9" s="299"/>
      <c r="L9" s="299"/>
      <c r="M9" s="299"/>
      <c r="N9" s="375"/>
      <c r="O9" s="345"/>
      <c r="P9" s="345"/>
    </row>
    <row r="10" spans="1:16" ht="26.25" customHeight="1">
      <c r="A10" s="328"/>
      <c r="B10" s="360"/>
      <c r="C10" s="363"/>
      <c r="D10" s="366"/>
      <c r="E10" s="347" t="s">
        <v>62</v>
      </c>
      <c r="F10" s="348"/>
      <c r="G10" s="247" t="s">
        <v>63</v>
      </c>
      <c r="H10" s="355" t="s">
        <v>7</v>
      </c>
      <c r="I10" s="351" t="s">
        <v>64</v>
      </c>
      <c r="J10" s="353" t="s">
        <v>118</v>
      </c>
      <c r="K10" s="353" t="s">
        <v>65</v>
      </c>
      <c r="L10" s="353" t="s">
        <v>37</v>
      </c>
      <c r="M10" s="353" t="s">
        <v>66</v>
      </c>
      <c r="N10" s="355" t="s">
        <v>39</v>
      </c>
      <c r="O10" s="345"/>
      <c r="P10" s="345"/>
    </row>
    <row r="11" spans="1:16" ht="66.75" customHeight="1" thickBot="1">
      <c r="A11" s="358"/>
      <c r="B11" s="361"/>
      <c r="C11" s="364"/>
      <c r="D11" s="367"/>
      <c r="E11" s="39" t="s">
        <v>67</v>
      </c>
      <c r="F11" s="40" t="s">
        <v>21</v>
      </c>
      <c r="G11" s="170" t="s">
        <v>119</v>
      </c>
      <c r="H11" s="356"/>
      <c r="I11" s="352"/>
      <c r="J11" s="354"/>
      <c r="K11" s="354"/>
      <c r="L11" s="354"/>
      <c r="M11" s="354"/>
      <c r="N11" s="356"/>
      <c r="O11" s="346"/>
      <c r="P11" s="346"/>
    </row>
    <row r="12" spans="1:16" ht="13.5" thickBot="1">
      <c r="A12" s="42">
        <v>1</v>
      </c>
      <c r="B12" s="43">
        <v>2</v>
      </c>
      <c r="C12" s="42">
        <v>3</v>
      </c>
      <c r="D12" s="43">
        <v>4</v>
      </c>
      <c r="E12" s="42">
        <v>5</v>
      </c>
      <c r="F12" s="43">
        <v>6</v>
      </c>
      <c r="G12" s="42">
        <v>7</v>
      </c>
      <c r="H12" s="43">
        <v>8</v>
      </c>
      <c r="I12" s="42">
        <v>9</v>
      </c>
      <c r="J12" s="43">
        <v>10</v>
      </c>
      <c r="K12" s="42">
        <v>11</v>
      </c>
      <c r="L12" s="43">
        <v>12</v>
      </c>
      <c r="M12" s="42">
        <v>13</v>
      </c>
      <c r="N12" s="43">
        <v>14</v>
      </c>
      <c r="O12" s="42">
        <v>15</v>
      </c>
      <c r="P12" s="43">
        <v>16</v>
      </c>
    </row>
    <row r="13" spans="1:18" ht="13.5" hidden="1" thickBot="1">
      <c r="A13" s="8" t="s">
        <v>44</v>
      </c>
      <c r="B13" s="248"/>
      <c r="C13" s="64"/>
      <c r="D13" s="65"/>
      <c r="E13" s="249"/>
      <c r="F13" s="250"/>
      <c r="G13" s="251"/>
      <c r="H13" s="250"/>
      <c r="I13" s="251"/>
      <c r="J13" s="252"/>
      <c r="K13" s="252"/>
      <c r="L13" s="253"/>
      <c r="M13" s="254"/>
      <c r="N13" s="255"/>
      <c r="O13" s="256"/>
      <c r="P13" s="256"/>
      <c r="Q13" s="171"/>
      <c r="R13" s="171"/>
    </row>
    <row r="14" spans="1:18" ht="13.5" hidden="1" thickBot="1">
      <c r="A14" s="183" t="s">
        <v>45</v>
      </c>
      <c r="B14" s="257">
        <f>'[3]Лист1'!B8</f>
        <v>0</v>
      </c>
      <c r="C14" s="48">
        <f aca="true" t="shared" si="0" ref="C14:C25">B14*8.65</f>
        <v>0</v>
      </c>
      <c r="D14" s="49">
        <f>'[3]Лист1'!D8</f>
        <v>0</v>
      </c>
      <c r="E14" s="252">
        <f>'[3]Лист1'!S8</f>
        <v>0</v>
      </c>
      <c r="F14" s="255">
        <f>'[3]Лист1'!T8</f>
        <v>0</v>
      </c>
      <c r="G14" s="258">
        <f>'[3]Лист1'!AB8</f>
        <v>0</v>
      </c>
      <c r="H14" s="255">
        <f>'[3]Лист1'!AC8</f>
        <v>0</v>
      </c>
      <c r="I14" s="258">
        <f>'[3]Лист1'!AG8</f>
        <v>0</v>
      </c>
      <c r="J14" s="252">
        <f>'[3]Лист1'!AI8+'[3]Лист1'!AJ8</f>
        <v>0</v>
      </c>
      <c r="K14" s="252">
        <f>'[3]Лист1'!AH8+'[3]Лист1'!AK8+'[3]Лист1'!AL8+'[3]Лист1'!AM8+'[3]Лист1'!AN8+'[3]Лист1'!AO8+'[3]Лист1'!AP8+'[3]Лист1'!AQ8+'[3]Лист1'!AR8</f>
        <v>0</v>
      </c>
      <c r="L14" s="253">
        <f>'[3]Лист1'!AS8+'[3]Лист1'!AT8+'[3]Лист1'!AU8+'[3]Лист1'!AZ8+'[3]Лист1'!BA8</f>
        <v>0</v>
      </c>
      <c r="M14" s="253">
        <f>'[3]Лист1'!AX8</f>
        <v>0</v>
      </c>
      <c r="N14" s="255">
        <f>'[3]Лист1'!BB8</f>
        <v>0</v>
      </c>
      <c r="O14" s="256">
        <f>'[3]Лист1'!BD8</f>
        <v>0</v>
      </c>
      <c r="P14" s="256">
        <f>'[3]Лист1'!BE8</f>
        <v>0</v>
      </c>
      <c r="Q14" s="171"/>
      <c r="R14" s="171"/>
    </row>
    <row r="15" spans="1:18" ht="13.5" hidden="1" thickBot="1">
      <c r="A15" s="183" t="s">
        <v>46</v>
      </c>
      <c r="B15" s="257">
        <f>'[3]Лист1'!B9</f>
        <v>347</v>
      </c>
      <c r="C15" s="48">
        <f t="shared" si="0"/>
        <v>3001.55</v>
      </c>
      <c r="D15" s="49">
        <f>'[3]Лист1'!D9</f>
        <v>375.19375</v>
      </c>
      <c r="E15" s="252">
        <f>'[3]Лист1'!S9</f>
        <v>1402.63</v>
      </c>
      <c r="F15" s="255">
        <f>'[3]Лист1'!T9</f>
        <v>770.85</v>
      </c>
      <c r="G15" s="258">
        <f>'[3]Лист1'!AB9</f>
        <v>1205.52</v>
      </c>
      <c r="H15" s="255">
        <f>'[3]Лист1'!AC9</f>
        <v>2351.5637500000003</v>
      </c>
      <c r="I15" s="258">
        <f>'[3]Лист1'!AG9</f>
        <v>187.38</v>
      </c>
      <c r="J15" s="252">
        <f>'[3]Лист1'!AI9+'[3]Лист1'!AJ9</f>
        <v>301.727947</v>
      </c>
      <c r="K15" s="252">
        <f>'[3]Лист1'!AH9+'[3]Лист1'!AK9+'[3]Лист1'!AL9+'[3]Лист1'!AM9+'[3]Лист1'!AN9+'[3]Лист1'!AO9+'[3]Лист1'!AP9+'[3]Лист1'!AQ9+'[3]Лист1'!AR9</f>
        <v>1036.33545944</v>
      </c>
      <c r="L15" s="253">
        <f>'[3]Лист1'!AS9+'[3]Лист1'!AT9+'[3]Лист1'!AU9+'[3]Лист1'!AZ9+'[3]Лист1'!BA9</f>
        <v>0</v>
      </c>
      <c r="M15" s="253">
        <f>'[3]Лист1'!AX9</f>
        <v>100.70592</v>
      </c>
      <c r="N15" s="255">
        <f>'[3]Лист1'!BB9</f>
        <v>1525.4434064399998</v>
      </c>
      <c r="O15" s="256">
        <f>'[3]Лист1'!BD9</f>
        <v>826.1203435600005</v>
      </c>
      <c r="P15" s="256">
        <f>'[3]Лист1'!BE9</f>
        <v>-197.11000000000013</v>
      </c>
      <c r="Q15" s="171"/>
      <c r="R15" s="171"/>
    </row>
    <row r="16" spans="1:18" ht="13.5" hidden="1" thickBot="1">
      <c r="A16" s="183" t="s">
        <v>47</v>
      </c>
      <c r="B16" s="257">
        <f>'[3]Лист1'!B10</f>
        <v>347</v>
      </c>
      <c r="C16" s="48">
        <f t="shared" si="0"/>
        <v>3001.55</v>
      </c>
      <c r="D16" s="49">
        <f>'[3]Лист1'!D10</f>
        <v>375.19375</v>
      </c>
      <c r="E16" s="252">
        <f>'[3]Лист1'!S10</f>
        <v>1402.63</v>
      </c>
      <c r="F16" s="255">
        <f>'[3]Лист1'!T10</f>
        <v>770.85</v>
      </c>
      <c r="G16" s="258">
        <f>'[3]Лист1'!AB10</f>
        <v>1141.3000000000002</v>
      </c>
      <c r="H16" s="255">
        <f>'[3]Лист1'!AC10</f>
        <v>2287.34375</v>
      </c>
      <c r="I16" s="258">
        <f>'[3]Лист1'!AG10</f>
        <v>187.38</v>
      </c>
      <c r="J16" s="252">
        <f>'[3]Лист1'!AI10+'[3]Лист1'!AJ10</f>
        <v>301.403506</v>
      </c>
      <c r="K16" s="252">
        <f>'[3]Лист1'!AH10+'[3]Лист1'!AK10+'[3]Лист1'!AL10+'[3]Лист1'!AM10+'[3]Лист1'!AN10+'[3]Лист1'!AO10+'[3]Лист1'!AP10+'[3]Лист1'!AQ10+'[3]Лист1'!AR10</f>
        <v>1037.8314805399998</v>
      </c>
      <c r="L16" s="253">
        <f>'[3]Лист1'!AS10+'[3]Лист1'!AT10+'[3]Лист1'!AU10+'[3]Лист1'!AZ10+'[3]Лист1'!BA10</f>
        <v>1569.4</v>
      </c>
      <c r="M16" s="253">
        <f>'[3]Лист1'!AX10</f>
        <v>80.68368</v>
      </c>
      <c r="N16" s="255">
        <f>'[3]Лист1'!BB10</f>
        <v>3096.0149865399994</v>
      </c>
      <c r="O16" s="256">
        <f>'[3]Лист1'!BD10</f>
        <v>-808.6712365399994</v>
      </c>
      <c r="P16" s="256">
        <f>'[3]Лист1'!BE10</f>
        <v>-261.3299999999999</v>
      </c>
      <c r="Q16" s="171"/>
      <c r="R16" s="171"/>
    </row>
    <row r="17" spans="1:18" ht="13.5" hidden="1" thickBot="1">
      <c r="A17" s="183" t="s">
        <v>48</v>
      </c>
      <c r="B17" s="257">
        <f>'[3]Лист1'!B11</f>
        <v>347</v>
      </c>
      <c r="C17" s="48">
        <f t="shared" si="0"/>
        <v>3001.55</v>
      </c>
      <c r="D17" s="49">
        <f>'[3]Лист1'!D11</f>
        <v>375.19375</v>
      </c>
      <c r="E17" s="252">
        <f>'[3]Лист1'!S11</f>
        <v>1402.63</v>
      </c>
      <c r="F17" s="255">
        <f>'[3]Лист1'!T11</f>
        <v>770.85</v>
      </c>
      <c r="G17" s="258">
        <f>'[3]Лист1'!AB11</f>
        <v>1864.7600000000002</v>
      </c>
      <c r="H17" s="255">
        <f>'[3]Лист1'!AC11</f>
        <v>3010.80375</v>
      </c>
      <c r="I17" s="258">
        <f>'[3]Лист1'!AG11</f>
        <v>187.38</v>
      </c>
      <c r="J17" s="252">
        <f>'[3]Лист1'!AI11+'[3]Лист1'!AJ11</f>
        <v>301.9373675</v>
      </c>
      <c r="K17" s="252">
        <f>'[3]Лист1'!AH11+'[3]Лист1'!AK11+'[3]Лист1'!AL11+'[3]Лист1'!AM11+'[3]Лист1'!AN11+'[3]Лист1'!AO11+'[3]Лист1'!AP11+'[3]Лист1'!AQ11+'[3]Лист1'!AR11</f>
        <v>1003.1883752000001</v>
      </c>
      <c r="L17" s="253">
        <f>'[3]Лист1'!AS11+'[3]Лист1'!AT11+'[3]Лист1'!AU11+'[3]Лист1'!AY11+'[3]Лист1'!AZ11</f>
        <v>0</v>
      </c>
      <c r="M17" s="253">
        <f>'[3]Лист1'!AX11</f>
        <v>75.92592</v>
      </c>
      <c r="N17" s="255">
        <f>'[3]Лист1'!BB11</f>
        <v>1492.5057427</v>
      </c>
      <c r="O17" s="256">
        <f>'[3]Лист1'!BD11</f>
        <v>1518.2980073</v>
      </c>
      <c r="P17" s="256">
        <f>'[3]Лист1'!BE11</f>
        <v>462.1300000000001</v>
      </c>
      <c r="Q17" s="171"/>
      <c r="R17" s="171"/>
    </row>
    <row r="18" spans="1:18" ht="13.5" hidden="1" thickBot="1">
      <c r="A18" s="183" t="s">
        <v>49</v>
      </c>
      <c r="B18" s="257">
        <f>'[3]Лист1'!B12</f>
        <v>347</v>
      </c>
      <c r="C18" s="48">
        <f t="shared" si="0"/>
        <v>3001.55</v>
      </c>
      <c r="D18" s="49">
        <f>'[3]Лист1'!D12</f>
        <v>375.19375</v>
      </c>
      <c r="E18" s="252">
        <f>'[3]Лист1'!S12</f>
        <v>1401.9099999999999</v>
      </c>
      <c r="F18" s="255">
        <f>'[3]Лист1'!T12</f>
        <v>770.85</v>
      </c>
      <c r="G18" s="258">
        <f>'[3]Лист1'!AB12</f>
        <v>1402.6</v>
      </c>
      <c r="H18" s="255">
        <f>'[3]Лист1'!AC12</f>
        <v>2548.64375</v>
      </c>
      <c r="I18" s="258">
        <f>'[3]Лист1'!AG12</f>
        <v>187.38</v>
      </c>
      <c r="J18" s="252">
        <f>'[3]Лист1'!AI12+'[3]Лист1'!AJ12</f>
        <v>310.800613</v>
      </c>
      <c r="K18" s="252">
        <f>'[3]Лист1'!AH12+'[3]Лист1'!AK12+'[3]Лист1'!AL12+'[3]Лист1'!AM12+'[3]Лист1'!AN12+'[3]Лист1'!AO12+'[3]Лист1'!AP12+'[3]Лист1'!AQ12+'[3]Лист1'!AR12</f>
        <v>1017.49191592</v>
      </c>
      <c r="L18" s="253">
        <f>'[3]Лист1'!AS12+'[3]Лист1'!AT12+'[3]Лист1'!AU12+'[3]Лист1'!AZ12+'[3]Лист1'!BA12</f>
        <v>0</v>
      </c>
      <c r="M18" s="253">
        <f>'[3]Лист1'!AX12</f>
        <v>60.85968</v>
      </c>
      <c r="N18" s="255">
        <f>'[3]Лист1'!BB12</f>
        <v>1833.8477289200002</v>
      </c>
      <c r="O18" s="256">
        <f>'[3]Лист1'!BD12</f>
        <v>714.79602108</v>
      </c>
      <c r="P18" s="256">
        <f>'[3]Лист1'!BE12</f>
        <v>0.6900000000000546</v>
      </c>
      <c r="Q18" s="171"/>
      <c r="R18" s="171"/>
    </row>
    <row r="19" spans="1:18" ht="13.5" hidden="1" thickBot="1">
      <c r="A19" s="183" t="s">
        <v>50</v>
      </c>
      <c r="B19" s="257">
        <f>'[3]Лист1'!B13</f>
        <v>347</v>
      </c>
      <c r="C19" s="48">
        <f t="shared" si="0"/>
        <v>3001.55</v>
      </c>
      <c r="D19" s="49">
        <f>'[3]Лист1'!D13</f>
        <v>577.8599999999997</v>
      </c>
      <c r="E19" s="252">
        <f>'[3]Лист1'!S13</f>
        <v>1563.57</v>
      </c>
      <c r="F19" s="255">
        <f>'[3]Лист1'!T13</f>
        <v>860.12</v>
      </c>
      <c r="G19" s="258">
        <f>'[3]Лист1'!AB13</f>
        <v>1101.03</v>
      </c>
      <c r="H19" s="255">
        <f>'[3]Лист1'!AC13</f>
        <v>2539.0099999999993</v>
      </c>
      <c r="I19" s="258">
        <f>'[3]Лист1'!AG13</f>
        <v>208.2</v>
      </c>
      <c r="J19" s="252">
        <f>'[3]Лист1'!AI13+'[3]Лист1'!AJ13</f>
        <v>348.041</v>
      </c>
      <c r="K19" s="252">
        <f>'[3]Лист1'!AH13+'[3]Лист1'!AK13+'[3]Лист1'!AL13+'[3]Лист1'!AM13+'[3]Лист1'!AN13+'[3]Лист1'!AO13+'[3]Лист1'!AP13+'[3]Лист1'!AQ13+'[3]Лист1'!AR13</f>
        <v>1192.0144</v>
      </c>
      <c r="L19" s="253">
        <f>'[3]Лист1'!AS13+'[3]Лист1'!AT13+'[3]Лист1'!AU13+'[3]Лист1'!AZ13+'[3]Лист1'!BA13</f>
        <v>0</v>
      </c>
      <c r="M19" s="253">
        <f>'[3]Лист1'!AX13</f>
        <v>52.137119999999996</v>
      </c>
      <c r="N19" s="255">
        <f>'[3]Лист1'!BB13</f>
        <v>1800.3925199999999</v>
      </c>
      <c r="O19" s="256">
        <f>'[3]Лист1'!BD13</f>
        <v>738.6174799999994</v>
      </c>
      <c r="P19" s="256">
        <f>'[3]Лист1'!BE13</f>
        <v>-462.53999999999996</v>
      </c>
      <c r="Q19" s="171"/>
      <c r="R19" s="171"/>
    </row>
    <row r="20" spans="1:18" ht="13.5" hidden="1" thickBot="1">
      <c r="A20" s="183" t="s">
        <v>51</v>
      </c>
      <c r="B20" s="257">
        <f>'[3]Лист1'!B14</f>
        <v>347</v>
      </c>
      <c r="C20" s="48">
        <f t="shared" si="0"/>
        <v>3001.55</v>
      </c>
      <c r="D20" s="49">
        <f>'[3]Лист1'!D14</f>
        <v>577.73</v>
      </c>
      <c r="E20" s="252">
        <f>'[3]Лист1'!S14</f>
        <v>1563.7</v>
      </c>
      <c r="F20" s="255">
        <f>'[3]Лист1'!T14</f>
        <v>860.12</v>
      </c>
      <c r="G20" s="258">
        <f>'[3]Лист1'!AB14</f>
        <v>1864.8400000000001</v>
      </c>
      <c r="H20" s="255">
        <f>'[3]Лист1'!AC14</f>
        <v>3302.69</v>
      </c>
      <c r="I20" s="258">
        <f>'[3]Лист1'!AG14</f>
        <v>208.2</v>
      </c>
      <c r="J20" s="252">
        <f>'[3]Лист1'!AI14+'[3]Лист1'!AJ14</f>
        <v>348.041</v>
      </c>
      <c r="K20" s="252">
        <f>'[3]Лист1'!AH14+'[3]Лист1'!AK14+'[3]Лист1'!AL14+'[3]Лист1'!AM14+'[3]Лист1'!AN14+'[3]Лист1'!AO14+'[3]Лист1'!AP14+'[3]Лист1'!AQ14+'[3]Лист1'!AR14</f>
        <v>1192.04563</v>
      </c>
      <c r="L20" s="253">
        <f>'[3]Лист1'!AS14+'[3]Лист1'!AT14+'[3]Лист1'!AU14+'[3]Лист1'!AZ14+'[3]Лист1'!BA14</f>
        <v>0</v>
      </c>
      <c r="M20" s="253">
        <f>'[3]Лист1'!AX14</f>
        <v>46.189919999999994</v>
      </c>
      <c r="N20" s="255">
        <f>'[3]Лист1'!BB14</f>
        <v>1794.47655</v>
      </c>
      <c r="O20" s="256">
        <f>'[3]Лист1'!BD14</f>
        <v>1508.21345</v>
      </c>
      <c r="P20" s="256">
        <f>'[3]Лист1'!BE14</f>
        <v>301.1400000000001</v>
      </c>
      <c r="Q20" s="171"/>
      <c r="R20" s="171"/>
    </row>
    <row r="21" spans="1:18" ht="13.5" hidden="1" thickBot="1">
      <c r="A21" s="183" t="s">
        <v>52</v>
      </c>
      <c r="B21" s="257">
        <f>'[3]Лист1'!B15</f>
        <v>347</v>
      </c>
      <c r="C21" s="48">
        <f t="shared" si="0"/>
        <v>3001.55</v>
      </c>
      <c r="D21" s="49">
        <f>'[3]Лист1'!D15</f>
        <v>595.9700000000003</v>
      </c>
      <c r="E21" s="252">
        <f>'[3]Лист1'!S15</f>
        <v>1553.6399999999999</v>
      </c>
      <c r="F21" s="255">
        <f>'[3]Лист1'!T15</f>
        <v>851.9399999999999</v>
      </c>
      <c r="G21" s="258">
        <f>'[3]Лист1'!AB15</f>
        <v>1230.87</v>
      </c>
      <c r="H21" s="255">
        <f>'[3]Лист1'!AC15</f>
        <v>2678.78</v>
      </c>
      <c r="I21" s="258">
        <f>'[3]Лист1'!AG15</f>
        <v>208.2</v>
      </c>
      <c r="J21" s="252">
        <f>'[3]Лист1'!AI15+'[3]Лист1'!AJ15</f>
        <v>343.0988178</v>
      </c>
      <c r="K21" s="252">
        <f>'[3]Лист1'!AH15+'[3]Лист1'!AK15+'[3]Лист1'!AL15+'[3]Лист1'!AM15+'[3]Лист1'!AN15+'[3]Лист1'!AO15+'[3]Лист1'!AP15+'[3]Лист1'!AQ15+'[3]Лист1'!AR15</f>
        <v>1180.18489934</v>
      </c>
      <c r="L21" s="253">
        <f>'[3]Лист1'!AS15+'[3]Лист1'!AT15+'[3]Лист1'!AU15+'[3]Лист1'!AZ15+'[3]Лист1'!BA15</f>
        <v>0</v>
      </c>
      <c r="M21" s="253">
        <f>'[3]Лист1'!AX15</f>
        <v>49.16352</v>
      </c>
      <c r="N21" s="255">
        <f>'[3]Лист1'!BB15</f>
        <v>1780.64723714</v>
      </c>
      <c r="O21" s="256">
        <f>'[3]Лист1'!BD15</f>
        <v>898.1327628600002</v>
      </c>
      <c r="P21" s="256">
        <f>'[3]Лист1'!BE15</f>
        <v>-322.77</v>
      </c>
      <c r="Q21" s="171"/>
      <c r="R21" s="171"/>
    </row>
    <row r="22" spans="1:18" ht="13.5" hidden="1" thickBot="1">
      <c r="A22" s="183" t="s">
        <v>53</v>
      </c>
      <c r="B22" s="257">
        <f>'[3]Лист1'!B16</f>
        <v>347</v>
      </c>
      <c r="C22" s="48">
        <f t="shared" si="0"/>
        <v>3001.55</v>
      </c>
      <c r="D22" s="49">
        <f>'[3]Лист1'!D16</f>
        <v>577.73</v>
      </c>
      <c r="E22" s="252">
        <f>'[3]Лист1'!S16</f>
        <v>1563.7</v>
      </c>
      <c r="F22" s="255">
        <f>'[3]Лист1'!T16</f>
        <v>860.12</v>
      </c>
      <c r="G22" s="258">
        <f>'[3]Лист1'!AB16</f>
        <v>1843.1499999999999</v>
      </c>
      <c r="H22" s="255">
        <f>'[3]Лист1'!AC16</f>
        <v>3281</v>
      </c>
      <c r="I22" s="258">
        <f>'[3]Лист1'!AG16</f>
        <v>208.2</v>
      </c>
      <c r="J22" s="252">
        <f>'[3]Лист1'!AI16+'[3]Лист1'!AJ16</f>
        <v>342.9073952499999</v>
      </c>
      <c r="K22" s="252">
        <f>'[3]Лист1'!AH16+'[3]Лист1'!AK16+'[3]Лист1'!AL16+'[3]Лист1'!AM16+'[3]Лист1'!AN16+'[3]Лист1'!AO16+'[3]Лист1'!AP16+'[3]Лист1'!AQ16+'[3]Лист1'!AR16</f>
        <v>1179.93693314</v>
      </c>
      <c r="L22" s="253">
        <f>'[3]Лист1'!AS16+'[3]Лист1'!AT16+'[3]Лист1'!AU16+'[3]Лист1'!AZ16+'[3]Лист1'!BA16</f>
        <v>0</v>
      </c>
      <c r="M22" s="253">
        <f>'[3]Лист1'!AX16</f>
        <v>58.08431999999999</v>
      </c>
      <c r="N22" s="255">
        <f>'[3]Лист1'!BB16</f>
        <v>1789.1286483900003</v>
      </c>
      <c r="O22" s="256">
        <f>'[3]Лист1'!BD16</f>
        <v>1491.8713516099997</v>
      </c>
      <c r="P22" s="256">
        <f>'[3]Лист1'!BE16</f>
        <v>279.4499999999998</v>
      </c>
      <c r="Q22" s="171"/>
      <c r="R22" s="171"/>
    </row>
    <row r="23" spans="1:18" ht="13.5" hidden="1" thickBot="1">
      <c r="A23" s="183" t="s">
        <v>41</v>
      </c>
      <c r="B23" s="257">
        <f>'[3]Лист1'!B17</f>
        <v>347</v>
      </c>
      <c r="C23" s="48">
        <f t="shared" si="0"/>
        <v>3001.55</v>
      </c>
      <c r="D23" s="49">
        <f>'[3]Лист1'!D17</f>
        <v>577.73</v>
      </c>
      <c r="E23" s="252">
        <f>'[3]Лист1'!S17</f>
        <v>1563.7</v>
      </c>
      <c r="F23" s="255">
        <f>'[3]Лист1'!T17</f>
        <v>860.12</v>
      </c>
      <c r="G23" s="258">
        <f>'[3]Лист1'!AB17</f>
        <v>1231.0300000000002</v>
      </c>
      <c r="H23" s="255">
        <f>'[3]Лист1'!AC17</f>
        <v>2668.88</v>
      </c>
      <c r="I23" s="258">
        <f>'[3]Лист1'!AG17</f>
        <v>208.2</v>
      </c>
      <c r="J23" s="252">
        <f>'[3]Лист1'!AI17+'[3]Лист1'!AJ17</f>
        <v>342.84822827999994</v>
      </c>
      <c r="K23" s="252">
        <f>'[3]Лист1'!AH17+'[3]Лист1'!AK17+'[3]Лист1'!AL17+'[3]Лист1'!AM17+'[3]Лист1'!AN17+'[3]Лист1'!AO17+'[3]Лист1'!AP17+'[3]Лист1'!AQ17+'[3]Лист1'!AR17</f>
        <v>1179.8602711239998</v>
      </c>
      <c r="L23" s="253">
        <f>'[3]Лист1'!AS17+'[3]Лист1'!AT17+'[3]Лист1'!AU17+'[3]Лист1'!AZ17+'[3]Лист1'!BA17</f>
        <v>0</v>
      </c>
      <c r="M23" s="253">
        <f>'[3]Лист1'!AX17</f>
        <v>69.18576</v>
      </c>
      <c r="N23" s="255">
        <f>'[3]Лист1'!BB17</f>
        <v>1800.0942594039993</v>
      </c>
      <c r="O23" s="256">
        <f>'[3]Лист1'!BD17</f>
        <v>868.7857405960008</v>
      </c>
      <c r="P23" s="256">
        <f>'[3]Лист1'!BE17</f>
        <v>-332.66999999999985</v>
      </c>
      <c r="Q23" s="171"/>
      <c r="R23" s="171"/>
    </row>
    <row r="24" spans="1:18" ht="13.5" hidden="1" thickBot="1">
      <c r="A24" s="183" t="s">
        <v>42</v>
      </c>
      <c r="B24" s="257">
        <f>'[3]Лист1'!B18</f>
        <v>347</v>
      </c>
      <c r="C24" s="48">
        <f t="shared" si="0"/>
        <v>3001.55</v>
      </c>
      <c r="D24" s="49">
        <f>'[3]Лист1'!D18</f>
        <v>577.73</v>
      </c>
      <c r="E24" s="252">
        <f>'[3]Лист1'!S18</f>
        <v>1563.7</v>
      </c>
      <c r="F24" s="255">
        <f>'[3]Лист1'!T18</f>
        <v>860.12</v>
      </c>
      <c r="G24" s="258">
        <f>'[3]Лист1'!AB18</f>
        <v>1939.5499999999997</v>
      </c>
      <c r="H24" s="255">
        <f>'[3]Лист1'!AC18</f>
        <v>3377.3999999999996</v>
      </c>
      <c r="I24" s="258">
        <f>'[3]Лист1'!AG18</f>
        <v>208.2</v>
      </c>
      <c r="J24" s="252">
        <f>'[3]Лист1'!AI18+'[3]Лист1'!AJ18</f>
        <v>346.81262</v>
      </c>
      <c r="K24" s="252">
        <f>'[3]Лист1'!AH18+'[3]Лист1'!AK18+'[3]Лист1'!AL18+'[3]Лист1'!AM18+'[3]Лист1'!AN18+'[3]Лист1'!AO18+'[3]Лист1'!AP18+'[3]Лист1'!AQ18+'[3]Лист1'!AR18</f>
        <v>1190.0018</v>
      </c>
      <c r="L24" s="253">
        <f>'[3]Лист1'!AS18+'[3]Лист1'!AT18+'[3]Лист1'!AU18+'[3]Лист1'!AZ18+'[3]Лист1'!BA18</f>
        <v>0</v>
      </c>
      <c r="M24" s="253">
        <f>'[3]Лист1'!AX18</f>
        <v>84.252</v>
      </c>
      <c r="N24" s="255">
        <f>'[3]Лист1'!BB18</f>
        <v>1829.2664200000002</v>
      </c>
      <c r="O24" s="256">
        <f>'[3]Лист1'!BD18</f>
        <v>1548.1335799999995</v>
      </c>
      <c r="P24" s="256">
        <f>'[3]Лист1'!BE18</f>
        <v>375.8499999999997</v>
      </c>
      <c r="Q24" s="171"/>
      <c r="R24" s="171"/>
    </row>
    <row r="25" spans="1:18" ht="13.5" hidden="1" thickBot="1">
      <c r="A25" s="259" t="s">
        <v>43</v>
      </c>
      <c r="B25" s="257">
        <f>'[3]Лист1'!B19</f>
        <v>347</v>
      </c>
      <c r="C25" s="54">
        <f t="shared" si="0"/>
        <v>3001.55</v>
      </c>
      <c r="D25" s="49">
        <f>'[3]Лист1'!D19</f>
        <v>577.73</v>
      </c>
      <c r="E25" s="252">
        <f>'[3]Лист1'!S19</f>
        <v>1563.7</v>
      </c>
      <c r="F25" s="255">
        <f>'[3]Лист1'!T19</f>
        <v>860.12</v>
      </c>
      <c r="G25" s="258">
        <f>'[3]Лист1'!AB19</f>
        <v>1230.9</v>
      </c>
      <c r="H25" s="255">
        <f>'[3]Лист1'!AC19</f>
        <v>2668.75</v>
      </c>
      <c r="I25" s="258">
        <f>'[3]Лист1'!AG19</f>
        <v>208.2</v>
      </c>
      <c r="J25" s="252">
        <f>'[3]Лист1'!AI19+'[3]Лист1'!AJ19</f>
        <v>348.041</v>
      </c>
      <c r="K25" s="252">
        <f>'[3]Лист1'!AH19+'[3]Лист1'!AK19+'[3]Лист1'!AL19+'[3]Лист1'!AM19+'[3]Лист1'!AN19+'[3]Лист1'!AO19+'[3]Лист1'!AP19+'[3]Лист1'!AQ19+'[3]Лист1'!AR19</f>
        <v>1191.3204</v>
      </c>
      <c r="L25" s="253">
        <f>'[3]Лист1'!AS19+'[3]Лист1'!AT19+'[3]Лист1'!AU19+'[3]Лист1'!AZ19+'[3]Лист1'!BA19</f>
        <v>0</v>
      </c>
      <c r="M25" s="253">
        <f>'[3]Лист1'!AX19</f>
        <v>93.17280000000001</v>
      </c>
      <c r="N25" s="255">
        <f>'[3]Лист1'!BB19</f>
        <v>1840.7342</v>
      </c>
      <c r="O25" s="256">
        <f>'[3]Лист1'!BD19</f>
        <v>828.0157999999999</v>
      </c>
      <c r="P25" s="256">
        <f>'[3]Лист1'!BE19</f>
        <v>-332.79999999999995</v>
      </c>
      <c r="Q25" s="171"/>
      <c r="R25" s="171"/>
    </row>
    <row r="26" spans="1:18" s="28" customFormat="1" ht="13.5" hidden="1" thickBot="1">
      <c r="A26" s="55" t="s">
        <v>5</v>
      </c>
      <c r="B26" s="56"/>
      <c r="C26" s="57">
        <f aca="true" t="shared" si="1" ref="C26:P26">SUM(C14:C25)</f>
        <v>33017.049999999996</v>
      </c>
      <c r="D26" s="58">
        <f t="shared" si="1"/>
        <v>5563.254999999999</v>
      </c>
      <c r="E26" s="57">
        <f t="shared" si="1"/>
        <v>16545.510000000002</v>
      </c>
      <c r="F26" s="59">
        <f t="shared" si="1"/>
        <v>9096.060000000001</v>
      </c>
      <c r="G26" s="58">
        <f t="shared" si="1"/>
        <v>16055.549999999997</v>
      </c>
      <c r="H26" s="59">
        <f t="shared" si="1"/>
        <v>30714.864999999998</v>
      </c>
      <c r="I26" s="58">
        <f t="shared" si="1"/>
        <v>2206.92</v>
      </c>
      <c r="J26" s="57">
        <f t="shared" si="1"/>
        <v>3635.6594948300003</v>
      </c>
      <c r="K26" s="57">
        <f t="shared" si="1"/>
        <v>12400.211564704</v>
      </c>
      <c r="L26" s="57">
        <f t="shared" si="1"/>
        <v>1569.4</v>
      </c>
      <c r="M26" s="57">
        <f t="shared" si="1"/>
        <v>770.36064</v>
      </c>
      <c r="N26" s="59">
        <f t="shared" si="1"/>
        <v>20582.551699533997</v>
      </c>
      <c r="O26" s="61">
        <f t="shared" si="1"/>
        <v>10132.313300466</v>
      </c>
      <c r="P26" s="61">
        <f t="shared" si="1"/>
        <v>-489.96000000000004</v>
      </c>
      <c r="Q26" s="63"/>
      <c r="R26" s="63"/>
    </row>
    <row r="27" spans="1:18" ht="13.5" thickBot="1">
      <c r="A27" s="335" t="s">
        <v>92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260"/>
      <c r="Q27" s="171"/>
      <c r="R27" s="171"/>
    </row>
    <row r="28" spans="1:18" s="28" customFormat="1" ht="13.5" hidden="1" thickBot="1">
      <c r="A28" s="71" t="s">
        <v>54</v>
      </c>
      <c r="B28" s="72"/>
      <c r="C28" s="73">
        <f>'2012 полн'!C8</f>
        <v>167058.315</v>
      </c>
      <c r="D28" s="73">
        <f>'2012 полн'!D8</f>
        <v>173588.09619795</v>
      </c>
      <c r="E28" s="73">
        <f>'2012 полн'!U8</f>
        <v>521542.76</v>
      </c>
      <c r="F28" s="73">
        <f>'2012 полн'!V8</f>
        <v>49995.67999999999</v>
      </c>
      <c r="G28" s="73">
        <f>'2012 полн'!AF8</f>
        <v>436883.7699999999</v>
      </c>
      <c r="H28" s="73">
        <f>'2012 полн'!AG8</f>
        <v>660467.5461979499</v>
      </c>
      <c r="I28" s="73">
        <f>'2012 полн'!AK8</f>
        <v>11416.187999999998</v>
      </c>
      <c r="J28" s="73">
        <f>'2012 полн'!AL8</f>
        <v>3825.3614535999995</v>
      </c>
      <c r="K28" s="73">
        <f>'2012 полн'!AM8+'2012 полн'!AN8+'2012 полн'!AO8+'2012 полн'!AP8+'2012 полн'!AT8+'2012 полн'!AX8+'2012 полн'!AY8</f>
        <v>704860.4150419901</v>
      </c>
      <c r="L28" s="73">
        <f>'2012 полн'!AU8+'2012 полн'!AV8+'2012 полн'!AW8</f>
        <v>72527.73479999999</v>
      </c>
      <c r="M28" s="73">
        <v>0</v>
      </c>
      <c r="N28" s="73">
        <f>'2012 полн'!BE8</f>
        <v>792629.6992955902</v>
      </c>
      <c r="O28" s="73">
        <f>'2012 полн'!BF8</f>
        <v>-132162.1530976402</v>
      </c>
      <c r="P28" s="73">
        <f>'2012 полн'!BG8</f>
        <v>-84658.98999999999</v>
      </c>
      <c r="Q28" s="77"/>
      <c r="R28" s="63"/>
    </row>
    <row r="29" spans="1:18" ht="13.5" hidden="1" thickBot="1">
      <c r="A29" s="42" t="s">
        <v>116</v>
      </c>
      <c r="B29" s="26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262"/>
      <c r="O29" s="262"/>
      <c r="P29" s="262"/>
      <c r="Q29" s="171"/>
      <c r="R29" s="171"/>
    </row>
    <row r="30" spans="1:18" ht="12.75" hidden="1">
      <c r="A30" s="263" t="s">
        <v>45</v>
      </c>
      <c r="B30" s="264">
        <f>'2012 полн'!B10</f>
        <v>715.3</v>
      </c>
      <c r="C30" s="249">
        <f>'2012 полн'!C10</f>
        <v>5072.04924</v>
      </c>
      <c r="D30" s="249">
        <f>'2012 полн'!D10</f>
        <v>314.262</v>
      </c>
      <c r="E30" s="249">
        <f>'2012 полн'!U10</f>
        <v>5201.38</v>
      </c>
      <c r="F30" s="249">
        <f>'2012 полн'!V10</f>
        <v>0</v>
      </c>
      <c r="G30" s="249">
        <f>'2012 полн'!AF10</f>
        <v>19265.34</v>
      </c>
      <c r="H30" s="249">
        <f>'2012 полн'!AG10</f>
        <v>19579.602</v>
      </c>
      <c r="I30" s="249">
        <f>'2012 полн'!AK10</f>
        <v>479.251</v>
      </c>
      <c r="J30" s="249">
        <f>'2012 полн'!AL10</f>
        <v>143.06</v>
      </c>
      <c r="K30" s="249">
        <f>'2012 полн'!AM10+'2012 полн'!AN10+'2012 полн'!AO10+'2012 полн'!AP10+'2012 полн'!AQ10+'2012 полн'!AR10+'2012 полн'!AS10+'2012 полн'!AT10+'2012 полн'!AX10</f>
        <v>4120.128</v>
      </c>
      <c r="L30" s="249">
        <f>'2012 полн'!AU10+'2012 полн'!AV10+'2012 полн'!AW10</f>
        <v>0</v>
      </c>
      <c r="M30" s="265">
        <f>'[4]2011 полн'!BA10</f>
        <v>0</v>
      </c>
      <c r="N30" s="252">
        <f>'2012 полн'!BC10</f>
        <v>4742.439</v>
      </c>
      <c r="O30" s="252">
        <f>'2012 полн'!BF10</f>
        <v>14837.162999999999</v>
      </c>
      <c r="P30" s="252">
        <f>'2012 полн'!BG10</f>
        <v>14063.96</v>
      </c>
      <c r="Q30" s="171"/>
      <c r="R30" s="171"/>
    </row>
    <row r="31" spans="1:18" ht="12.75" hidden="1">
      <c r="A31" s="183" t="s">
        <v>46</v>
      </c>
      <c r="B31" s="264">
        <f>'2012 полн'!B11</f>
        <v>715.3</v>
      </c>
      <c r="C31" s="249">
        <f>'2012 полн'!C11</f>
        <v>5072.04924</v>
      </c>
      <c r="D31" s="249">
        <f>'2012 полн'!D11</f>
        <v>314.262</v>
      </c>
      <c r="E31" s="249">
        <f>'2012 полн'!U11</f>
        <v>5201.360000000001</v>
      </c>
      <c r="F31" s="249">
        <f>'2012 полн'!V11</f>
        <v>0</v>
      </c>
      <c r="G31" s="249">
        <f>'2012 полн'!AF11</f>
        <v>11494.78</v>
      </c>
      <c r="H31" s="249">
        <f>'2012 полн'!AG11</f>
        <v>11809.042000000001</v>
      </c>
      <c r="I31" s="249">
        <f>'2012 полн'!AK11</f>
        <v>479.251</v>
      </c>
      <c r="J31" s="249">
        <f>'2012 полн'!AL11</f>
        <v>143.06</v>
      </c>
      <c r="K31" s="249">
        <f>'2012 полн'!AM11+'2012 полн'!AN11+'2012 полн'!AO11+'2012 полн'!AP11+'2012 полн'!AQ11+'2012 полн'!AR11+'2012 полн'!AS11+'2012 полн'!AT11+'2012 полн'!AX11</f>
        <v>4314.6179999999995</v>
      </c>
      <c r="L31" s="249">
        <f>'2012 полн'!AU11+'2012 полн'!AV11+'2012 полн'!AW11</f>
        <v>0</v>
      </c>
      <c r="M31" s="265">
        <f>'[4]2011 полн'!BA11</f>
        <v>0</v>
      </c>
      <c r="N31" s="252">
        <f>'2012 полн'!BC11</f>
        <v>4936.929</v>
      </c>
      <c r="O31" s="252">
        <f>'2012 полн'!BF11</f>
        <v>6872.113000000001</v>
      </c>
      <c r="P31" s="252">
        <f>'2012 полн'!BG11</f>
        <v>6293.42</v>
      </c>
      <c r="Q31" s="171"/>
      <c r="R31" s="171"/>
    </row>
    <row r="32" spans="1:18" ht="12.75" hidden="1">
      <c r="A32" s="183" t="s">
        <v>47</v>
      </c>
      <c r="B32" s="264">
        <f>'2012 полн'!B12</f>
        <v>715.3</v>
      </c>
      <c r="C32" s="249">
        <f>'2012 полн'!C12</f>
        <v>5072.04924</v>
      </c>
      <c r="D32" s="249">
        <f>'2012 полн'!D12</f>
        <v>271.83</v>
      </c>
      <c r="E32" s="249">
        <f>'2012 полн'!U12</f>
        <v>5176.81</v>
      </c>
      <c r="F32" s="249">
        <f>'2012 полн'!V12</f>
        <v>0</v>
      </c>
      <c r="G32" s="249">
        <f>'2012 полн'!AF12</f>
        <v>6131.44</v>
      </c>
      <c r="H32" s="249">
        <f>'2012 полн'!AG12</f>
        <v>6403.2699999999995</v>
      </c>
      <c r="I32" s="249">
        <f>'2012 полн'!AK12</f>
        <v>479.251</v>
      </c>
      <c r="J32" s="249">
        <f>'2012 полн'!AL12</f>
        <v>143.06</v>
      </c>
      <c r="K32" s="249">
        <f>'2012 полн'!AM12+'2012 полн'!AN12+'2012 полн'!AO12+'2012 полн'!AP12+'2012 полн'!AQ12+'2012 полн'!AR12+'2012 полн'!AS12+'2012 полн'!AT12+'2012 полн'!AX12</f>
        <v>4280.777999999999</v>
      </c>
      <c r="L32" s="249">
        <f>'2012 полн'!AU12+'2012 полн'!AV12+'2012 полн'!AW12</f>
        <v>0</v>
      </c>
      <c r="M32" s="265">
        <f>'[4]2011 полн'!BA12</f>
        <v>0</v>
      </c>
      <c r="N32" s="252">
        <f>'2012 полн'!BC12</f>
        <v>4903.089</v>
      </c>
      <c r="O32" s="252">
        <f>'2012 полн'!BF12</f>
        <v>1500.1809999999996</v>
      </c>
      <c r="P32" s="252">
        <f>'2012 полн'!BG12</f>
        <v>954.6299999999992</v>
      </c>
      <c r="Q32" s="171"/>
      <c r="R32" s="171"/>
    </row>
    <row r="33" spans="1:18" ht="12.75" hidden="1">
      <c r="A33" s="183" t="s">
        <v>48</v>
      </c>
      <c r="B33" s="264">
        <f>'2012 полн'!B13</f>
        <v>715.3</v>
      </c>
      <c r="C33" s="249">
        <f>'2012 полн'!C13</f>
        <v>5072.04924</v>
      </c>
      <c r="D33" s="249">
        <f>'2012 полн'!D13</f>
        <v>271.83</v>
      </c>
      <c r="E33" s="249">
        <f>'2012 полн'!U13</f>
        <v>5177.28</v>
      </c>
      <c r="F33" s="249">
        <f>'2012 полн'!V13</f>
        <v>0</v>
      </c>
      <c r="G33" s="249">
        <f>'2012 полн'!AF13</f>
        <v>2879.28</v>
      </c>
      <c r="H33" s="249">
        <f>'2012 полн'!AG13</f>
        <v>3151.11</v>
      </c>
      <c r="I33" s="249">
        <f>'2012 полн'!AK13</f>
        <v>479.251</v>
      </c>
      <c r="J33" s="249">
        <f>'2012 полн'!AL13</f>
        <v>143.06</v>
      </c>
      <c r="K33" s="249">
        <f>'2012 полн'!AM13+'2012 полн'!AN13+'2012 полн'!AO13+'2012 полн'!AP13+'2012 полн'!AQ13+'2012 полн'!AR13+'2012 полн'!AS13+'2012 полн'!AT13+'2012 полн'!AX13</f>
        <v>4145.128</v>
      </c>
      <c r="L33" s="249">
        <f>'2012 полн'!AU13+'2012 полн'!AV13+'2012 полн'!AW13</f>
        <v>0</v>
      </c>
      <c r="M33" s="265">
        <f>'[4]2011 полн'!BA13</f>
        <v>0</v>
      </c>
      <c r="N33" s="252">
        <f>'2012 полн'!BC13</f>
        <v>4767.439</v>
      </c>
      <c r="O33" s="252">
        <f>'2012 полн'!BF13</f>
        <v>-1616.3290000000002</v>
      </c>
      <c r="P33" s="252">
        <f>'2012 полн'!BG13</f>
        <v>-2297.9999999999995</v>
      </c>
      <c r="Q33" s="171"/>
      <c r="R33" s="171"/>
    </row>
    <row r="34" spans="1:18" ht="12.75" hidden="1">
      <c r="A34" s="183" t="s">
        <v>49</v>
      </c>
      <c r="B34" s="264">
        <f>'2012 полн'!B14</f>
        <v>715.3</v>
      </c>
      <c r="C34" s="249">
        <f>'2012 полн'!C14</f>
        <v>5072.04924</v>
      </c>
      <c r="D34" s="249">
        <f>'2012 полн'!D14</f>
        <v>271.83</v>
      </c>
      <c r="E34" s="249">
        <f>'2012 полн'!U14</f>
        <v>5177.28</v>
      </c>
      <c r="F34" s="249">
        <f>'2012 полн'!V14</f>
        <v>0</v>
      </c>
      <c r="G34" s="249">
        <f>'2012 полн'!AF14</f>
        <v>10203.119999999999</v>
      </c>
      <c r="H34" s="249">
        <f>'2012 полн'!AG14</f>
        <v>10474.949999999999</v>
      </c>
      <c r="I34" s="249">
        <f>'2012 полн'!AK14</f>
        <v>479.251</v>
      </c>
      <c r="J34" s="249">
        <f>'2012 полн'!AL14</f>
        <v>143.06</v>
      </c>
      <c r="K34" s="249">
        <f>'2012 полн'!AM14+'2012 полн'!AN14+'2012 полн'!AO14+'2012 полн'!AP14+'2012 полн'!AQ14+'2012 полн'!AR14+'2012 полн'!AS14+'2012 полн'!AT14+'2012 полн'!AX14</f>
        <v>4120.128</v>
      </c>
      <c r="L34" s="249">
        <f>'2012 полн'!AU14+'2012 полн'!AV14+'2012 полн'!AW14</f>
        <v>0</v>
      </c>
      <c r="M34" s="265">
        <f>'[4]2011 полн'!BA14</f>
        <v>0</v>
      </c>
      <c r="N34" s="252">
        <f>'2012 полн'!BC14</f>
        <v>4742.439</v>
      </c>
      <c r="O34" s="252">
        <f>'2012 полн'!BF14</f>
        <v>5732.510999999999</v>
      </c>
      <c r="P34" s="252">
        <f>'2012 полн'!BG14</f>
        <v>5025.839999999999</v>
      </c>
      <c r="Q34" s="171"/>
      <c r="R34" s="171"/>
    </row>
    <row r="35" spans="1:18" ht="12.75" hidden="1">
      <c r="A35" s="183" t="s">
        <v>50</v>
      </c>
      <c r="B35" s="264">
        <f>'2012 полн'!B15</f>
        <v>715.3</v>
      </c>
      <c r="C35" s="249">
        <f>'2012 полн'!C15</f>
        <v>5072.04924</v>
      </c>
      <c r="D35" s="249">
        <f>'2012 полн'!D15</f>
        <v>271.83</v>
      </c>
      <c r="E35" s="249">
        <f>'2012 полн'!U15</f>
        <v>5177.28</v>
      </c>
      <c r="F35" s="249">
        <f>'2012 полн'!V15</f>
        <v>0</v>
      </c>
      <c r="G35" s="249">
        <f>'2012 полн'!AF15</f>
        <v>4558.34</v>
      </c>
      <c r="H35" s="249">
        <f>'2012 полн'!AG15</f>
        <v>4830.17</v>
      </c>
      <c r="I35" s="249">
        <f>'2012 полн'!AK15</f>
        <v>479.251</v>
      </c>
      <c r="J35" s="249">
        <f>'2012 полн'!AL15</f>
        <v>143.06</v>
      </c>
      <c r="K35" s="249">
        <f>'2012 полн'!AM15+'2012 полн'!AN15+'2012 полн'!AO15+'2012 полн'!AP15+'2012 полн'!AQ15+'2012 полн'!AR15+'2012 полн'!AS15+'2012 полн'!AT15+'2012 полн'!AX15</f>
        <v>4120.128</v>
      </c>
      <c r="L35" s="249">
        <f>'2012 полн'!AU15+'2012 полн'!AV15+'2012 полн'!AW15</f>
        <v>0</v>
      </c>
      <c r="M35" s="265">
        <f>'[4]2011 полн'!BA15</f>
        <v>0</v>
      </c>
      <c r="N35" s="252">
        <f>'2012 полн'!BC15</f>
        <v>4742.439</v>
      </c>
      <c r="O35" s="252">
        <f>'2012 полн'!BF15</f>
        <v>87.73099999999977</v>
      </c>
      <c r="P35" s="252">
        <f>'2012 полн'!BG15</f>
        <v>-618.9399999999996</v>
      </c>
      <c r="Q35" s="171"/>
      <c r="R35" s="171"/>
    </row>
    <row r="36" spans="1:16" ht="12.75" hidden="1">
      <c r="A36" s="183" t="s">
        <v>51</v>
      </c>
      <c r="B36" s="264">
        <f>'2012 полн'!B16</f>
        <v>715.3</v>
      </c>
      <c r="C36" s="249">
        <f>'2012 полн'!C16</f>
        <v>5072.04924</v>
      </c>
      <c r="D36" s="249">
        <f>'2012 полн'!D16</f>
        <v>271.83</v>
      </c>
      <c r="E36" s="249">
        <f>'2012 полн'!U16</f>
        <v>5177.28</v>
      </c>
      <c r="F36" s="249">
        <f>'2012 полн'!V16</f>
        <v>0</v>
      </c>
      <c r="G36" s="249">
        <f>'2012 полн'!AF16</f>
        <v>7861.46</v>
      </c>
      <c r="H36" s="249">
        <f>'2012 полн'!AG16</f>
        <v>8133.29</v>
      </c>
      <c r="I36" s="249">
        <f>'2012 полн'!AK16</f>
        <v>479.251</v>
      </c>
      <c r="J36" s="249">
        <f>'2012 полн'!AL16</f>
        <v>143.06</v>
      </c>
      <c r="K36" s="249">
        <f>'2012 полн'!AM16+'2012 полн'!AN16+'2012 полн'!AO16+'2012 полн'!AP16+'2012 полн'!AQ16+'2012 полн'!AR16+'2012 полн'!AS16+'2012 полн'!AT16+'2012 полн'!AX16</f>
        <v>4120.128</v>
      </c>
      <c r="L36" s="249">
        <f>'2012 полн'!AU16+'2012 полн'!AV16+'2012 полн'!AW16</f>
        <v>0</v>
      </c>
      <c r="M36" s="265">
        <f>'[4]2011 полн'!BA16</f>
        <v>-1111.19</v>
      </c>
      <c r="N36" s="252">
        <f>'2012 полн'!BC16</f>
        <v>4742.439</v>
      </c>
      <c r="O36" s="252">
        <f>'2012 полн'!BF16</f>
        <v>3390.8509999999997</v>
      </c>
      <c r="P36" s="252">
        <f>'2012 полн'!BG16</f>
        <v>2684.1800000000003</v>
      </c>
    </row>
    <row r="37" spans="1:16" ht="12.75" hidden="1">
      <c r="A37" s="183" t="s">
        <v>52</v>
      </c>
      <c r="B37" s="264">
        <f>'2012 полн'!B17</f>
        <v>715.3</v>
      </c>
      <c r="C37" s="249">
        <f>'2012 полн'!C17</f>
        <v>5072.04924</v>
      </c>
      <c r="D37" s="249">
        <f>'2012 полн'!D17</f>
        <v>271.83</v>
      </c>
      <c r="E37" s="249">
        <f>'2012 полн'!U17</f>
        <v>5172</v>
      </c>
      <c r="F37" s="249">
        <f>'2012 полн'!V17</f>
        <v>0</v>
      </c>
      <c r="G37" s="249">
        <f>'2012 полн'!AF17</f>
        <v>4572.710000000001</v>
      </c>
      <c r="H37" s="249">
        <f>'2012 полн'!AG17</f>
        <v>4844.540000000001</v>
      </c>
      <c r="I37" s="249">
        <f>'2012 полн'!AK17</f>
        <v>479.251</v>
      </c>
      <c r="J37" s="249">
        <f>'2012 полн'!AL17</f>
        <v>143.06</v>
      </c>
      <c r="K37" s="249">
        <f>'2012 полн'!AM17+'2012 полн'!AN17+'2012 полн'!AO17+'2012 полн'!AP17+'2012 полн'!AQ17+'2012 полн'!AR17+'2012 полн'!AS17+'2012 полн'!AT17+'2012 полн'!AX17</f>
        <v>4120.128</v>
      </c>
      <c r="L37" s="249">
        <f>'2012 полн'!AU17+'2012 полн'!AV17+'2012 полн'!AW17</f>
        <v>0</v>
      </c>
      <c r="M37" s="265">
        <f>'[4]2011 полн'!BA17</f>
        <v>0</v>
      </c>
      <c r="N37" s="252">
        <f>'2012 полн'!BC17</f>
        <v>4742.439</v>
      </c>
      <c r="O37" s="252">
        <f>'2012 полн'!BF17</f>
        <v>102.10100000000057</v>
      </c>
      <c r="P37" s="252">
        <f>'2012 полн'!BG17</f>
        <v>-599.289999999999</v>
      </c>
    </row>
    <row r="38" spans="1:16" ht="12.75" hidden="1">
      <c r="A38" s="183" t="s">
        <v>53</v>
      </c>
      <c r="B38" s="264">
        <f>'2012 полн'!B18</f>
        <v>715.3</v>
      </c>
      <c r="C38" s="249">
        <f>'2012 полн'!C18</f>
        <v>5072.04924</v>
      </c>
      <c r="D38" s="249">
        <f>'2012 полн'!D18</f>
        <v>271.83</v>
      </c>
      <c r="E38" s="249">
        <f>'2012 полн'!U18</f>
        <v>5170.200000000001</v>
      </c>
      <c r="F38" s="249">
        <f>'2012 полн'!V18</f>
        <v>0</v>
      </c>
      <c r="G38" s="249">
        <f>'2012 полн'!AF18</f>
        <v>2443.8399999999997</v>
      </c>
      <c r="H38" s="249">
        <f>'2012 полн'!AG18</f>
        <v>2715.6699999999996</v>
      </c>
      <c r="I38" s="249">
        <f>'2012 полн'!AK18</f>
        <v>479.251</v>
      </c>
      <c r="J38" s="249">
        <f>'2012 полн'!AL18</f>
        <v>143.06</v>
      </c>
      <c r="K38" s="249">
        <f>'2012 полн'!AM18+'2012 полн'!AN18+'2012 полн'!AO18+'2012 полн'!AP18+'2012 полн'!AQ18+'2012 полн'!AR18+'2012 полн'!AS18+'2012 полн'!AT18+'2012 полн'!AX18</f>
        <v>4120.128</v>
      </c>
      <c r="L38" s="249">
        <f>'2012 полн'!AU18+'2012 полн'!AV18+'2012 полн'!AW18</f>
        <v>0</v>
      </c>
      <c r="M38" s="265">
        <f>'[4]2011 полн'!BA18</f>
        <v>0</v>
      </c>
      <c r="N38" s="252">
        <f>'2012 полн'!BC18</f>
        <v>4742.439</v>
      </c>
      <c r="O38" s="252">
        <f>'2012 полн'!BF18</f>
        <v>-2026.7690000000007</v>
      </c>
      <c r="P38" s="252">
        <f>'2012 полн'!BG18</f>
        <v>-2726.360000000001</v>
      </c>
    </row>
    <row r="39" spans="1:16" ht="12.75" hidden="1">
      <c r="A39" s="263" t="s">
        <v>41</v>
      </c>
      <c r="B39" s="264">
        <f>'2012 полн'!B19</f>
        <v>715.3</v>
      </c>
      <c r="C39" s="249">
        <f>'2012 полн'!C19</f>
        <v>5072.04924</v>
      </c>
      <c r="D39" s="249">
        <f>'2012 полн'!D19</f>
        <v>271.83</v>
      </c>
      <c r="E39" s="249">
        <f>'2012 полн'!U19</f>
        <v>5170.200000000001</v>
      </c>
      <c r="F39" s="249">
        <f>'2012 полн'!V19</f>
        <v>0</v>
      </c>
      <c r="G39" s="249">
        <f>'2012 полн'!AF19</f>
        <v>4954.61</v>
      </c>
      <c r="H39" s="249">
        <f>'2012 полн'!AG19</f>
        <v>5226.44</v>
      </c>
      <c r="I39" s="249">
        <f>'2012 полн'!AK19</f>
        <v>479.251</v>
      </c>
      <c r="J39" s="249">
        <f>'2012 полн'!AL19</f>
        <v>143.06</v>
      </c>
      <c r="K39" s="249">
        <f>'2012 полн'!AM19+'2012 полн'!AN19+'2012 полн'!AO19+'2012 полн'!AP19+'2012 полн'!AQ19+'2012 полн'!AR19+'2012 полн'!AS19+'2012 полн'!AT19+'2012 полн'!AX19</f>
        <v>19486.722999999998</v>
      </c>
      <c r="L39" s="249">
        <f>'2012 полн'!AU19+'2012 полн'!AV19+'2012 полн'!AW19</f>
        <v>0</v>
      </c>
      <c r="M39" s="265">
        <f>'[4]2011 полн'!BA19</f>
        <v>0</v>
      </c>
      <c r="N39" s="252">
        <f>'2012 полн'!BC19</f>
        <v>20109.034</v>
      </c>
      <c r="O39" s="252">
        <f>'2012 полн'!BF19</f>
        <v>-14882.594000000001</v>
      </c>
      <c r="P39" s="252">
        <f>'2012 полн'!BG19</f>
        <v>-215.59000000000106</v>
      </c>
    </row>
    <row r="40" spans="1:16" ht="12.75" hidden="1">
      <c r="A40" s="183" t="s">
        <v>42</v>
      </c>
      <c r="B40" s="264">
        <f>'2012 полн'!B20</f>
        <v>715.3</v>
      </c>
      <c r="C40" s="249">
        <f>'2012 полн'!C20</f>
        <v>5072.04924</v>
      </c>
      <c r="D40" s="249">
        <f>'2012 полн'!D20</f>
        <v>271.83</v>
      </c>
      <c r="E40" s="249">
        <f>'2012 полн'!U20</f>
        <v>5170.200000000001</v>
      </c>
      <c r="F40" s="249">
        <f>'2012 полн'!V20</f>
        <v>0</v>
      </c>
      <c r="G40" s="249">
        <f>'2012 полн'!AF20</f>
        <v>3353.3399999999997</v>
      </c>
      <c r="H40" s="249">
        <f>'2012 полн'!AG20</f>
        <v>3625.1699999999996</v>
      </c>
      <c r="I40" s="249">
        <f>'2012 полн'!AK20</f>
        <v>479.251</v>
      </c>
      <c r="J40" s="249">
        <f>'2012 полн'!AL20</f>
        <v>143.06</v>
      </c>
      <c r="K40" s="249">
        <f>'2012 полн'!AM20+'2012 полн'!AN20+'2012 полн'!AO20+'2012 полн'!AP20+'2012 полн'!AQ20+'2012 полн'!AR20+'2012 полн'!AS20+'2012 полн'!AT20+'2012 полн'!AX20</f>
        <v>4942.723</v>
      </c>
      <c r="L40" s="249">
        <f>'2012 полн'!AU20+'2012 полн'!AV20+'2012 полн'!AW20</f>
        <v>0</v>
      </c>
      <c r="M40" s="265">
        <f>'[4]2011 полн'!BA20</f>
        <v>0</v>
      </c>
      <c r="N40" s="252">
        <f>'2012 полн'!BC20</f>
        <v>5565.034000000001</v>
      </c>
      <c r="O40" s="252">
        <f>'2012 полн'!BF20</f>
        <v>-1939.864000000001</v>
      </c>
      <c r="P40" s="252">
        <f>'2012 полн'!BG20</f>
        <v>-1816.860000000001</v>
      </c>
    </row>
    <row r="41" spans="1:16" ht="13.5" hidden="1" thickBot="1">
      <c r="A41" s="183" t="s">
        <v>43</v>
      </c>
      <c r="B41" s="264">
        <f>'2012 полн'!B21</f>
        <v>715.3</v>
      </c>
      <c r="C41" s="249">
        <f>'2012 полн'!C21</f>
        <v>5072.04924</v>
      </c>
      <c r="D41" s="249">
        <f>'2012 полн'!D21</f>
        <v>271.83</v>
      </c>
      <c r="E41" s="249">
        <f>'2012 полн'!U21</f>
        <v>5170.200000000001</v>
      </c>
      <c r="F41" s="249">
        <f>'2012 полн'!V21</f>
        <v>0</v>
      </c>
      <c r="G41" s="249">
        <f>'2012 полн'!AF21</f>
        <v>8900.57</v>
      </c>
      <c r="H41" s="249">
        <f>'2012 полн'!AG21</f>
        <v>9172.4</v>
      </c>
      <c r="I41" s="249">
        <f>'2012 полн'!AK21</f>
        <v>479.251</v>
      </c>
      <c r="J41" s="249">
        <f>'2012 полн'!AL21</f>
        <v>143.06</v>
      </c>
      <c r="K41" s="249">
        <f>'2012 полн'!AM21+'2012 полн'!AN21+'2012 полн'!AO21+'2012 полн'!AP21+'2012 полн'!AQ21+'2012 полн'!AR21+'2012 полн'!AS21+'2012 полн'!AT21+'2012 полн'!AX21</f>
        <v>5542.723</v>
      </c>
      <c r="L41" s="249">
        <f>'2012 полн'!AU21+'2012 полн'!AV21+'2012 полн'!AW21</f>
        <v>0</v>
      </c>
      <c r="M41" s="265">
        <f>'[4]2011 полн'!BA21</f>
        <v>0</v>
      </c>
      <c r="N41" s="252">
        <f>'2012 полн'!BC21</f>
        <v>6165.034000000001</v>
      </c>
      <c r="O41" s="252">
        <f>'2012 полн'!BF21</f>
        <v>3007.365999999999</v>
      </c>
      <c r="P41" s="252">
        <f>'2012 полн'!BG21</f>
        <v>3730.369999999999</v>
      </c>
    </row>
    <row r="42" spans="1:18" s="28" customFormat="1" ht="13.5" hidden="1" thickBot="1">
      <c r="A42" s="55" t="s">
        <v>5</v>
      </c>
      <c r="B42" s="56"/>
      <c r="C42" s="266">
        <f aca="true" t="shared" si="2" ref="C42:O42">SUM(C30:C41)</f>
        <v>60864.59088</v>
      </c>
      <c r="D42" s="266">
        <f t="shared" si="2"/>
        <v>3346.8239999999996</v>
      </c>
      <c r="E42" s="266">
        <f t="shared" si="2"/>
        <v>62141.46999999999</v>
      </c>
      <c r="F42" s="266">
        <f t="shared" si="2"/>
        <v>0</v>
      </c>
      <c r="G42" s="266">
        <f t="shared" si="2"/>
        <v>86618.82999999999</v>
      </c>
      <c r="H42" s="266">
        <f t="shared" si="2"/>
        <v>89965.65399999998</v>
      </c>
      <c r="I42" s="266">
        <f t="shared" si="2"/>
        <v>5751.0120000000015</v>
      </c>
      <c r="J42" s="266">
        <f t="shared" si="2"/>
        <v>1716.7199999999996</v>
      </c>
      <c r="K42" s="266">
        <f t="shared" si="2"/>
        <v>67433.461</v>
      </c>
      <c r="L42" s="266">
        <f t="shared" si="2"/>
        <v>0</v>
      </c>
      <c r="M42" s="266">
        <f t="shared" si="2"/>
        <v>-1111.19</v>
      </c>
      <c r="N42" s="266">
        <f t="shared" si="2"/>
        <v>74901.193</v>
      </c>
      <c r="O42" s="266">
        <f t="shared" si="2"/>
        <v>15064.460999999988</v>
      </c>
      <c r="P42" s="266">
        <f>SUM(P30:P41)</f>
        <v>24477.359999999993</v>
      </c>
      <c r="Q42" s="63"/>
      <c r="R42" s="63"/>
    </row>
    <row r="43" spans="1:18" ht="13.5" hidden="1" thickBot="1">
      <c r="A43" s="335" t="s">
        <v>68</v>
      </c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57"/>
      <c r="O43" s="357"/>
      <c r="P43" s="267"/>
      <c r="Q43" s="171"/>
      <c r="R43" s="171"/>
    </row>
    <row r="44" spans="1:18" s="28" customFormat="1" ht="13.5" thickBot="1">
      <c r="A44" s="71" t="s">
        <v>54</v>
      </c>
      <c r="B44" s="72"/>
      <c r="C44" s="73">
        <f aca="true" t="shared" si="3" ref="C44:P44">C42+C28</f>
        <v>227922.90588</v>
      </c>
      <c r="D44" s="73">
        <f t="shared" si="3"/>
        <v>176934.92019795</v>
      </c>
      <c r="E44" s="73">
        <f t="shared" si="3"/>
        <v>583684.23</v>
      </c>
      <c r="F44" s="73">
        <f t="shared" si="3"/>
        <v>49995.67999999999</v>
      </c>
      <c r="G44" s="73">
        <f t="shared" si="3"/>
        <v>523502.59999999986</v>
      </c>
      <c r="H44" s="73">
        <f t="shared" si="3"/>
        <v>750433.2001979499</v>
      </c>
      <c r="I44" s="73">
        <f t="shared" si="3"/>
        <v>17167.2</v>
      </c>
      <c r="J44" s="73">
        <f t="shared" si="3"/>
        <v>5542.081453599999</v>
      </c>
      <c r="K44" s="73">
        <f t="shared" si="3"/>
        <v>772293.8760419901</v>
      </c>
      <c r="L44" s="73">
        <f t="shared" si="3"/>
        <v>72527.73479999999</v>
      </c>
      <c r="M44" s="73">
        <f t="shared" si="3"/>
        <v>-1111.19</v>
      </c>
      <c r="N44" s="73">
        <f t="shared" si="3"/>
        <v>867530.8922955901</v>
      </c>
      <c r="O44" s="73">
        <f>O42+O28</f>
        <v>-117097.69209764022</v>
      </c>
      <c r="P44" s="73">
        <f t="shared" si="3"/>
        <v>-60181.63</v>
      </c>
      <c r="Q44" s="77"/>
      <c r="R44" s="63"/>
    </row>
    <row r="45" spans="1:18" ht="13.5" thickBot="1">
      <c r="A45" s="444" t="s">
        <v>123</v>
      </c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6"/>
      <c r="Q45" s="171"/>
      <c r="R45" s="171"/>
    </row>
    <row r="46" spans="1:18" ht="12.75">
      <c r="A46" s="263" t="s">
        <v>45</v>
      </c>
      <c r="B46" s="264">
        <f>'2012 полн'!B26</f>
        <v>715.3</v>
      </c>
      <c r="C46" s="249">
        <f>'2012 полн'!C26</f>
        <v>5072.04924</v>
      </c>
      <c r="D46" s="249">
        <f>'2012 полн'!D26</f>
        <v>271.83</v>
      </c>
      <c r="E46" s="249">
        <f>'2012 полн'!U26</f>
        <v>5170.200000000001</v>
      </c>
      <c r="F46" s="249">
        <f>'2012 полн'!V26</f>
        <v>0</v>
      </c>
      <c r="G46" s="249">
        <f>'2012 полн'!AF26</f>
        <v>4197.14</v>
      </c>
      <c r="H46" s="249">
        <f>'2012 полн'!AG26</f>
        <v>4468.97</v>
      </c>
      <c r="I46" s="249">
        <f>'2012 полн'!AK26</f>
        <v>479.251</v>
      </c>
      <c r="J46" s="249">
        <f>'2012 полн'!AL26</f>
        <v>143.06</v>
      </c>
      <c r="K46" s="249">
        <f>'2012 полн'!AM26+'2012 полн'!AN26+'2012 полн'!AO26+'2012 полн'!AP26+'2012 полн'!AQ26+'2012 полн'!AR26+'2012 полн'!AS26+'2012 полн'!AT26+'2012 полн'!AX26</f>
        <v>4942.723</v>
      </c>
      <c r="L46" s="249">
        <f>'2012 полн'!AU26+'2012 полн'!AV26+'2012 полн'!AW26</f>
        <v>0</v>
      </c>
      <c r="M46" s="265">
        <f>'[4]2011 полн'!BA26</f>
        <v>0</v>
      </c>
      <c r="N46" s="249">
        <f>'2012 полн'!BC26</f>
        <v>5565.034000000001</v>
      </c>
      <c r="O46" s="249">
        <f>'2012 полн'!BF26</f>
        <v>-1096.0640000000003</v>
      </c>
      <c r="P46" s="249">
        <f>'2012 полн'!BG26</f>
        <v>-973.0600000000004</v>
      </c>
      <c r="Q46" s="171"/>
      <c r="R46" s="171"/>
    </row>
    <row r="47" spans="1:18" ht="12.75">
      <c r="A47" s="183" t="s">
        <v>46</v>
      </c>
      <c r="B47" s="264">
        <f>'2012 полн'!B27</f>
        <v>715.3</v>
      </c>
      <c r="C47" s="249">
        <f>'2012 полн'!C27</f>
        <v>5072.04924</v>
      </c>
      <c r="D47" s="249">
        <f>'2012 полн'!D27</f>
        <v>271.83</v>
      </c>
      <c r="E47" s="249">
        <f>'2012 полн'!U27</f>
        <v>5170.200000000001</v>
      </c>
      <c r="F47" s="249">
        <f>'2012 полн'!V27</f>
        <v>0</v>
      </c>
      <c r="G47" s="249">
        <f>'2012 полн'!AF27</f>
        <v>3110.05</v>
      </c>
      <c r="H47" s="249">
        <f>'2012 полн'!AG27</f>
        <v>3381.88</v>
      </c>
      <c r="I47" s="249">
        <f>'2012 полн'!AK27</f>
        <v>479.251</v>
      </c>
      <c r="J47" s="249">
        <f>'2012 полн'!AL27</f>
        <v>143.06</v>
      </c>
      <c r="K47" s="249">
        <f>'2012 полн'!AM27+'2012 полн'!AN27+'2012 полн'!AO27+'2012 полн'!AP27+'2012 полн'!AQ27+'2012 полн'!AR27+'2012 полн'!AS27+'2012 полн'!AT27+'2012 полн'!AX27</f>
        <v>4942.723</v>
      </c>
      <c r="L47" s="249">
        <f>'2012 полн'!AU27+'2012 полн'!AV27+'2012 полн'!AW27</f>
        <v>0</v>
      </c>
      <c r="M47" s="265">
        <f>'[4]2011 полн'!BA27</f>
        <v>0</v>
      </c>
      <c r="N47" s="252">
        <f>'2012 полн'!BC27</f>
        <v>5565.034000000001</v>
      </c>
      <c r="O47" s="252">
        <f>'2012 полн'!BF27</f>
        <v>-2183.1540000000005</v>
      </c>
      <c r="P47" s="252">
        <f>'2012 полн'!BG27</f>
        <v>-2060.1500000000005</v>
      </c>
      <c r="Q47" s="171"/>
      <c r="R47" s="171"/>
    </row>
    <row r="48" spans="1:18" ht="12.75">
      <c r="A48" s="183" t="s">
        <v>47</v>
      </c>
      <c r="B48" s="264">
        <f>'2012 полн'!B28</f>
        <v>715.3</v>
      </c>
      <c r="C48" s="249">
        <f>'2012 полн'!C28</f>
        <v>5072.04924</v>
      </c>
      <c r="D48" s="249">
        <f>'2012 полн'!D28</f>
        <v>271.83</v>
      </c>
      <c r="E48" s="249">
        <f>'2012 полн'!U28</f>
        <v>5170.200000000001</v>
      </c>
      <c r="F48" s="249">
        <f>'2012 полн'!V28</f>
        <v>0</v>
      </c>
      <c r="G48" s="249">
        <f>'2012 полн'!AF28</f>
        <v>6556.789999999999</v>
      </c>
      <c r="H48" s="249">
        <f>'2012 полн'!AG28</f>
        <v>6828.619999999999</v>
      </c>
      <c r="I48" s="249">
        <f>'2012 полн'!AK28</f>
        <v>479.251</v>
      </c>
      <c r="J48" s="249">
        <f>'2012 полн'!AL28</f>
        <v>143.06</v>
      </c>
      <c r="K48" s="249">
        <f>'2012 полн'!AM28+'2012 полн'!AN28+'2012 полн'!AO28+'2012 полн'!AP28+'2012 полн'!AQ28+'2012 полн'!AR28+'2012 полн'!AS28+'2012 полн'!AT28+'2012 полн'!AX28</f>
        <v>4942.723</v>
      </c>
      <c r="L48" s="249">
        <f>'2012 полн'!AU28+'2012 полн'!AV28+'2012 полн'!AW28</f>
        <v>0</v>
      </c>
      <c r="M48" s="265">
        <f>'[4]2011 полн'!BA28</f>
        <v>0</v>
      </c>
      <c r="N48" s="252">
        <f>'2012 полн'!BC28</f>
        <v>5565.034000000001</v>
      </c>
      <c r="O48" s="252">
        <f>'2012 полн'!BF28</f>
        <v>1263.5859999999984</v>
      </c>
      <c r="P48" s="252">
        <f>'2012 полн'!BG28</f>
        <v>1386.5899999999983</v>
      </c>
      <c r="Q48" s="171"/>
      <c r="R48" s="171"/>
    </row>
    <row r="49" spans="1:18" ht="12.75">
      <c r="A49" s="183" t="s">
        <v>48</v>
      </c>
      <c r="B49" s="264">
        <f>'2012 полн'!B29</f>
        <v>715.3</v>
      </c>
      <c r="C49" s="249">
        <f>'2012 полн'!C29</f>
        <v>5072.04924</v>
      </c>
      <c r="D49" s="249">
        <f>'2012 полн'!D29</f>
        <v>271.83</v>
      </c>
      <c r="E49" s="249">
        <f>'2012 полн'!U29</f>
        <v>5170.2</v>
      </c>
      <c r="F49" s="249">
        <f>'2012 полн'!V29</f>
        <v>0</v>
      </c>
      <c r="G49" s="249">
        <f>'2012 полн'!AF29</f>
        <v>4767.47</v>
      </c>
      <c r="H49" s="249">
        <f>'2012 полн'!AG29</f>
        <v>5039.3</v>
      </c>
      <c r="I49" s="249">
        <f>'2012 полн'!AK29</f>
        <v>479.251</v>
      </c>
      <c r="J49" s="249">
        <f>'2012 полн'!AL29</f>
        <v>143.06</v>
      </c>
      <c r="K49" s="249">
        <f>'2012 полн'!AM29+'2012 полн'!AN29+'2012 полн'!AO29+'2012 полн'!AP29+'2012 полн'!AQ29+'2012 полн'!AR29+'2012 полн'!AS29+'2012 полн'!AT29+'2012 полн'!AX29</f>
        <v>4120.128</v>
      </c>
      <c r="L49" s="249">
        <f>'2012 полн'!AU29+'2012 полн'!AV29+'2012 полн'!AW29</f>
        <v>0</v>
      </c>
      <c r="M49" s="265">
        <f>'[4]2011 полн'!BA29</f>
        <v>0</v>
      </c>
      <c r="N49" s="252">
        <f>'2012 полн'!BC29</f>
        <v>4742.439</v>
      </c>
      <c r="O49" s="252">
        <f>'2012 полн'!BF29</f>
        <v>296.8609999999999</v>
      </c>
      <c r="P49" s="252">
        <f>'2012 полн'!BG29</f>
        <v>-402.72999999999956</v>
      </c>
      <c r="Q49" s="171"/>
      <c r="R49" s="171"/>
    </row>
    <row r="50" spans="1:18" ht="12.75">
      <c r="A50" s="183" t="s">
        <v>49</v>
      </c>
      <c r="B50" s="264">
        <f>'2012 полн'!B30</f>
        <v>715.3</v>
      </c>
      <c r="C50" s="249">
        <f>'2012 полн'!C30</f>
        <v>5072.04924</v>
      </c>
      <c r="D50" s="249">
        <f>'2012 полн'!D30</f>
        <v>271.83</v>
      </c>
      <c r="E50" s="249">
        <f>'2012 полн'!U30</f>
        <v>5170.200000000001</v>
      </c>
      <c r="F50" s="249">
        <f>'2012 полн'!V30</f>
        <v>0</v>
      </c>
      <c r="G50" s="249">
        <f>'2012 полн'!AF30</f>
        <v>3140.4500000000003</v>
      </c>
      <c r="H50" s="249">
        <f>'2012 полн'!AG30</f>
        <v>3412.28</v>
      </c>
      <c r="I50" s="249">
        <f>'2012 полн'!AK30</f>
        <v>479.251</v>
      </c>
      <c r="J50" s="249">
        <f>'2012 полн'!AL30</f>
        <v>143.06</v>
      </c>
      <c r="K50" s="249">
        <f>'2012 полн'!AM30+'2012 полн'!AN30+'2012 полн'!AO30+'2012 полн'!AP30+'2012 полн'!AQ30+'2012 полн'!AR30+'2012 полн'!AS30+'2012 полн'!AT30+'2012 полн'!AX30</f>
        <v>4182.128</v>
      </c>
      <c r="L50" s="249">
        <f>'2012 полн'!AU30+'2012 полн'!AV30+'2012 полн'!AW30</f>
        <v>105.54</v>
      </c>
      <c r="M50" s="265">
        <f>'[4]2011 полн'!BA30</f>
        <v>0</v>
      </c>
      <c r="N50" s="252">
        <f>'2012 полн'!BC30</f>
        <v>4909.979</v>
      </c>
      <c r="O50" s="252">
        <f>'2012 полн'!BF30</f>
        <v>-1497.699</v>
      </c>
      <c r="P50" s="252">
        <f>'2012 полн'!BG30</f>
        <v>-2029.7500000000005</v>
      </c>
      <c r="Q50" s="171"/>
      <c r="R50" s="171"/>
    </row>
    <row r="51" spans="1:18" ht="12.75">
      <c r="A51" s="183" t="s">
        <v>50</v>
      </c>
      <c r="B51" s="264">
        <f>'2012 полн'!B31</f>
        <v>715.3</v>
      </c>
      <c r="C51" s="249">
        <f>'2012 полн'!C31</f>
        <v>5072.04924</v>
      </c>
      <c r="D51" s="249">
        <f>'2012 полн'!D31</f>
        <v>271.83</v>
      </c>
      <c r="E51" s="249">
        <f>'2012 полн'!U31</f>
        <v>5170.200000000001</v>
      </c>
      <c r="F51" s="249">
        <f>'2012 полн'!V31</f>
        <v>0</v>
      </c>
      <c r="G51" s="249">
        <f>'2012 полн'!AF31</f>
        <v>4006.39</v>
      </c>
      <c r="H51" s="249">
        <f>'2012 полн'!AG31</f>
        <v>4278.22</v>
      </c>
      <c r="I51" s="249">
        <f>'2012 полн'!AK31</f>
        <v>479.251</v>
      </c>
      <c r="J51" s="249">
        <f>'2012 полн'!AL31</f>
        <v>143.06</v>
      </c>
      <c r="K51" s="249">
        <f>'2012 полн'!AM31+'2012 полн'!AN31+'2012 полн'!AO31+'2012 полн'!AP31+'2012 полн'!AQ31+'2012 полн'!AR31+'2012 полн'!AS31+'2012 полн'!AT31+'2012 полн'!AX31</f>
        <v>4120.128</v>
      </c>
      <c r="L51" s="249">
        <f>'2012 полн'!AU31+'2012 полн'!AV31+'2012 полн'!AW31</f>
        <v>0</v>
      </c>
      <c r="M51" s="265">
        <f>'[4]2011 полн'!BA31</f>
        <v>0</v>
      </c>
      <c r="N51" s="252">
        <f>'2012 полн'!BC31</f>
        <v>4742.439</v>
      </c>
      <c r="O51" s="252">
        <f>'2012 полн'!BF31</f>
        <v>-464.21900000000005</v>
      </c>
      <c r="P51" s="252">
        <f>'2012 полн'!BG31</f>
        <v>-1163.8100000000009</v>
      </c>
      <c r="Q51" s="171"/>
      <c r="R51" s="171"/>
    </row>
    <row r="52" spans="1:16" ht="12.75">
      <c r="A52" s="183" t="s">
        <v>51</v>
      </c>
      <c r="B52" s="264">
        <f>'2012 полн'!B32</f>
        <v>715.3</v>
      </c>
      <c r="C52" s="249">
        <f>'2012 полн'!C32</f>
        <v>5510.02743</v>
      </c>
      <c r="D52" s="249">
        <f>'2012 полн'!D32</f>
        <v>363.7725</v>
      </c>
      <c r="E52" s="249">
        <f>'2012 полн'!U32</f>
        <v>5615.23</v>
      </c>
      <c r="F52" s="249">
        <f>'2012 полн'!V32</f>
        <v>0</v>
      </c>
      <c r="G52" s="249">
        <f>'2012 полн'!AF32</f>
        <v>4608.07</v>
      </c>
      <c r="H52" s="249">
        <f>'2012 полн'!AG32</f>
        <v>4971.8425</v>
      </c>
      <c r="I52" s="249">
        <f>'2012 полн'!AK32</f>
        <v>536.4749999999999</v>
      </c>
      <c r="J52" s="249">
        <f>'2012 полн'!AL32</f>
        <v>143.06</v>
      </c>
      <c r="K52" s="249">
        <f>'2012 полн'!AM32+'2012 полн'!AN32+'2012 полн'!AO32+'2012 полн'!AP32+'2012 полн'!AQ32+'2012 полн'!AR32+'2012 полн'!AS32+'2012 полн'!AT32+'2012 полн'!AX32</f>
        <v>4120.128</v>
      </c>
      <c r="L52" s="249">
        <f>'2012 полн'!AU32+'2012 полн'!AV32+'2012 полн'!AW32</f>
        <v>0</v>
      </c>
      <c r="M52" s="265">
        <f>'[4]2011 полн'!BA32</f>
        <v>0</v>
      </c>
      <c r="N52" s="252">
        <f>'2012 полн'!BC32</f>
        <v>4799.6630000000005</v>
      </c>
      <c r="O52" s="252">
        <f>'2012 полн'!BF32</f>
        <v>172.17949999999928</v>
      </c>
      <c r="P52" s="252">
        <f>'2012 полн'!BG32</f>
        <v>-1007.1599999999999</v>
      </c>
    </row>
    <row r="53" spans="1:16" ht="12.75">
      <c r="A53" s="183" t="s">
        <v>52</v>
      </c>
      <c r="B53" s="264">
        <f>'2012 полн'!B33</f>
        <v>715.3</v>
      </c>
      <c r="C53" s="249">
        <f>'2012 полн'!C33</f>
        <v>5510.02743</v>
      </c>
      <c r="D53" s="249">
        <f>'2012 полн'!D33</f>
        <v>0</v>
      </c>
      <c r="E53" s="249">
        <f>'2012 полн'!U33</f>
        <v>5615.23</v>
      </c>
      <c r="F53" s="249">
        <f>'2012 полн'!V33</f>
        <v>0</v>
      </c>
      <c r="G53" s="249">
        <f>'2012 полн'!AF33</f>
        <v>4356.78</v>
      </c>
      <c r="H53" s="249">
        <f>'2012 полн'!AG33</f>
        <v>4356.78</v>
      </c>
      <c r="I53" s="249">
        <f>'2012 полн'!AK33</f>
        <v>536.4749999999999</v>
      </c>
      <c r="J53" s="249">
        <f>'2012 полн'!AL33</f>
        <v>143.06</v>
      </c>
      <c r="K53" s="249">
        <f>'2012 полн'!AM33+'2012 полн'!AN33+'2012 полн'!AO33+'2012 полн'!AP33+'2012 полн'!AQ33+'2012 полн'!AR33+'2012 полн'!AS33+'2012 полн'!AT33+'2012 полн'!AX33</f>
        <v>4120.128</v>
      </c>
      <c r="L53" s="249">
        <f>'2012 полн'!AU33+'2012 полн'!AV33+'2012 полн'!AW33</f>
        <v>0</v>
      </c>
      <c r="M53" s="265">
        <f>'[4]2011 полн'!BA33</f>
        <v>0</v>
      </c>
      <c r="N53" s="252">
        <f>'2012 полн'!BC33</f>
        <v>4799.6630000000005</v>
      </c>
      <c r="O53" s="252">
        <f>'2012 полн'!BF33</f>
        <v>-442.8830000000007</v>
      </c>
      <c r="P53" s="252">
        <f>'2012 полн'!BG33</f>
        <v>-1258.4499999999998</v>
      </c>
    </row>
    <row r="54" spans="1:16" ht="12.75">
      <c r="A54" s="183" t="s">
        <v>53</v>
      </c>
      <c r="B54" s="264">
        <f>'2012 полн'!B34</f>
        <v>715.3</v>
      </c>
      <c r="C54" s="249">
        <f>'2012 полн'!C34</f>
        <v>5510.02743</v>
      </c>
      <c r="D54" s="249">
        <f>'2012 полн'!D34</f>
        <v>0</v>
      </c>
      <c r="E54" s="249">
        <f>'2012 полн'!U34</f>
        <v>5615.23</v>
      </c>
      <c r="F54" s="249">
        <f>'2012 полн'!V34</f>
        <v>0</v>
      </c>
      <c r="G54" s="249">
        <f>'2012 полн'!AF34</f>
        <v>3622.74</v>
      </c>
      <c r="H54" s="249">
        <f>'2012 полн'!AG34</f>
        <v>3622.74</v>
      </c>
      <c r="I54" s="249">
        <f>'2012 полн'!AK34</f>
        <v>536.4749999999999</v>
      </c>
      <c r="J54" s="249">
        <f>'2012 полн'!AL34</f>
        <v>143.06</v>
      </c>
      <c r="K54" s="249">
        <f>'2012 полн'!AM34+'2012 полн'!AN34+'2012 полн'!AO34+'2012 полн'!AP34+'2012 полн'!AQ34+'2012 полн'!AR34+'2012 полн'!AS34+'2012 полн'!AT34+'2012 полн'!AX34</f>
        <v>4120.128</v>
      </c>
      <c r="L54" s="249">
        <f>'2012 полн'!AU34+'2012 полн'!AV34+'2012 полн'!AW34</f>
        <v>300</v>
      </c>
      <c r="M54" s="265">
        <f>'[4]2011 полн'!BA34</f>
        <v>0</v>
      </c>
      <c r="N54" s="252">
        <f>'2012 полн'!BC34</f>
        <v>5099.6630000000005</v>
      </c>
      <c r="O54" s="252">
        <f>'2012 полн'!BF34</f>
        <v>-1476.9230000000007</v>
      </c>
      <c r="P54" s="252">
        <f>'2012 полн'!BG34</f>
        <v>-1992.4899999999998</v>
      </c>
    </row>
    <row r="55" spans="1:16" ht="12.75">
      <c r="A55" s="263" t="s">
        <v>41</v>
      </c>
      <c r="B55" s="264">
        <f>'2012 полн'!B35</f>
        <v>715.3</v>
      </c>
      <c r="C55" s="249">
        <f>'2012 полн'!C35</f>
        <v>19570.607999999997</v>
      </c>
      <c r="D55" s="249">
        <f>'2012 полн'!D35</f>
        <v>0</v>
      </c>
      <c r="E55" s="249">
        <f>'2012 полн'!U35</f>
        <v>19570.66</v>
      </c>
      <c r="F55" s="249">
        <f>'2012 полн'!V35</f>
        <v>0</v>
      </c>
      <c r="G55" s="249">
        <f>'2012 полн'!AF35</f>
        <v>14885.029999999999</v>
      </c>
      <c r="H55" s="249">
        <f>'2012 полн'!AG35</f>
        <v>14885.029999999999</v>
      </c>
      <c r="I55" s="249">
        <f>'2012 полн'!AK35</f>
        <v>536.4749999999999</v>
      </c>
      <c r="J55" s="249">
        <f>'2012 полн'!AL35</f>
        <v>143.06</v>
      </c>
      <c r="K55" s="249">
        <f>'2012 полн'!AM35+'2012 полн'!AN35+'2012 полн'!AO35+'2012 полн'!AP35+'2012 полн'!AQ35+'2012 полн'!AR35+'2012 полн'!AS35+'2012 полн'!AT35+'2012 полн'!AX35</f>
        <v>4942.723</v>
      </c>
      <c r="L55" s="249">
        <f>'2012 полн'!AU35+'2012 полн'!AV35+'2012 полн'!AW35</f>
        <v>898</v>
      </c>
      <c r="M55" s="265">
        <f>'[4]2011 полн'!BA35</f>
        <v>0</v>
      </c>
      <c r="N55" s="252">
        <f>'2012 полн'!BC35</f>
        <v>6520.258000000001</v>
      </c>
      <c r="O55" s="252">
        <f>'2012 полн'!BF35</f>
        <v>8364.771999999997</v>
      </c>
      <c r="P55" s="252">
        <f>'2012 полн'!BG35</f>
        <v>-4685.630000000001</v>
      </c>
    </row>
    <row r="56" spans="1:16" ht="12.75">
      <c r="A56" s="183" t="s">
        <v>42</v>
      </c>
      <c r="B56" s="264">
        <f>'2012 полн'!B36</f>
        <v>715.3</v>
      </c>
      <c r="C56" s="249">
        <f>'2012 полн'!C36</f>
        <v>19570.607999999997</v>
      </c>
      <c r="D56" s="249">
        <f>'2012 полн'!D36</f>
        <v>0</v>
      </c>
      <c r="E56" s="249">
        <f>'2012 полн'!U36</f>
        <v>19570.66</v>
      </c>
      <c r="F56" s="249">
        <f>'2012 полн'!V36</f>
        <v>0</v>
      </c>
      <c r="G56" s="249">
        <f>'2012 полн'!AF36</f>
        <v>17292.54</v>
      </c>
      <c r="H56" s="249">
        <f>'2012 полн'!AG36</f>
        <v>17292.54</v>
      </c>
      <c r="I56" s="249">
        <f>'2012 полн'!AK36</f>
        <v>536.4749999999999</v>
      </c>
      <c r="J56" s="249">
        <f>'2012 полн'!AL36</f>
        <v>143.06</v>
      </c>
      <c r="K56" s="249">
        <f>'2012 полн'!AM36+'2012 полн'!AN36+'2012 полн'!AO36+'2012 полн'!AP36+'2012 полн'!AQ36+'2012 полн'!AR36+'2012 полн'!AS36+'2012 полн'!AT36+'2012 полн'!AX36</f>
        <v>4942.723</v>
      </c>
      <c r="L56" s="249">
        <f>'2012 полн'!AU36+'2012 полн'!AV36+'2012 полн'!AW36</f>
        <v>0</v>
      </c>
      <c r="M56" s="265">
        <f>'[4]2011 полн'!BA36</f>
        <v>0</v>
      </c>
      <c r="N56" s="252">
        <f>'2012 полн'!BC36</f>
        <v>5622.258000000001</v>
      </c>
      <c r="O56" s="252">
        <f>'2012 полн'!BF36</f>
        <v>11670.282</v>
      </c>
      <c r="P56" s="252">
        <f>'2012 полн'!BG36</f>
        <v>-2278.119999999999</v>
      </c>
    </row>
    <row r="57" spans="1:16" ht="13.5" thickBot="1">
      <c r="A57" s="183" t="s">
        <v>43</v>
      </c>
      <c r="B57" s="264">
        <f>'2012 полн'!B37</f>
        <v>715.3</v>
      </c>
      <c r="C57" s="249">
        <f>'2012 полн'!C37</f>
        <v>19570.607999999997</v>
      </c>
      <c r="D57" s="249">
        <f>'2012 полн'!D37</f>
        <v>0</v>
      </c>
      <c r="E57" s="249">
        <f>'2012 полн'!U37</f>
        <v>19570.66</v>
      </c>
      <c r="F57" s="249">
        <f>'2012 полн'!V37</f>
        <v>0</v>
      </c>
      <c r="G57" s="249">
        <f>'2012 полн'!AF37</f>
        <v>20344.06</v>
      </c>
      <c r="H57" s="249">
        <f>'2012 полн'!AG37</f>
        <v>20344.06</v>
      </c>
      <c r="I57" s="249">
        <f>'2012 полн'!AK37</f>
        <v>536.4749999999999</v>
      </c>
      <c r="J57" s="249">
        <f>'2012 полн'!AL37</f>
        <v>143.06</v>
      </c>
      <c r="K57" s="249">
        <f>'2012 полн'!AM37+'2012 полн'!AN37+'2012 полн'!AO37+'2012 полн'!AP37+'2012 полн'!AQ37+'2012 полн'!AR37+'2012 полн'!AS37+'2012 полн'!AT37+'2012 полн'!AX37</f>
        <v>4942.723</v>
      </c>
      <c r="L57" s="249">
        <f>'2012 полн'!AU37+'2012 полн'!AV37+'2012 полн'!AW37</f>
        <v>0</v>
      </c>
      <c r="M57" s="265">
        <f>'[4]2011 полн'!BA37</f>
        <v>0</v>
      </c>
      <c r="N57" s="252">
        <f>'2012 полн'!BC37</f>
        <v>5622.258000000001</v>
      </c>
      <c r="O57" s="252">
        <f>'2012 полн'!BF37</f>
        <v>14721.802</v>
      </c>
      <c r="P57" s="252">
        <f>'2012 полн'!BG37</f>
        <v>773.4000000000015</v>
      </c>
    </row>
    <row r="58" spans="1:18" s="28" customFormat="1" ht="13.5" thickBot="1">
      <c r="A58" s="55" t="s">
        <v>5</v>
      </c>
      <c r="B58" s="56"/>
      <c r="C58" s="266">
        <f aca="true" t="shared" si="4" ref="C58:O58">SUM(C46:C57)</f>
        <v>105674.20172999999</v>
      </c>
      <c r="D58" s="266">
        <f t="shared" si="4"/>
        <v>1994.7524999999998</v>
      </c>
      <c r="E58" s="266">
        <f t="shared" si="4"/>
        <v>106578.87000000001</v>
      </c>
      <c r="F58" s="266">
        <f t="shared" si="4"/>
        <v>0</v>
      </c>
      <c r="G58" s="266">
        <f t="shared" si="4"/>
        <v>90887.51</v>
      </c>
      <c r="H58" s="266">
        <f t="shared" si="4"/>
        <v>92882.2625</v>
      </c>
      <c r="I58" s="266">
        <f t="shared" si="4"/>
        <v>6094.356000000002</v>
      </c>
      <c r="J58" s="266">
        <f t="shared" si="4"/>
        <v>1716.7199999999996</v>
      </c>
      <c r="K58" s="266">
        <f t="shared" si="4"/>
        <v>54439.10599999999</v>
      </c>
      <c r="L58" s="266">
        <f t="shared" si="4"/>
        <v>1303.54</v>
      </c>
      <c r="M58" s="266">
        <f t="shared" si="4"/>
        <v>0</v>
      </c>
      <c r="N58" s="266">
        <f t="shared" si="4"/>
        <v>63553.72200000001</v>
      </c>
      <c r="O58" s="266">
        <f t="shared" si="4"/>
        <v>29328.540499999992</v>
      </c>
      <c r="P58" s="266">
        <f>SUM(P46:P57)</f>
        <v>-15691.36</v>
      </c>
      <c r="Q58" s="63"/>
      <c r="R58" s="63"/>
    </row>
    <row r="59" spans="1:18" ht="13.5" thickBot="1">
      <c r="A59" s="335" t="s">
        <v>68</v>
      </c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57"/>
      <c r="O59" s="357"/>
      <c r="P59" s="267"/>
      <c r="Q59" s="171"/>
      <c r="R59" s="171"/>
    </row>
    <row r="60" spans="1:18" s="28" customFormat="1" ht="13.5" thickBot="1">
      <c r="A60" s="71" t="s">
        <v>54</v>
      </c>
      <c r="B60" s="72"/>
      <c r="C60" s="73">
        <f aca="true" t="shared" si="5" ref="C60:N60">C58+C44</f>
        <v>333597.10761</v>
      </c>
      <c r="D60" s="73">
        <f t="shared" si="5"/>
        <v>178929.67269795</v>
      </c>
      <c r="E60" s="73">
        <f t="shared" si="5"/>
        <v>690263.1</v>
      </c>
      <c r="F60" s="73">
        <f t="shared" si="5"/>
        <v>49995.67999999999</v>
      </c>
      <c r="G60" s="73">
        <f t="shared" si="5"/>
        <v>614390.1099999999</v>
      </c>
      <c r="H60" s="73">
        <f t="shared" si="5"/>
        <v>843315.4626979498</v>
      </c>
      <c r="I60" s="73">
        <f t="shared" si="5"/>
        <v>23261.556000000004</v>
      </c>
      <c r="J60" s="73">
        <f t="shared" si="5"/>
        <v>7258.801453599998</v>
      </c>
      <c r="K60" s="73">
        <f t="shared" si="5"/>
        <v>826732.9820419902</v>
      </c>
      <c r="L60" s="73">
        <f t="shared" si="5"/>
        <v>73831.27479999998</v>
      </c>
      <c r="M60" s="73">
        <f t="shared" si="5"/>
        <v>-1111.19</v>
      </c>
      <c r="N60" s="73">
        <f t="shared" si="5"/>
        <v>931084.6142955902</v>
      </c>
      <c r="O60" s="73">
        <f>O58+O44</f>
        <v>-87769.15159764023</v>
      </c>
      <c r="P60" s="73">
        <f>P58+P44</f>
        <v>-75872.98999999999</v>
      </c>
      <c r="Q60" s="77"/>
      <c r="R60" s="63"/>
    </row>
    <row r="61" ht="6.75" customHeight="1"/>
    <row r="62" spans="1:18" ht="12.75">
      <c r="A62" s="28" t="s">
        <v>86</v>
      </c>
      <c r="D62" s="166" t="s">
        <v>124</v>
      </c>
      <c r="Q62" s="171"/>
      <c r="R62" s="171"/>
    </row>
    <row r="63" spans="1:18" ht="12.75">
      <c r="A63" s="180" t="s">
        <v>69</v>
      </c>
      <c r="B63" s="180" t="s">
        <v>70</v>
      </c>
      <c r="C63" s="453" t="s">
        <v>71</v>
      </c>
      <c r="D63" s="454"/>
      <c r="Q63" s="171"/>
      <c r="R63" s="171"/>
    </row>
    <row r="64" spans="1:18" ht="12.75">
      <c r="A64" s="293">
        <v>49883.6</v>
      </c>
      <c r="B64" s="135">
        <v>36313.16</v>
      </c>
      <c r="C64" s="268">
        <f>A64-B64</f>
        <v>13570.439999999995</v>
      </c>
      <c r="D64" s="269"/>
      <c r="Q64" s="171"/>
      <c r="R64" s="171"/>
    </row>
    <row r="65" spans="1:18" ht="12.75">
      <c r="A65" s="78"/>
      <c r="Q65" s="171"/>
      <c r="R65" s="171"/>
    </row>
    <row r="66" spans="1:18" ht="12.75">
      <c r="A66" s="172" t="s">
        <v>72</v>
      </c>
      <c r="G66" s="172" t="s">
        <v>73</v>
      </c>
      <c r="Q66" s="171"/>
      <c r="R66" s="171"/>
    </row>
    <row r="67" ht="12.75">
      <c r="A67" s="171"/>
    </row>
    <row r="68" ht="12.75">
      <c r="A68" s="166" t="s">
        <v>120</v>
      </c>
    </row>
    <row r="69" ht="12.75">
      <c r="A69" s="172" t="s">
        <v>74</v>
      </c>
    </row>
  </sheetData>
  <sheetProtection/>
  <mergeCells count="28">
    <mergeCell ref="C8:C11"/>
    <mergeCell ref="D8:D11"/>
    <mergeCell ref="E8:F9"/>
    <mergeCell ref="G8:H9"/>
    <mergeCell ref="N10:N11"/>
    <mergeCell ref="A27:O27"/>
    <mergeCell ref="A43:O43"/>
    <mergeCell ref="C63:D63"/>
    <mergeCell ref="I8:N9"/>
    <mergeCell ref="O8:O11"/>
    <mergeCell ref="A8:A11"/>
    <mergeCell ref="B8:B11"/>
    <mergeCell ref="H10:H11"/>
    <mergeCell ref="I10:I11"/>
    <mergeCell ref="J10:J11"/>
    <mergeCell ref="K10:K11"/>
    <mergeCell ref="L10:L11"/>
    <mergeCell ref="M10:M11"/>
    <mergeCell ref="A59:O59"/>
    <mergeCell ref="A45:P45"/>
    <mergeCell ref="B1:H1"/>
    <mergeCell ref="B2:H2"/>
    <mergeCell ref="A5:O5"/>
    <mergeCell ref="A6:G6"/>
    <mergeCell ref="A7:D7"/>
    <mergeCell ref="E7:F7"/>
    <mergeCell ref="P8:P11"/>
    <mergeCell ref="E10:F10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2011-03-31T10:39:48Z</cp:lastPrinted>
  <dcterms:created xsi:type="dcterms:W3CDTF">2010-04-03T04:08:20Z</dcterms:created>
  <dcterms:modified xsi:type="dcterms:W3CDTF">2013-07-18T02:17:57Z</dcterms:modified>
  <cp:category/>
  <cp:version/>
  <cp:contentType/>
  <cp:contentStatus/>
</cp:coreProperties>
</file>