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<sst xmlns="http://schemas.openxmlformats.org/spreadsheetml/2006/main" count="346" uniqueCount="126">
  <si>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</si>
  <si>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</si>
  <si>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</si>
  <si>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</si>
  <si>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</si>
  <si>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</si>
  <si>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</si>
  <si>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</si>
  <si>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</si>
  <si>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</si>
  <si>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</si>
  <si>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</si>
  <si>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</si>
  <si>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</si>
  <si>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</si>
  <si>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</si>
  <si>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</si>
  <si>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</si>
  <si>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</si>
  <si>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</si>
  <si>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</si>
  <si>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</si>
  <si>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</si>
  <si>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</si>
  <si>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</si>
  <si>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</si>
  <si>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</si>
  <si>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</si>
  <si>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</si>
  <si>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</si>
  <si>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</si>
  <si>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</si>
  <si>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</si>
  <si>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</si>
  <si>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</si>
  <si>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</si>
  <si>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</si>
  <si>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</si>
  <si>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</si>
  <si>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</si>
  <si>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</si>
  <si>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</si>
  <si>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</si>
  <si>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</si>
  <si>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</si>
  <si>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</si>
  <si>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</si>
  <si>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</si>
  <si>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</si>
  <si>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</si>
  <si>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</si>
  <si>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</si>
  <si>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</si>
  <si>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</si>
  <si>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</si>
  <si>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</si>
  <si>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</si>
  <si>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</si>
  <si>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</si>
  <si>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</si>
  <si>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</si>
  <si>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</si>
  <si>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</si>
  <si>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</si>
  <si>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</si>
  <si>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</si>
  <si>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</si>
  <si>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</si>
  <si>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</si>
  <si>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</si>
  <si>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</si>
  <si>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</si>
  <si>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</si>
  <si>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</si>
  <si>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</si>
  <si>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</si>
  <si>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</si>
  <si>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</si>
  <si>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</si>
  <si>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</si>
  <si>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</si>
  <si>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</si>
  <si>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</si>
  <si>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</si>
  <si>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</si>
  <si>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</si>
  <si>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</si>
  <si>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</si>
  <si>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</si>
  <si>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Выписка по лицевому счету по адресу г. Таштагол ул. Юбилейная, д. 3</t>
  </si>
  <si>
    <t>Лицевой счет по адресу г. Таштагол, ул. Юбилейная, д. 3</t>
  </si>
  <si>
    <t>2010 год</t>
  </si>
  <si>
    <t>*по состоянию на 01.01.2011 г.</t>
  </si>
  <si>
    <t>на 01.01.2011 г.</t>
  </si>
  <si>
    <t>на начало отчетного периода</t>
  </si>
  <si>
    <t>Дотация, целевое финансирование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</si>
  <si>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</si>
  <si>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</si>
  <si>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</si>
  <si>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</si>
  <si>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</si>
  <si>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</si>
  <si>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</si>
  <si>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</si>
  <si>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</si>
  <si>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</si>
  <si>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</si>
  <si>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</si>
  <si>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</si>
  <si>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</si>
  <si>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</si>
  <si>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</si>
  <si>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</si>
  <si>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</si>
  <si>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</si>
  <si>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</si>
  <si>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</si>
  <si>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</si>
  <si>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</si>
  <si>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Услуга начисления</t>
  </si>
  <si>
    <t>Исп. В.В. Колмогорова</t>
  </si>
  <si>
    <t>Лицевой счет по адресу г. Таштагол, ул. Юбилейная, д.3</t>
  </si>
  <si>
    <t>2012 год</t>
  </si>
  <si>
    <t>Тариф по содержанию и тек.ремонту 100 % (9,51руб.*площадь)</t>
  </si>
  <si>
    <t>Дотация и целевое финансирование</t>
  </si>
  <si>
    <t>*по состоянию на 01.05.2013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</si>
</sst>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38" borderId="11" xfId="34" applyNumberFormat="1" applyFont="1" applyFill="1" applyBorder="1" applyAlignment="1">
      <alignment horizontal="center" vertical="center" wrapText="1"/>
      <protection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wrapText="1"/>
    </xf>
    <xf numFmtId="4" fontId="0" fillId="0" borderId="3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4" fontId="0" fillId="34" borderId="43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43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4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2" fontId="0" fillId="0" borderId="19" xfId="0" applyNumberFormat="1" applyBorder="1" applyAlignment="1">
      <alignment horizontal="center"/>
    </xf>
    <xf numFmtId="4" fontId="1" fillId="0" borderId="48" xfId="0" applyNumberFormat="1" applyFont="1" applyFill="1" applyBorder="1" applyAlignment="1">
      <alignment horizontal="right" wrapText="1"/>
    </xf>
    <xf numFmtId="4" fontId="0" fillId="0" borderId="49" xfId="0" applyNumberFormat="1" applyFont="1" applyFill="1" applyBorder="1" applyAlignment="1">
      <alignment/>
    </xf>
    <xf numFmtId="2" fontId="0" fillId="38" borderId="11" xfId="0" applyNumberFormat="1" applyFont="1" applyFill="1" applyBorder="1" applyAlignment="1">
      <alignment horizontal="center"/>
    </xf>
    <xf numFmtId="0" fontId="2" fillId="35" borderId="31" xfId="0" applyFont="1" applyFill="1" applyBorder="1" applyAlignment="1">
      <alignment/>
    </xf>
    <xf numFmtId="0" fontId="2" fillId="0" borderId="50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4" fontId="49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49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33" borderId="5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4" fontId="1" fillId="34" borderId="49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1" fillId="39" borderId="49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39" borderId="60" xfId="0" applyFont="1" applyFill="1" applyBorder="1" applyAlignment="1">
      <alignment horizontal="center" vertical="center" wrapText="1"/>
    </xf>
    <xf numFmtId="0" fontId="1" fillId="39" borderId="67" xfId="0" applyFont="1" applyFill="1" applyBorder="1" applyAlignment="1">
      <alignment horizontal="center" vertical="center" wrapText="1"/>
    </xf>
    <xf numFmtId="0" fontId="1" fillId="39" borderId="68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1" fillId="0" borderId="37" xfId="0" applyNumberFormat="1" applyFont="1" applyFill="1" applyBorder="1" applyAlignment="1">
      <alignment horizontal="center" vertical="center" wrapText="1"/>
    </xf>
    <xf numFmtId="2" fontId="11" fillId="0" borderId="36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right" wrapText="1"/>
    </xf>
    <xf numFmtId="0" fontId="31" fillId="0" borderId="11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4" fontId="0" fillId="40" borderId="15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70;&#1073;&#1080;&#1083;&#1077;&#1081;&#1085;&#1072;&#1103;,%207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9;&#1074;&#1072;&#1083;&#1100;&#1085;&#1072;&#1103;,%208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 полн"/>
      <sheetName val="2011 печать"/>
    </sheetNames>
    <sheetDataSet>
      <sheetData sheetId="0">
        <row r="44">
          <cell r="AF44">
            <v>0</v>
          </cell>
          <cell r="AO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H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X41" sqref="AX4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97" t="s">
        <v>90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98" t="s">
        <v>0</v>
      </c>
      <c r="B3" s="301" t="s">
        <v>1</v>
      </c>
      <c r="C3" s="301" t="s">
        <v>2</v>
      </c>
      <c r="D3" s="301" t="s">
        <v>3</v>
      </c>
      <c r="E3" s="304" t="s">
        <v>4</v>
      </c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283" t="s">
        <v>5</v>
      </c>
      <c r="T3" s="283"/>
      <c r="U3" s="284" t="s">
        <v>6</v>
      </c>
      <c r="V3" s="284"/>
      <c r="W3" s="284"/>
      <c r="X3" s="284"/>
      <c r="Y3" s="284"/>
      <c r="Z3" s="284"/>
      <c r="AA3" s="284"/>
      <c r="AB3" s="284"/>
      <c r="AC3" s="266" t="s">
        <v>86</v>
      </c>
      <c r="AD3" s="266" t="s">
        <v>8</v>
      </c>
      <c r="AE3" s="286" t="s">
        <v>9</v>
      </c>
      <c r="AF3" s="275" t="s">
        <v>74</v>
      </c>
      <c r="AG3" s="278" t="s">
        <v>10</v>
      </c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94" t="s">
        <v>75</v>
      </c>
      <c r="BD3" s="280" t="s">
        <v>11</v>
      </c>
      <c r="BE3" s="289" t="s">
        <v>12</v>
      </c>
    </row>
    <row r="4" spans="1:57" ht="36" customHeight="1" thickBot="1">
      <c r="A4" s="299"/>
      <c r="B4" s="302"/>
      <c r="C4" s="302"/>
      <c r="D4" s="302"/>
      <c r="E4" s="279" t="s">
        <v>13</v>
      </c>
      <c r="F4" s="279"/>
      <c r="G4" s="279" t="s">
        <v>14</v>
      </c>
      <c r="H4" s="279"/>
      <c r="I4" s="279" t="s">
        <v>15</v>
      </c>
      <c r="J4" s="279"/>
      <c r="K4" s="279" t="s">
        <v>16</v>
      </c>
      <c r="L4" s="279"/>
      <c r="M4" s="279" t="s">
        <v>17</v>
      </c>
      <c r="N4" s="279"/>
      <c r="O4" s="279" t="s">
        <v>18</v>
      </c>
      <c r="P4" s="279"/>
      <c r="Q4" s="279" t="s">
        <v>19</v>
      </c>
      <c r="R4" s="279"/>
      <c r="S4" s="279"/>
      <c r="T4" s="279"/>
      <c r="U4" s="285"/>
      <c r="V4" s="285"/>
      <c r="W4" s="285"/>
      <c r="X4" s="285"/>
      <c r="Y4" s="285"/>
      <c r="Z4" s="285"/>
      <c r="AA4" s="285"/>
      <c r="AB4" s="285"/>
      <c r="AC4" s="267"/>
      <c r="AD4" s="267"/>
      <c r="AE4" s="287"/>
      <c r="AF4" s="276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95"/>
      <c r="BD4" s="281"/>
      <c r="BE4" s="290"/>
    </row>
    <row r="5" spans="1:57" ht="29.25" customHeight="1" thickBot="1">
      <c r="A5" s="299"/>
      <c r="B5" s="302"/>
      <c r="C5" s="302"/>
      <c r="D5" s="302"/>
      <c r="E5" s="257" t="s">
        <v>20</v>
      </c>
      <c r="F5" s="257" t="s">
        <v>21</v>
      </c>
      <c r="G5" s="257" t="s">
        <v>20</v>
      </c>
      <c r="H5" s="257" t="s">
        <v>21</v>
      </c>
      <c r="I5" s="257" t="s">
        <v>20</v>
      </c>
      <c r="J5" s="257" t="s">
        <v>21</v>
      </c>
      <c r="K5" s="257" t="s">
        <v>20</v>
      </c>
      <c r="L5" s="257" t="s">
        <v>21</v>
      </c>
      <c r="M5" s="257" t="s">
        <v>20</v>
      </c>
      <c r="N5" s="257" t="s">
        <v>21</v>
      </c>
      <c r="O5" s="257" t="s">
        <v>20</v>
      </c>
      <c r="P5" s="257" t="s">
        <v>21</v>
      </c>
      <c r="Q5" s="257" t="s">
        <v>20</v>
      </c>
      <c r="R5" s="257" t="s">
        <v>21</v>
      </c>
      <c r="S5" s="257" t="s">
        <v>20</v>
      </c>
      <c r="T5" s="257" t="s">
        <v>21</v>
      </c>
      <c r="U5" s="259" t="s">
        <v>22</v>
      </c>
      <c r="V5" s="259" t="s">
        <v>23</v>
      </c>
      <c r="W5" s="259" t="s">
        <v>24</v>
      </c>
      <c r="X5" s="259" t="s">
        <v>25</v>
      </c>
      <c r="Y5" s="259" t="s">
        <v>26</v>
      </c>
      <c r="Z5" s="259" t="s">
        <v>27</v>
      </c>
      <c r="AA5" s="259" t="s">
        <v>28</v>
      </c>
      <c r="AB5" s="259" t="s">
        <v>29</v>
      </c>
      <c r="AC5" s="267"/>
      <c r="AD5" s="267"/>
      <c r="AE5" s="287"/>
      <c r="AF5" s="276"/>
      <c r="AG5" s="261" t="s">
        <v>30</v>
      </c>
      <c r="AH5" s="261" t="s">
        <v>31</v>
      </c>
      <c r="AI5" s="261" t="s">
        <v>32</v>
      </c>
      <c r="AJ5" s="261" t="s">
        <v>33</v>
      </c>
      <c r="AK5" s="261" t="s">
        <v>34</v>
      </c>
      <c r="AL5" s="261" t="s">
        <v>33</v>
      </c>
      <c r="AM5" s="261" t="s">
        <v>35</v>
      </c>
      <c r="AN5" s="261" t="s">
        <v>33</v>
      </c>
      <c r="AO5" s="261" t="s">
        <v>36</v>
      </c>
      <c r="AP5" s="261" t="s">
        <v>33</v>
      </c>
      <c r="AQ5" s="269" t="s">
        <v>79</v>
      </c>
      <c r="AR5" s="271" t="s">
        <v>33</v>
      </c>
      <c r="AS5" s="292" t="s">
        <v>80</v>
      </c>
      <c r="AT5" s="273" t="s">
        <v>81</v>
      </c>
      <c r="AU5" s="273" t="s">
        <v>33</v>
      </c>
      <c r="AV5" s="263" t="s">
        <v>82</v>
      </c>
      <c r="AW5" s="264"/>
      <c r="AX5" s="265"/>
      <c r="AY5" s="261" t="s">
        <v>19</v>
      </c>
      <c r="AZ5" s="261" t="s">
        <v>38</v>
      </c>
      <c r="BA5" s="261" t="s">
        <v>33</v>
      </c>
      <c r="BB5" s="261" t="s">
        <v>39</v>
      </c>
      <c r="BC5" s="295"/>
      <c r="BD5" s="281"/>
      <c r="BE5" s="290"/>
    </row>
    <row r="6" spans="1:57" ht="54" customHeight="1" thickBot="1">
      <c r="A6" s="300"/>
      <c r="B6" s="303"/>
      <c r="C6" s="303"/>
      <c r="D6" s="303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60"/>
      <c r="V6" s="260"/>
      <c r="W6" s="260"/>
      <c r="X6" s="260"/>
      <c r="Y6" s="260"/>
      <c r="Z6" s="260"/>
      <c r="AA6" s="260"/>
      <c r="AB6" s="260"/>
      <c r="AC6" s="268"/>
      <c r="AD6" s="268"/>
      <c r="AE6" s="288"/>
      <c r="AF6" s="277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70"/>
      <c r="AR6" s="272"/>
      <c r="AS6" s="293"/>
      <c r="AT6" s="274"/>
      <c r="AU6" s="274"/>
      <c r="AV6" s="111" t="s">
        <v>83</v>
      </c>
      <c r="AW6" s="111" t="s">
        <v>84</v>
      </c>
      <c r="AX6" s="111" t="s">
        <v>85</v>
      </c>
      <c r="AY6" s="262"/>
      <c r="AZ6" s="262"/>
      <c r="BA6" s="262"/>
      <c r="BB6" s="262"/>
      <c r="BC6" s="296"/>
      <c r="BD6" s="282"/>
      <c r="BE6" s="291"/>
    </row>
    <row r="7" spans="1:57" ht="15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7">
        <v>625.3</v>
      </c>
      <c r="C9" s="98">
        <f>B9*8.65</f>
        <v>5408.845</v>
      </c>
      <c r="D9" s="99">
        <f>C9*0.24088</f>
        <v>1302.8825836</v>
      </c>
      <c r="E9" s="100">
        <v>381.42</v>
      </c>
      <c r="F9" s="100">
        <v>132.8</v>
      </c>
      <c r="G9" s="100">
        <v>514.92</v>
      </c>
      <c r="H9" s="100">
        <v>179.29</v>
      </c>
      <c r="I9" s="100">
        <v>1239.62</v>
      </c>
      <c r="J9" s="100">
        <v>431.61</v>
      </c>
      <c r="K9" s="100">
        <v>858.2</v>
      </c>
      <c r="L9" s="100">
        <v>298.81</v>
      </c>
      <c r="M9" s="100">
        <v>305.14</v>
      </c>
      <c r="N9" s="100">
        <v>106.24</v>
      </c>
      <c r="O9" s="100">
        <v>0</v>
      </c>
      <c r="P9" s="100">
        <v>0</v>
      </c>
      <c r="Q9" s="100">
        <v>0</v>
      </c>
      <c r="R9" s="100">
        <v>0</v>
      </c>
      <c r="S9" s="85">
        <f>E9+G9+I9+K9+M9+O9+Q9</f>
        <v>3299.2999999999997</v>
      </c>
      <c r="T9" s="101">
        <f>P9+N9+L9+J9+H9+F9+R9</f>
        <v>1148.75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2">
        <v>0</v>
      </c>
      <c r="AA9" s="102">
        <v>0</v>
      </c>
      <c r="AB9" s="102">
        <f>SUM(U9:AA9)</f>
        <v>0</v>
      </c>
      <c r="AC9" s="103">
        <f>D9+T9+AB9</f>
        <v>2451.6325836</v>
      </c>
      <c r="AD9" s="104">
        <f>P9+Z9</f>
        <v>0</v>
      </c>
      <c r="AE9" s="95">
        <f>R9+AA9</f>
        <v>0</v>
      </c>
      <c r="AF9" s="95"/>
      <c r="AG9" s="16">
        <f>0.6*B9</f>
        <v>375.17999999999995</v>
      </c>
      <c r="AH9" s="16">
        <f>B9*0.2*1.05826</f>
        <v>132.3459956</v>
      </c>
      <c r="AI9" s="16">
        <f>0.8518*B9</f>
        <v>532.63054</v>
      </c>
      <c r="AJ9" s="16">
        <f>AI9*0.18</f>
        <v>95.8734972</v>
      </c>
      <c r="AK9" s="16">
        <f>1.04*B9*0.9531</f>
        <v>619.8123671999999</v>
      </c>
      <c r="AL9" s="16">
        <f>AK9*0.18</f>
        <v>111.56622609599998</v>
      </c>
      <c r="AM9" s="16">
        <f>(1.91)*B9*0.9531</f>
        <v>1138.3092513</v>
      </c>
      <c r="AN9" s="16">
        <f>AM9*0.18</f>
        <v>204.89566523399998</v>
      </c>
      <c r="AO9" s="16"/>
      <c r="AP9" s="16">
        <f>AO9*0.18</f>
        <v>0</v>
      </c>
      <c r="AQ9" s="109"/>
      <c r="AR9" s="109"/>
      <c r="AS9" s="90">
        <v>2745.93</v>
      </c>
      <c r="AT9" s="90"/>
      <c r="AU9" s="90">
        <f>(AS9+AT9)*0.18</f>
        <v>494.26739999999995</v>
      </c>
      <c r="AV9" s="110"/>
      <c r="AW9" s="125"/>
      <c r="AX9" s="16">
        <f>AV9*AW9*1.12*1.18</f>
        <v>0</v>
      </c>
      <c r="AY9" s="112"/>
      <c r="AZ9" s="113"/>
      <c r="BA9" s="113">
        <f>AZ9*0.18</f>
        <v>0</v>
      </c>
      <c r="BB9" s="113">
        <f>SUM(AG9:BA9)-AV9-AW9</f>
        <v>6450.810942629999</v>
      </c>
      <c r="BC9" s="123"/>
      <c r="BD9" s="14">
        <f>AC9-BB9</f>
        <v>-3999.178359029999</v>
      </c>
      <c r="BE9" s="30">
        <f>AB9-S9</f>
        <v>-3299.2999999999997</v>
      </c>
    </row>
    <row r="10" spans="1:57" ht="12.75">
      <c r="A10" s="11" t="s">
        <v>42</v>
      </c>
      <c r="B10" s="97">
        <v>625.3</v>
      </c>
      <c r="C10" s="98">
        <f>B10*8.65</f>
        <v>5408.845</v>
      </c>
      <c r="D10" s="99">
        <f>C10*0.24088</f>
        <v>1302.8825836</v>
      </c>
      <c r="E10" s="100">
        <v>381.42</v>
      </c>
      <c r="F10" s="100">
        <v>132.8</v>
      </c>
      <c r="G10" s="100">
        <v>514.92</v>
      </c>
      <c r="H10" s="100">
        <v>179.29</v>
      </c>
      <c r="I10" s="100">
        <v>1239.62</v>
      </c>
      <c r="J10" s="100">
        <v>431.61</v>
      </c>
      <c r="K10" s="100">
        <v>858.2</v>
      </c>
      <c r="L10" s="100">
        <v>298.81</v>
      </c>
      <c r="M10" s="100">
        <v>305.14</v>
      </c>
      <c r="N10" s="100">
        <v>106.24</v>
      </c>
      <c r="O10" s="100">
        <v>0</v>
      </c>
      <c r="P10" s="100">
        <v>0</v>
      </c>
      <c r="Q10" s="100">
        <v>0</v>
      </c>
      <c r="R10" s="100">
        <v>0</v>
      </c>
      <c r="S10" s="85">
        <f>E10+G10+I10+K10+M10+O10+Q10</f>
        <v>3299.2999999999997</v>
      </c>
      <c r="T10" s="101">
        <f>P10+N10+L10+J10+H10+F10+R10</f>
        <v>1148.75</v>
      </c>
      <c r="U10" s="85">
        <v>321.18</v>
      </c>
      <c r="V10" s="85">
        <v>433.57</v>
      </c>
      <c r="W10" s="85">
        <v>1043.77</v>
      </c>
      <c r="X10" s="85">
        <v>722.63</v>
      </c>
      <c r="Y10" s="85">
        <v>256.95</v>
      </c>
      <c r="Z10" s="102">
        <v>0</v>
      </c>
      <c r="AA10" s="102">
        <v>0</v>
      </c>
      <c r="AB10" s="105">
        <f>SUM(U10:AA10)</f>
        <v>2778.1</v>
      </c>
      <c r="AC10" s="106">
        <f>D10+T10+AB10</f>
        <v>5229.7325836</v>
      </c>
      <c r="AD10" s="95">
        <f>P10+Z10</f>
        <v>0</v>
      </c>
      <c r="AE10" s="95">
        <f>R10+AA10</f>
        <v>0</v>
      </c>
      <c r="AF10" s="95"/>
      <c r="AG10" s="16">
        <f>0.6*B10</f>
        <v>375.17999999999995</v>
      </c>
      <c r="AH10" s="16">
        <f>B10*0.201</f>
        <v>125.6853</v>
      </c>
      <c r="AI10" s="16">
        <f>0.8518*B10</f>
        <v>532.63054</v>
      </c>
      <c r="AJ10" s="16">
        <f>AI10*0.18</f>
        <v>95.8734972</v>
      </c>
      <c r="AK10" s="16">
        <f>1.04*B10*0.9531</f>
        <v>619.8123671999999</v>
      </c>
      <c r="AL10" s="16">
        <f>AK10*0.18</f>
        <v>111.56622609599998</v>
      </c>
      <c r="AM10" s="16">
        <f>(1.91)*B10*0.9531</f>
        <v>1138.3092513</v>
      </c>
      <c r="AN10" s="16">
        <f>AM10*0.18</f>
        <v>204.89566523399998</v>
      </c>
      <c r="AO10" s="16"/>
      <c r="AP10" s="16">
        <f>AO10*0.18</f>
        <v>0</v>
      </c>
      <c r="AQ10" s="109"/>
      <c r="AR10" s="109"/>
      <c r="AS10" s="90">
        <v>460</v>
      </c>
      <c r="AT10" s="90"/>
      <c r="AU10" s="90">
        <f>(AS10+AT10)*0.18</f>
        <v>82.8</v>
      </c>
      <c r="AV10" s="110"/>
      <c r="AW10" s="125"/>
      <c r="AX10" s="16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3746.75284703</v>
      </c>
      <c r="BC10" s="123"/>
      <c r="BD10" s="14">
        <f>AC10-BB10</f>
        <v>1482.9797365700001</v>
      </c>
      <c r="BE10" s="30">
        <f>AB10-S10</f>
        <v>-521.1999999999998</v>
      </c>
    </row>
    <row r="11" spans="1:57" ht="12.75">
      <c r="A11" s="11" t="s">
        <v>43</v>
      </c>
      <c r="B11" s="97">
        <v>625.3</v>
      </c>
      <c r="C11" s="98">
        <f>B11*8.65</f>
        <v>5408.845</v>
      </c>
      <c r="D11" s="99">
        <f>C11*0.24035</f>
        <v>1300.01589575</v>
      </c>
      <c r="E11" s="100">
        <v>374.4</v>
      </c>
      <c r="F11" s="100">
        <v>132.8</v>
      </c>
      <c r="G11" s="100">
        <v>505.44</v>
      </c>
      <c r="H11" s="100">
        <v>179.29</v>
      </c>
      <c r="I11" s="100">
        <v>1216.8</v>
      </c>
      <c r="J11" s="100">
        <v>431.61</v>
      </c>
      <c r="K11" s="100">
        <v>842.4</v>
      </c>
      <c r="L11" s="100">
        <v>298.81</v>
      </c>
      <c r="M11" s="100">
        <v>299.52</v>
      </c>
      <c r="N11" s="100">
        <v>106.24</v>
      </c>
      <c r="O11" s="100">
        <v>0</v>
      </c>
      <c r="P11" s="107">
        <v>0</v>
      </c>
      <c r="Q11" s="100">
        <v>0</v>
      </c>
      <c r="R11" s="107">
        <v>0</v>
      </c>
      <c r="S11" s="85">
        <f>E11+G11+I11+K11+M11+O11+Q11</f>
        <v>3238.56</v>
      </c>
      <c r="T11" s="101">
        <f>P11+N11+L11+J11+H11+F11+R11</f>
        <v>1148.75</v>
      </c>
      <c r="U11" s="85">
        <v>404.82</v>
      </c>
      <c r="V11" s="85">
        <v>546.51</v>
      </c>
      <c r="W11" s="85">
        <v>1316.62</v>
      </c>
      <c r="X11" s="85">
        <v>910.89</v>
      </c>
      <c r="Y11" s="85">
        <v>323.86</v>
      </c>
      <c r="Z11" s="102">
        <v>0</v>
      </c>
      <c r="AA11" s="102">
        <v>0</v>
      </c>
      <c r="AB11" s="105">
        <f>SUM(U11:AA11)</f>
        <v>3502.7</v>
      </c>
      <c r="AC11" s="106">
        <f>D11+T11+AB11</f>
        <v>5951.46589575</v>
      </c>
      <c r="AD11" s="95">
        <f>P11+Z11</f>
        <v>0</v>
      </c>
      <c r="AE11" s="95">
        <f>R11+AA11</f>
        <v>0</v>
      </c>
      <c r="AF11" s="95"/>
      <c r="AG11" s="16">
        <f>0.6*B11</f>
        <v>375.17999999999995</v>
      </c>
      <c r="AH11" s="16">
        <f>B11*0.2*1.02524</f>
        <v>128.2165144</v>
      </c>
      <c r="AI11" s="16">
        <f>0.84932*B11</f>
        <v>531.079796</v>
      </c>
      <c r="AJ11" s="16">
        <f>AI11*0.18</f>
        <v>95.59436328</v>
      </c>
      <c r="AK11" s="16">
        <f>1.04*B11*0.95033</f>
        <v>618.01100296</v>
      </c>
      <c r="AL11" s="16">
        <f>AK11*0.18</f>
        <v>111.2419805328</v>
      </c>
      <c r="AM11" s="16">
        <f>(1.91)*B11*0.95033</f>
        <v>1135.00097659</v>
      </c>
      <c r="AN11" s="16">
        <f>AM11*0.18</f>
        <v>204.3001757862</v>
      </c>
      <c r="AO11" s="16"/>
      <c r="AP11" s="16">
        <f>AO11*0.18</f>
        <v>0</v>
      </c>
      <c r="AQ11" s="109"/>
      <c r="AR11" s="109"/>
      <c r="AS11" s="90"/>
      <c r="AT11" s="90"/>
      <c r="AU11" s="90">
        <f>(AS11+AT11)*0.18</f>
        <v>0</v>
      </c>
      <c r="AV11" s="110"/>
      <c r="AW11" s="125"/>
      <c r="AX11" s="16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3198.6248095489996</v>
      </c>
      <c r="BC11" s="123"/>
      <c r="BD11" s="14">
        <f>AC11-BB11</f>
        <v>2752.841086201</v>
      </c>
      <c r="BE11" s="30">
        <f>AB11-S11</f>
        <v>264.1399999999999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16226.535</v>
      </c>
      <c r="D12" s="60">
        <f t="shared" si="0"/>
        <v>3905.78106295</v>
      </c>
      <c r="E12" s="57">
        <f>SUM(E9:E11)</f>
        <v>1137.24</v>
      </c>
      <c r="F12" s="57">
        <f t="shared" si="0"/>
        <v>398.40000000000003</v>
      </c>
      <c r="G12" s="57">
        <f t="shared" si="0"/>
        <v>1535.28</v>
      </c>
      <c r="H12" s="57">
        <f t="shared" si="0"/>
        <v>537.87</v>
      </c>
      <c r="I12" s="57">
        <f t="shared" si="0"/>
        <v>3696.04</v>
      </c>
      <c r="J12" s="57">
        <f t="shared" si="0"/>
        <v>1294.83</v>
      </c>
      <c r="K12" s="57">
        <f t="shared" si="0"/>
        <v>2558.8</v>
      </c>
      <c r="L12" s="57">
        <f t="shared" si="0"/>
        <v>896.4300000000001</v>
      </c>
      <c r="M12" s="57">
        <f t="shared" si="0"/>
        <v>909.8</v>
      </c>
      <c r="N12" s="57">
        <f t="shared" si="0"/>
        <v>318.71999999999997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9837.16</v>
      </c>
      <c r="T12" s="57">
        <f t="shared" si="0"/>
        <v>3446.25</v>
      </c>
      <c r="U12" s="61">
        <f t="shared" si="0"/>
        <v>726</v>
      </c>
      <c r="V12" s="61">
        <f t="shared" si="0"/>
        <v>980.0799999999999</v>
      </c>
      <c r="W12" s="61">
        <f t="shared" si="0"/>
        <v>2360.39</v>
      </c>
      <c r="X12" s="61">
        <f t="shared" si="0"/>
        <v>1633.52</v>
      </c>
      <c r="Y12" s="61">
        <f t="shared" si="0"/>
        <v>580.81</v>
      </c>
      <c r="Z12" s="61">
        <f t="shared" si="0"/>
        <v>0</v>
      </c>
      <c r="AA12" s="61">
        <f t="shared" si="0"/>
        <v>0</v>
      </c>
      <c r="AB12" s="61">
        <f t="shared" si="0"/>
        <v>6280.799999999999</v>
      </c>
      <c r="AC12" s="61">
        <f t="shared" si="0"/>
        <v>13632.83106295</v>
      </c>
      <c r="AD12" s="61">
        <f>SUM(AD9:AD11)</f>
        <v>0</v>
      </c>
      <c r="AE12" s="93">
        <f t="shared" si="0"/>
        <v>0</v>
      </c>
      <c r="AF12" s="93">
        <f t="shared" si="0"/>
        <v>0</v>
      </c>
      <c r="AG12" s="18">
        <f t="shared" si="0"/>
        <v>1125.54</v>
      </c>
      <c r="AH12" s="18">
        <f t="shared" si="0"/>
        <v>386.24781</v>
      </c>
      <c r="AI12" s="18">
        <f t="shared" si="0"/>
        <v>1596.340876</v>
      </c>
      <c r="AJ12" s="18">
        <f t="shared" si="0"/>
        <v>287.34135768</v>
      </c>
      <c r="AK12" s="18">
        <f t="shared" si="0"/>
        <v>1857.63573736</v>
      </c>
      <c r="AL12" s="18">
        <f t="shared" si="0"/>
        <v>334.37443272479993</v>
      </c>
      <c r="AM12" s="18">
        <f>SUM(AM9:AM11)</f>
        <v>3411.6194791899998</v>
      </c>
      <c r="AN12" s="18">
        <f>SUM(AN9:AN11)</f>
        <v>614.0915062541999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3205.93</v>
      </c>
      <c r="AT12" s="18">
        <f>SUM(AT9:AT11)</f>
        <v>0</v>
      </c>
      <c r="AU12" s="18">
        <f>SUM(AU9:AU11)</f>
        <v>577.0673999999999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13396.188599208997</v>
      </c>
      <c r="BC12" s="18">
        <f t="shared" si="0"/>
        <v>0</v>
      </c>
      <c r="BD12" s="18">
        <f t="shared" si="0"/>
        <v>236.6424637410014</v>
      </c>
      <c r="BE12" s="19">
        <f t="shared" si="0"/>
        <v>-3556.3599999999997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1"/>
      <c r="AD13" s="91"/>
      <c r="AE13" s="92"/>
      <c r="AF13" s="92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33">
        <v>625.3</v>
      </c>
      <c r="C14" s="98">
        <f>B14*8.65</f>
        <v>5408.845</v>
      </c>
      <c r="D14" s="99">
        <f>C14*0.125</f>
        <v>676.105625</v>
      </c>
      <c r="E14" s="100">
        <v>381.42</v>
      </c>
      <c r="F14" s="100">
        <v>132.8</v>
      </c>
      <c r="G14" s="100">
        <v>514.92</v>
      </c>
      <c r="H14" s="100">
        <v>179.29</v>
      </c>
      <c r="I14" s="100">
        <v>1239.62</v>
      </c>
      <c r="J14" s="100">
        <v>431.61</v>
      </c>
      <c r="K14" s="100">
        <v>858.2</v>
      </c>
      <c r="L14" s="100">
        <v>298.81</v>
      </c>
      <c r="M14" s="100">
        <v>305.14</v>
      </c>
      <c r="N14" s="100">
        <v>106.24</v>
      </c>
      <c r="O14" s="100">
        <v>0</v>
      </c>
      <c r="P14" s="107">
        <v>0</v>
      </c>
      <c r="Q14" s="100">
        <v>0</v>
      </c>
      <c r="R14" s="107">
        <v>0</v>
      </c>
      <c r="S14" s="85">
        <f>E14+G14+I14+K14+M14+O14+Q14</f>
        <v>3299.2999999999997</v>
      </c>
      <c r="T14" s="101">
        <f>P14+N14+L14+J14+H14+F14+R14</f>
        <v>1148.75</v>
      </c>
      <c r="U14" s="85">
        <v>279.08</v>
      </c>
      <c r="V14" s="85">
        <v>376.78</v>
      </c>
      <c r="W14" s="85">
        <v>906.24</v>
      </c>
      <c r="X14" s="85">
        <v>627.91</v>
      </c>
      <c r="Y14" s="85">
        <v>223.27</v>
      </c>
      <c r="Z14" s="102">
        <v>0</v>
      </c>
      <c r="AA14" s="102">
        <v>0</v>
      </c>
      <c r="AB14" s="108">
        <f>SUM(U14:AA14)</f>
        <v>2413.2799999999997</v>
      </c>
      <c r="AC14" s="106">
        <f>D14+T14+AB14</f>
        <v>4238.135625</v>
      </c>
      <c r="AD14" s="95">
        <f>P14+Z14</f>
        <v>0</v>
      </c>
      <c r="AE14" s="95">
        <f>R14+AA14</f>
        <v>0</v>
      </c>
      <c r="AF14" s="95"/>
      <c r="AG14" s="16">
        <f>0.6*B14*0.9</f>
        <v>337.662</v>
      </c>
      <c r="AH14" s="16">
        <f>B14*0.2*0.891</f>
        <v>111.42846</v>
      </c>
      <c r="AI14" s="16">
        <f>0.85*B14*0.867-0.02</f>
        <v>460.79483500000003</v>
      </c>
      <c r="AJ14" s="16">
        <f>AI14*0.18</f>
        <v>82.9430703</v>
      </c>
      <c r="AK14" s="16">
        <f>0.83*B14*0.8686</f>
        <v>450.80253139999996</v>
      </c>
      <c r="AL14" s="16">
        <f>AK14*0.18</f>
        <v>81.14445565199999</v>
      </c>
      <c r="AM14" s="16">
        <f>1.91*B14*0.8686</f>
        <v>1037.3889577999998</v>
      </c>
      <c r="AN14" s="16">
        <f>AM14*0.18</f>
        <v>186.73001240399998</v>
      </c>
      <c r="AO14" s="16"/>
      <c r="AP14" s="16">
        <f aca="true" t="shared" si="1" ref="AP14:AP25">AO14*0.18</f>
        <v>0</v>
      </c>
      <c r="AQ14" s="109"/>
      <c r="AR14" s="109">
        <f aca="true" t="shared" si="2" ref="AR14:AR25">AQ14*0.18</f>
        <v>0</v>
      </c>
      <c r="AS14" s="90">
        <v>2700</v>
      </c>
      <c r="AT14" s="90"/>
      <c r="AU14" s="90">
        <f>(AS14+AT14)*0.18+0.01</f>
        <v>486.01</v>
      </c>
      <c r="AV14" s="110">
        <v>508</v>
      </c>
      <c r="AW14" s="131">
        <v>0.55</v>
      </c>
      <c r="AX14" s="115">
        <f>AV14*AW14*1.12*1.18</f>
        <v>369.25504000000006</v>
      </c>
      <c r="AY14" s="115"/>
      <c r="AZ14" s="130"/>
      <c r="BA14" s="130">
        <f>AZ14*0.18</f>
        <v>0</v>
      </c>
      <c r="BB14" s="113">
        <f>SUM(AG14:AU14)</f>
        <v>5934.904322556</v>
      </c>
      <c r="BC14" s="123"/>
      <c r="BD14" s="14">
        <f>AC14+AF14-BB14-BC14</f>
        <v>-1696.768697556</v>
      </c>
      <c r="BE14" s="30">
        <f>AB14-S14</f>
        <v>-886.02</v>
      </c>
    </row>
    <row r="15" spans="1:57" ht="12.75">
      <c r="A15" s="11" t="s">
        <v>46</v>
      </c>
      <c r="B15" s="133">
        <v>625.3</v>
      </c>
      <c r="C15" s="98">
        <f>B15*8.65</f>
        <v>5408.845</v>
      </c>
      <c r="D15" s="99">
        <f>C15*0.125</f>
        <v>676.105625</v>
      </c>
      <c r="E15" s="100">
        <v>381.42</v>
      </c>
      <c r="F15" s="100">
        <v>132.8</v>
      </c>
      <c r="G15" s="100">
        <v>514.92</v>
      </c>
      <c r="H15" s="100">
        <v>179.29</v>
      </c>
      <c r="I15" s="100">
        <v>1239.62</v>
      </c>
      <c r="J15" s="100">
        <v>431.61</v>
      </c>
      <c r="K15" s="100">
        <v>858.2</v>
      </c>
      <c r="L15" s="100">
        <v>298.81</v>
      </c>
      <c r="M15" s="100">
        <v>305.14</v>
      </c>
      <c r="N15" s="100">
        <v>106.24</v>
      </c>
      <c r="O15" s="100">
        <v>0</v>
      </c>
      <c r="P15" s="107">
        <v>0</v>
      </c>
      <c r="Q15" s="100">
        <v>0</v>
      </c>
      <c r="R15" s="107">
        <v>0</v>
      </c>
      <c r="S15" s="85">
        <f>E15+G15+I15+K15+M15+O15+Q15</f>
        <v>3299.2999999999997</v>
      </c>
      <c r="T15" s="101">
        <f>P15+N15+L15+J15+H15+F15+R15</f>
        <v>1148.75</v>
      </c>
      <c r="U15" s="85">
        <v>370.3</v>
      </c>
      <c r="V15" s="85">
        <v>499.91</v>
      </c>
      <c r="W15" s="85">
        <v>1203.36</v>
      </c>
      <c r="X15" s="85">
        <v>833.2</v>
      </c>
      <c r="Y15" s="85">
        <v>296.25</v>
      </c>
      <c r="Z15" s="102">
        <v>0</v>
      </c>
      <c r="AA15" s="102">
        <v>0</v>
      </c>
      <c r="AB15" s="105">
        <f>SUM(U15:AA15)</f>
        <v>3203.0199999999995</v>
      </c>
      <c r="AC15" s="106">
        <f>D15+T15+AB15</f>
        <v>5027.875625</v>
      </c>
      <c r="AD15" s="95">
        <f>P15+Z15</f>
        <v>0</v>
      </c>
      <c r="AE15" s="95">
        <f>R15+AA15</f>
        <v>0</v>
      </c>
      <c r="AF15" s="95"/>
      <c r="AG15" s="16">
        <f>0.6*B15*0.9</f>
        <v>337.662</v>
      </c>
      <c r="AH15" s="16">
        <f>B15*0.2*0.9153</f>
        <v>114.46741800000001</v>
      </c>
      <c r="AI15" s="16">
        <f>0.85*B15*0.866</f>
        <v>460.28333</v>
      </c>
      <c r="AJ15" s="16">
        <f>AI15*0.18</f>
        <v>82.85099939999999</v>
      </c>
      <c r="AK15" s="16">
        <f>0.83*B15*0.8685</f>
        <v>450.75063149999994</v>
      </c>
      <c r="AL15" s="16">
        <f>AK15*0.18</f>
        <v>81.13511366999998</v>
      </c>
      <c r="AM15" s="16">
        <f>(1.91)*B15*0.8684</f>
        <v>1037.1500932</v>
      </c>
      <c r="AN15" s="16">
        <f>AM15*0.18</f>
        <v>186.68701677599998</v>
      </c>
      <c r="AO15" s="16"/>
      <c r="AP15" s="16">
        <f t="shared" si="1"/>
        <v>0</v>
      </c>
      <c r="AQ15" s="109"/>
      <c r="AR15" s="109">
        <f t="shared" si="2"/>
        <v>0</v>
      </c>
      <c r="AS15" s="90"/>
      <c r="AT15" s="90"/>
      <c r="AU15" s="90">
        <f>(AS15+AT15)*0.18</f>
        <v>0</v>
      </c>
      <c r="AV15" s="110">
        <v>407</v>
      </c>
      <c r="AW15" s="125">
        <v>0.55</v>
      </c>
      <c r="AX15" s="16">
        <f>AV15*AW15*1.12*1.18</f>
        <v>295.84016</v>
      </c>
      <c r="AY15" s="112"/>
      <c r="AZ15" s="113"/>
      <c r="BA15" s="113">
        <f>AZ15*0.18</f>
        <v>0</v>
      </c>
      <c r="BB15" s="113">
        <f>SUM(AG15:AU15)+AY15</f>
        <v>2750.9866025459996</v>
      </c>
      <c r="BC15" s="119"/>
      <c r="BD15" s="14">
        <f aca="true" t="shared" si="3" ref="BD15:BD24">AC15+AF15-BB15-BC15</f>
        <v>2276.889022454</v>
      </c>
      <c r="BE15" s="30">
        <f aca="true" t="shared" si="4" ref="BE15:BE25">AB15-S15</f>
        <v>-96.2800000000002</v>
      </c>
    </row>
    <row r="16" spans="1:57" ht="12.75">
      <c r="A16" s="11" t="s">
        <v>47</v>
      </c>
      <c r="B16" s="120">
        <v>625.3</v>
      </c>
      <c r="C16" s="98">
        <f aca="true" t="shared" si="5" ref="C16:C25">B16*8.65</f>
        <v>5408.845</v>
      </c>
      <c r="D16" s="99">
        <f>C16*0.125</f>
        <v>676.105625</v>
      </c>
      <c r="E16" s="100">
        <v>377.14</v>
      </c>
      <c r="F16" s="100">
        <v>132.8</v>
      </c>
      <c r="G16" s="100">
        <v>509.15</v>
      </c>
      <c r="H16" s="100">
        <v>179.29</v>
      </c>
      <c r="I16" s="100">
        <v>1225.73</v>
      </c>
      <c r="J16" s="100">
        <v>431.61</v>
      </c>
      <c r="K16" s="100">
        <v>848.59</v>
      </c>
      <c r="L16" s="100">
        <v>298.81</v>
      </c>
      <c r="M16" s="100">
        <v>301.71</v>
      </c>
      <c r="N16" s="100">
        <v>106.24</v>
      </c>
      <c r="O16" s="100">
        <v>0</v>
      </c>
      <c r="P16" s="107">
        <v>0</v>
      </c>
      <c r="Q16" s="100">
        <v>0</v>
      </c>
      <c r="R16" s="107">
        <v>0</v>
      </c>
      <c r="S16" s="86">
        <f aca="true" t="shared" si="6" ref="S16:S25">E16+G16+I16+K16+M16+O16+Q16</f>
        <v>3262.32</v>
      </c>
      <c r="T16" s="127">
        <f aca="true" t="shared" si="7" ref="T16:T25">P16+N16+L16+J16+H16+F16+R16</f>
        <v>1148.75</v>
      </c>
      <c r="U16" s="86">
        <v>413.58</v>
      </c>
      <c r="V16" s="86">
        <v>558.32</v>
      </c>
      <c r="W16" s="86">
        <v>1344.11</v>
      </c>
      <c r="X16" s="86">
        <v>930.53</v>
      </c>
      <c r="Y16" s="86">
        <v>330.85</v>
      </c>
      <c r="Z16" s="114">
        <v>0</v>
      </c>
      <c r="AA16" s="114">
        <v>0</v>
      </c>
      <c r="AB16" s="108">
        <f aca="true" t="shared" si="8" ref="AB16:AB22">SUM(U16:AA16)</f>
        <v>3577.39</v>
      </c>
      <c r="AC16" s="106">
        <f aca="true" t="shared" si="9" ref="AC16:AC22">D16+T16+AB16</f>
        <v>5402.245625</v>
      </c>
      <c r="AD16" s="95">
        <f aca="true" t="shared" si="10" ref="AD16:AD25">P16+Z16</f>
        <v>0</v>
      </c>
      <c r="AE16" s="95">
        <f aca="true" t="shared" si="11" ref="AE16:AE25">R16+AA16</f>
        <v>0</v>
      </c>
      <c r="AF16" s="95"/>
      <c r="AG16" s="115">
        <f>0.6*B16*0.9</f>
        <v>337.662</v>
      </c>
      <c r="AH16" s="115">
        <f>B16*0.2*0.9082-0.01</f>
        <v>113.569492</v>
      </c>
      <c r="AI16" s="16">
        <f>0.85*B16*0.8675+0.01</f>
        <v>461.0905875</v>
      </c>
      <c r="AJ16" s="16">
        <f aca="true" t="shared" si="12" ref="AJ16:AJ25">AI16*0.18</f>
        <v>82.99630575</v>
      </c>
      <c r="AK16" s="115">
        <f>0.83*B16*0.838</f>
        <v>434.9211619999999</v>
      </c>
      <c r="AL16" s="16">
        <f aca="true" t="shared" si="13" ref="AL16:AL25">AK16*0.18</f>
        <v>78.28580915999999</v>
      </c>
      <c r="AM16" s="16">
        <f>1.91*B16*0.838</f>
        <v>1000.8426739999999</v>
      </c>
      <c r="AN16" s="16">
        <f aca="true" t="shared" si="14" ref="AN16:AN25">AM16*0.18</f>
        <v>180.15168131999997</v>
      </c>
      <c r="AO16" s="16"/>
      <c r="AP16" s="16">
        <f t="shared" si="1"/>
        <v>0</v>
      </c>
      <c r="AQ16" s="109">
        <v>5024.66</v>
      </c>
      <c r="AR16" s="109">
        <f t="shared" si="2"/>
        <v>904.4387999999999</v>
      </c>
      <c r="AS16" s="90"/>
      <c r="AT16" s="90"/>
      <c r="AU16" s="90">
        <f aca="true" t="shared" si="15" ref="AU16:AU25">(AS16+AT16)*0.18</f>
        <v>0</v>
      </c>
      <c r="AV16" s="110">
        <v>383</v>
      </c>
      <c r="AW16" s="125">
        <v>0.55</v>
      </c>
      <c r="AX16" s="115">
        <f aca="true" t="shared" si="16" ref="AX16:AX25">AV16*AW16*1.12*1.18</f>
        <v>278.39504</v>
      </c>
      <c r="AY16" s="115"/>
      <c r="AZ16" s="130"/>
      <c r="BA16" s="130">
        <f>AZ16*0.18</f>
        <v>0</v>
      </c>
      <c r="BB16" s="113">
        <f>SUM(AG16:AU16)</f>
        <v>8618.61851173</v>
      </c>
      <c r="BC16" s="119"/>
      <c r="BD16" s="14">
        <f t="shared" si="3"/>
        <v>-3216.3728867299997</v>
      </c>
      <c r="BE16" s="30">
        <f t="shared" si="4"/>
        <v>315.0699999999997</v>
      </c>
    </row>
    <row r="17" spans="1:57" ht="12.75">
      <c r="A17" s="11" t="s">
        <v>48</v>
      </c>
      <c r="B17" s="116">
        <v>625.3</v>
      </c>
      <c r="C17" s="98">
        <f t="shared" si="5"/>
        <v>5408.845</v>
      </c>
      <c r="D17" s="99">
        <f>C17*0.125</f>
        <v>676.105625</v>
      </c>
      <c r="E17" s="117">
        <v>381.42</v>
      </c>
      <c r="F17" s="117">
        <v>132.8</v>
      </c>
      <c r="G17" s="117">
        <v>514.92</v>
      </c>
      <c r="H17" s="117">
        <v>179.29</v>
      </c>
      <c r="I17" s="117">
        <v>1239.62</v>
      </c>
      <c r="J17" s="117">
        <v>431.61</v>
      </c>
      <c r="K17" s="117">
        <v>858.2</v>
      </c>
      <c r="L17" s="117">
        <v>298.81</v>
      </c>
      <c r="M17" s="117">
        <v>305.14</v>
      </c>
      <c r="N17" s="117">
        <v>106.24</v>
      </c>
      <c r="O17" s="117">
        <v>0</v>
      </c>
      <c r="P17" s="118">
        <v>0</v>
      </c>
      <c r="Q17" s="117">
        <v>0</v>
      </c>
      <c r="R17" s="118">
        <v>0</v>
      </c>
      <c r="S17" s="85">
        <f t="shared" si="6"/>
        <v>3299.2999999999997</v>
      </c>
      <c r="T17" s="101">
        <f t="shared" si="7"/>
        <v>1148.75</v>
      </c>
      <c r="U17" s="85">
        <v>396.65</v>
      </c>
      <c r="V17" s="85">
        <v>535.49</v>
      </c>
      <c r="W17" s="85">
        <v>1289.15</v>
      </c>
      <c r="X17" s="85">
        <v>892.49</v>
      </c>
      <c r="Y17" s="85">
        <v>317.33</v>
      </c>
      <c r="Z17" s="85">
        <v>0</v>
      </c>
      <c r="AA17" s="85">
        <v>0</v>
      </c>
      <c r="AB17" s="108">
        <f t="shared" si="8"/>
        <v>3431.1099999999997</v>
      </c>
      <c r="AC17" s="106">
        <f t="shared" si="9"/>
        <v>5255.965625</v>
      </c>
      <c r="AD17" s="95">
        <f t="shared" si="10"/>
        <v>0</v>
      </c>
      <c r="AE17" s="95">
        <f t="shared" si="11"/>
        <v>0</v>
      </c>
      <c r="AF17" s="95"/>
      <c r="AG17" s="16">
        <f>0.6*B17*0.9</f>
        <v>337.662</v>
      </c>
      <c r="AH17" s="115">
        <f>B17*0.2*0.9234</f>
        <v>115.48040400000001</v>
      </c>
      <c r="AI17" s="16">
        <f>0.85*B17*0.893</f>
        <v>474.633965</v>
      </c>
      <c r="AJ17" s="16">
        <f t="shared" si="12"/>
        <v>85.4341137</v>
      </c>
      <c r="AK17" s="16">
        <f>0.83*B17*0.8498</f>
        <v>441.0453501999999</v>
      </c>
      <c r="AL17" s="16">
        <f t="shared" si="13"/>
        <v>79.38816303599998</v>
      </c>
      <c r="AM17" s="16">
        <f>(1.91)*B17*0.8498</f>
        <v>1014.9356853999999</v>
      </c>
      <c r="AN17" s="16">
        <f t="shared" si="14"/>
        <v>182.688423372</v>
      </c>
      <c r="AO17" s="16"/>
      <c r="AP17" s="16">
        <f t="shared" si="1"/>
        <v>0</v>
      </c>
      <c r="AQ17" s="109">
        <f>7826+10049.33</f>
        <v>17875.33</v>
      </c>
      <c r="AR17" s="109">
        <f t="shared" si="2"/>
        <v>3217.5594</v>
      </c>
      <c r="AS17" s="90">
        <v>310</v>
      </c>
      <c r="AT17" s="90"/>
      <c r="AU17" s="90">
        <f t="shared" si="15"/>
        <v>55.8</v>
      </c>
      <c r="AV17" s="110">
        <v>307</v>
      </c>
      <c r="AW17" s="125">
        <v>0.55</v>
      </c>
      <c r="AX17" s="16">
        <f t="shared" si="16"/>
        <v>223.15216000000004</v>
      </c>
      <c r="AY17" s="132"/>
      <c r="AZ17" s="112"/>
      <c r="BA17" s="130">
        <f aca="true" t="shared" si="17" ref="BA17:BA25">AZ17*0.18</f>
        <v>0</v>
      </c>
      <c r="BB17" s="113">
        <f>SUM(AG17:AU17)+AX17+AX14+AX15+AX16</f>
        <v>25356.599904708004</v>
      </c>
      <c r="BC17" s="119"/>
      <c r="BD17" s="14">
        <f t="shared" si="3"/>
        <v>-20100.634279708003</v>
      </c>
      <c r="BE17" s="30">
        <f t="shared" si="4"/>
        <v>131.80999999999995</v>
      </c>
    </row>
    <row r="18" spans="1:57" ht="12.75">
      <c r="A18" s="11" t="s">
        <v>49</v>
      </c>
      <c r="B18" s="120">
        <v>625.3</v>
      </c>
      <c r="C18" s="98">
        <f t="shared" si="5"/>
        <v>5408.845</v>
      </c>
      <c r="D18" s="121">
        <f aca="true" t="shared" si="18" ref="D18:D25">C18-E18-F18-G18-H18-I18-J18-K18-L18-M18-N18</f>
        <v>476.3950000000001</v>
      </c>
      <c r="E18" s="117">
        <v>419.84</v>
      </c>
      <c r="F18" s="117">
        <v>149.41</v>
      </c>
      <c r="G18" s="117">
        <v>568.75</v>
      </c>
      <c r="H18" s="117">
        <v>202.53</v>
      </c>
      <c r="I18" s="117">
        <v>1366.51</v>
      </c>
      <c r="J18" s="117">
        <v>486.38</v>
      </c>
      <c r="K18" s="117">
        <v>946.65</v>
      </c>
      <c r="L18" s="117">
        <v>336.97</v>
      </c>
      <c r="M18" s="117">
        <v>335.89</v>
      </c>
      <c r="N18" s="117">
        <v>119.52</v>
      </c>
      <c r="O18" s="117">
        <v>0</v>
      </c>
      <c r="P18" s="118">
        <v>0</v>
      </c>
      <c r="Q18" s="117">
        <v>0</v>
      </c>
      <c r="R18" s="118">
        <v>0</v>
      </c>
      <c r="S18" s="86">
        <f t="shared" si="6"/>
        <v>3637.64</v>
      </c>
      <c r="T18" s="127">
        <f t="shared" si="7"/>
        <v>1294.8100000000002</v>
      </c>
      <c r="U18" s="86">
        <v>367.81</v>
      </c>
      <c r="V18" s="86">
        <v>496.58</v>
      </c>
      <c r="W18" s="86">
        <v>1195.44</v>
      </c>
      <c r="X18" s="86">
        <v>827.61</v>
      </c>
      <c r="Y18" s="86">
        <v>294.27</v>
      </c>
      <c r="Z18" s="114">
        <v>0</v>
      </c>
      <c r="AA18" s="114">
        <v>0</v>
      </c>
      <c r="AB18" s="108">
        <f t="shared" si="8"/>
        <v>3181.71</v>
      </c>
      <c r="AC18" s="106">
        <f t="shared" si="9"/>
        <v>4952.915000000001</v>
      </c>
      <c r="AD18" s="95">
        <f t="shared" si="10"/>
        <v>0</v>
      </c>
      <c r="AE18" s="95">
        <f t="shared" si="11"/>
        <v>0</v>
      </c>
      <c r="AF18" s="95"/>
      <c r="AG18" s="16">
        <f aca="true" t="shared" si="19" ref="AG18:AG25">0.6*B18</f>
        <v>375.17999999999995</v>
      </c>
      <c r="AH18" s="16">
        <f>B18*0.2*1.01</f>
        <v>126.31060000000001</v>
      </c>
      <c r="AI18" s="16">
        <f>0.85*B18</f>
        <v>531.505</v>
      </c>
      <c r="AJ18" s="16">
        <f t="shared" si="12"/>
        <v>95.67089999999999</v>
      </c>
      <c r="AK18" s="16">
        <f>0.83*B18</f>
        <v>518.9989999999999</v>
      </c>
      <c r="AL18" s="16">
        <f t="shared" si="13"/>
        <v>93.41981999999999</v>
      </c>
      <c r="AM18" s="16">
        <f>(1.91)*B18</f>
        <v>1194.3229999999999</v>
      </c>
      <c r="AN18" s="16">
        <f t="shared" si="14"/>
        <v>214.97813999999997</v>
      </c>
      <c r="AO18" s="16"/>
      <c r="AP18" s="16">
        <f t="shared" si="1"/>
        <v>0</v>
      </c>
      <c r="AQ18" s="109"/>
      <c r="AR18" s="109">
        <f t="shared" si="2"/>
        <v>0</v>
      </c>
      <c r="AS18" s="90"/>
      <c r="AT18" s="90"/>
      <c r="AU18" s="90">
        <f t="shared" si="15"/>
        <v>0</v>
      </c>
      <c r="AV18" s="110">
        <v>263</v>
      </c>
      <c r="AW18" s="125">
        <v>0.55</v>
      </c>
      <c r="AX18" s="115">
        <f t="shared" si="16"/>
        <v>191.16944</v>
      </c>
      <c r="AY18" s="115"/>
      <c r="AZ18" s="130"/>
      <c r="BA18" s="130">
        <f t="shared" si="17"/>
        <v>0</v>
      </c>
      <c r="BB18" s="130">
        <f>SUM(AG18:BA18)-AV18-AW18</f>
        <v>3341.5559000000003</v>
      </c>
      <c r="BC18" s="119"/>
      <c r="BD18" s="14">
        <f t="shared" si="3"/>
        <v>1611.3591000000006</v>
      </c>
      <c r="BE18" s="30">
        <f t="shared" si="4"/>
        <v>-455.92999999999984</v>
      </c>
    </row>
    <row r="19" spans="1:57" ht="12.75">
      <c r="A19" s="11" t="s">
        <v>50</v>
      </c>
      <c r="B19" s="120">
        <v>625.3</v>
      </c>
      <c r="C19" s="98">
        <f t="shared" si="5"/>
        <v>5408.845</v>
      </c>
      <c r="D19" s="121">
        <f t="shared" si="18"/>
        <v>472.0349999999996</v>
      </c>
      <c r="E19" s="117">
        <v>420.35</v>
      </c>
      <c r="F19" s="117">
        <v>149.41</v>
      </c>
      <c r="G19" s="117">
        <v>569.43</v>
      </c>
      <c r="H19" s="117">
        <v>202.53</v>
      </c>
      <c r="I19" s="117">
        <v>1368.14</v>
      </c>
      <c r="J19" s="117">
        <v>486.38</v>
      </c>
      <c r="K19" s="117">
        <v>947.79</v>
      </c>
      <c r="L19" s="117">
        <v>336.97</v>
      </c>
      <c r="M19" s="117">
        <v>336.29</v>
      </c>
      <c r="N19" s="117">
        <v>119.52</v>
      </c>
      <c r="O19" s="117">
        <v>0</v>
      </c>
      <c r="P19" s="118">
        <v>0</v>
      </c>
      <c r="Q19" s="117">
        <v>0</v>
      </c>
      <c r="R19" s="118">
        <v>0</v>
      </c>
      <c r="S19" s="85">
        <f t="shared" si="6"/>
        <v>3642</v>
      </c>
      <c r="T19" s="101">
        <f t="shared" si="7"/>
        <v>1294.8100000000002</v>
      </c>
      <c r="U19" s="86">
        <v>438.42</v>
      </c>
      <c r="V19" s="86">
        <v>593.52</v>
      </c>
      <c r="W19" s="86">
        <v>1426.5</v>
      </c>
      <c r="X19" s="86">
        <v>988.11</v>
      </c>
      <c r="Y19" s="86">
        <v>350.72</v>
      </c>
      <c r="Z19" s="114">
        <v>0</v>
      </c>
      <c r="AA19" s="114">
        <v>0</v>
      </c>
      <c r="AB19" s="108">
        <f t="shared" si="8"/>
        <v>3797.2700000000004</v>
      </c>
      <c r="AC19" s="106">
        <f t="shared" si="9"/>
        <v>5564.115</v>
      </c>
      <c r="AD19" s="95">
        <f t="shared" si="10"/>
        <v>0</v>
      </c>
      <c r="AE19" s="95">
        <f t="shared" si="11"/>
        <v>0</v>
      </c>
      <c r="AF19" s="95"/>
      <c r="AG19" s="16">
        <f t="shared" si="19"/>
        <v>375.17999999999995</v>
      </c>
      <c r="AH19" s="16">
        <f>B19*0.2*1.01045</f>
        <v>126.36687700000002</v>
      </c>
      <c r="AI19" s="16">
        <f>0.85*B19</f>
        <v>531.505</v>
      </c>
      <c r="AJ19" s="16">
        <f t="shared" si="12"/>
        <v>95.67089999999999</v>
      </c>
      <c r="AK19" s="16">
        <f>0.83*B19</f>
        <v>518.9989999999999</v>
      </c>
      <c r="AL19" s="16">
        <f t="shared" si="13"/>
        <v>93.41981999999999</v>
      </c>
      <c r="AM19" s="16">
        <f>(1.91)*B19</f>
        <v>1194.3229999999999</v>
      </c>
      <c r="AN19" s="115">
        <f t="shared" si="14"/>
        <v>214.97813999999997</v>
      </c>
      <c r="AO19" s="115"/>
      <c r="AP19" s="115">
        <f t="shared" si="1"/>
        <v>0</v>
      </c>
      <c r="AQ19" s="109"/>
      <c r="AR19" s="109">
        <f t="shared" si="2"/>
        <v>0</v>
      </c>
      <c r="AS19" s="128"/>
      <c r="AT19" s="128"/>
      <c r="AU19" s="90">
        <f t="shared" si="15"/>
        <v>0</v>
      </c>
      <c r="AV19" s="129">
        <v>233</v>
      </c>
      <c r="AW19" s="131">
        <v>0.55</v>
      </c>
      <c r="AX19" s="115">
        <f t="shared" si="16"/>
        <v>169.36304</v>
      </c>
      <c r="AY19" s="112"/>
      <c r="AZ19" s="113"/>
      <c r="BA19" s="113">
        <f t="shared" si="17"/>
        <v>0</v>
      </c>
      <c r="BB19" s="113">
        <f>SUM(AG19:BA19)-AV19-AW19</f>
        <v>3319.805777</v>
      </c>
      <c r="BC19" s="119"/>
      <c r="BD19" s="14">
        <f t="shared" si="3"/>
        <v>2244.3092229999997</v>
      </c>
      <c r="BE19" s="30">
        <f t="shared" si="4"/>
        <v>155.27000000000044</v>
      </c>
    </row>
    <row r="20" spans="1:57" ht="12.75">
      <c r="A20" s="11" t="s">
        <v>51</v>
      </c>
      <c r="B20" s="133">
        <v>625.3</v>
      </c>
      <c r="C20" s="98">
        <f t="shared" si="5"/>
        <v>5408.845</v>
      </c>
      <c r="D20" s="121">
        <f t="shared" si="18"/>
        <v>472.0349999999996</v>
      </c>
      <c r="E20" s="117">
        <v>420.35</v>
      </c>
      <c r="F20" s="117">
        <v>149.41</v>
      </c>
      <c r="G20" s="117">
        <v>569.43</v>
      </c>
      <c r="H20" s="117">
        <v>202.53</v>
      </c>
      <c r="I20" s="117">
        <v>1368.14</v>
      </c>
      <c r="J20" s="117">
        <v>486.38</v>
      </c>
      <c r="K20" s="117">
        <v>947.79</v>
      </c>
      <c r="L20" s="117">
        <v>336.97</v>
      </c>
      <c r="M20" s="117">
        <v>336.29</v>
      </c>
      <c r="N20" s="117">
        <v>119.52</v>
      </c>
      <c r="O20" s="117">
        <v>0</v>
      </c>
      <c r="P20" s="118">
        <v>0</v>
      </c>
      <c r="Q20" s="117">
        <v>0</v>
      </c>
      <c r="R20" s="118">
        <v>0</v>
      </c>
      <c r="S20" s="85">
        <f t="shared" si="6"/>
        <v>3642</v>
      </c>
      <c r="T20" s="101">
        <f t="shared" si="7"/>
        <v>1294.8100000000002</v>
      </c>
      <c r="U20" s="86">
        <v>455.87</v>
      </c>
      <c r="V20" s="86">
        <v>617.53</v>
      </c>
      <c r="W20" s="86">
        <v>1483.81</v>
      </c>
      <c r="X20" s="86">
        <v>1027.88</v>
      </c>
      <c r="Y20" s="86">
        <v>364.75</v>
      </c>
      <c r="Z20" s="114">
        <v>0</v>
      </c>
      <c r="AA20" s="114">
        <v>0</v>
      </c>
      <c r="AB20" s="108">
        <f t="shared" si="8"/>
        <v>3949.84</v>
      </c>
      <c r="AC20" s="106">
        <f t="shared" si="9"/>
        <v>5716.6849999999995</v>
      </c>
      <c r="AD20" s="95">
        <f t="shared" si="10"/>
        <v>0</v>
      </c>
      <c r="AE20" s="95">
        <f t="shared" si="11"/>
        <v>0</v>
      </c>
      <c r="AF20" s="95"/>
      <c r="AG20" s="16">
        <f t="shared" si="19"/>
        <v>375.17999999999995</v>
      </c>
      <c r="AH20" s="16">
        <f>B20*0.2*0.99425</f>
        <v>124.34090499999999</v>
      </c>
      <c r="AI20" s="115">
        <f>0.85*B20*0.9858</f>
        <v>523.957629</v>
      </c>
      <c r="AJ20" s="16">
        <f t="shared" si="12"/>
        <v>94.31237322</v>
      </c>
      <c r="AK20" s="115">
        <f>0.83*B20*0.9905</f>
        <v>514.0685094999999</v>
      </c>
      <c r="AL20" s="16">
        <f t="shared" si="13"/>
        <v>92.53233170999998</v>
      </c>
      <c r="AM20" s="115">
        <f>(1.91)*B20*0.9904</f>
        <v>1182.8574992</v>
      </c>
      <c r="AN20" s="115">
        <f t="shared" si="14"/>
        <v>212.91434985599997</v>
      </c>
      <c r="AO20" s="115"/>
      <c r="AP20" s="115">
        <f t="shared" si="1"/>
        <v>0</v>
      </c>
      <c r="AQ20" s="109"/>
      <c r="AR20" s="109">
        <f t="shared" si="2"/>
        <v>0</v>
      </c>
      <c r="AS20" s="128"/>
      <c r="AT20" s="90"/>
      <c r="AU20" s="90">
        <f t="shared" si="15"/>
        <v>0</v>
      </c>
      <c r="AV20" s="129">
        <v>248</v>
      </c>
      <c r="AW20" s="131">
        <v>0.55</v>
      </c>
      <c r="AX20" s="115">
        <f t="shared" si="16"/>
        <v>180.26624000000004</v>
      </c>
      <c r="AY20" s="112"/>
      <c r="AZ20" s="113"/>
      <c r="BA20" s="113">
        <f t="shared" si="17"/>
        <v>0</v>
      </c>
      <c r="BB20" s="113">
        <f>SUM(AG20:BA20)-AV20-AW20</f>
        <v>3300.4298374859995</v>
      </c>
      <c r="BC20" s="119"/>
      <c r="BD20" s="14">
        <f t="shared" si="3"/>
        <v>2416.255162514</v>
      </c>
      <c r="BE20" s="30">
        <f t="shared" si="4"/>
        <v>307.84000000000015</v>
      </c>
    </row>
    <row r="21" spans="1:57" ht="12.75">
      <c r="A21" s="11" t="s">
        <v>52</v>
      </c>
      <c r="B21" s="133">
        <v>625.3</v>
      </c>
      <c r="C21" s="98">
        <f t="shared" si="5"/>
        <v>5408.845</v>
      </c>
      <c r="D21" s="121">
        <f t="shared" si="18"/>
        <v>472.0349999999996</v>
      </c>
      <c r="E21" s="117">
        <v>420.35</v>
      </c>
      <c r="F21" s="117">
        <v>149.41</v>
      </c>
      <c r="G21" s="117">
        <v>569.43</v>
      </c>
      <c r="H21" s="117">
        <v>202.53</v>
      </c>
      <c r="I21" s="117">
        <v>1368.14</v>
      </c>
      <c r="J21" s="117">
        <v>486.38</v>
      </c>
      <c r="K21" s="117">
        <v>947.79</v>
      </c>
      <c r="L21" s="117">
        <v>336.97</v>
      </c>
      <c r="M21" s="117">
        <v>336.29</v>
      </c>
      <c r="N21" s="117">
        <v>119.52</v>
      </c>
      <c r="O21" s="117">
        <v>0</v>
      </c>
      <c r="P21" s="118">
        <v>0</v>
      </c>
      <c r="Q21" s="86">
        <v>0</v>
      </c>
      <c r="R21" s="86">
        <v>0</v>
      </c>
      <c r="S21" s="85">
        <f t="shared" si="6"/>
        <v>3642</v>
      </c>
      <c r="T21" s="101">
        <f t="shared" si="7"/>
        <v>1294.8100000000002</v>
      </c>
      <c r="U21" s="86">
        <v>348.43</v>
      </c>
      <c r="V21" s="86">
        <v>471.96</v>
      </c>
      <c r="W21" s="86">
        <v>1133.97</v>
      </c>
      <c r="X21" s="86">
        <v>785.55</v>
      </c>
      <c r="Y21" s="86">
        <v>278.73</v>
      </c>
      <c r="Z21" s="114">
        <v>0</v>
      </c>
      <c r="AA21" s="114">
        <v>0</v>
      </c>
      <c r="AB21" s="108">
        <f t="shared" si="8"/>
        <v>3018.64</v>
      </c>
      <c r="AC21" s="106">
        <f t="shared" si="9"/>
        <v>4785.485</v>
      </c>
      <c r="AD21" s="95">
        <f t="shared" si="10"/>
        <v>0</v>
      </c>
      <c r="AE21" s="95">
        <f t="shared" si="11"/>
        <v>0</v>
      </c>
      <c r="AF21" s="95"/>
      <c r="AG21" s="16">
        <f t="shared" si="19"/>
        <v>375.17999999999995</v>
      </c>
      <c r="AH21" s="16">
        <f>B21*0.2*0.99876</f>
        <v>124.9049256</v>
      </c>
      <c r="AI21" s="16">
        <f>0.85*B21*0.98525</f>
        <v>523.66530125</v>
      </c>
      <c r="AJ21" s="16">
        <f t="shared" si="12"/>
        <v>94.259754225</v>
      </c>
      <c r="AK21" s="16">
        <f>0.83*B21*0.99</f>
        <v>513.80901</v>
      </c>
      <c r="AL21" s="16">
        <f t="shared" si="13"/>
        <v>92.48562179999999</v>
      </c>
      <c r="AM21" s="16">
        <f>(1.91)*B21*0.9899</f>
        <v>1182.2603376999998</v>
      </c>
      <c r="AN21" s="115">
        <f t="shared" si="14"/>
        <v>212.80686078599996</v>
      </c>
      <c r="AO21" s="115"/>
      <c r="AP21" s="115">
        <f t="shared" si="1"/>
        <v>0</v>
      </c>
      <c r="AQ21" s="109">
        <f>10465.28</f>
        <v>10465.28</v>
      </c>
      <c r="AR21" s="109">
        <f t="shared" si="2"/>
        <v>1883.7504000000001</v>
      </c>
      <c r="AS21" s="128"/>
      <c r="AT21" s="90"/>
      <c r="AU21" s="90">
        <f t="shared" si="15"/>
        <v>0</v>
      </c>
      <c r="AV21" s="129">
        <v>293</v>
      </c>
      <c r="AW21" s="131">
        <v>0.55</v>
      </c>
      <c r="AX21" s="115">
        <f t="shared" si="16"/>
        <v>212.97584000000003</v>
      </c>
      <c r="AY21" s="112"/>
      <c r="AZ21" s="113"/>
      <c r="BA21" s="113">
        <f t="shared" si="17"/>
        <v>0</v>
      </c>
      <c r="BB21" s="113">
        <f>SUM(AG21:BA21)-AV21-AW21</f>
        <v>15681.378051361</v>
      </c>
      <c r="BC21" s="119"/>
      <c r="BD21" s="14">
        <f t="shared" si="3"/>
        <v>-10895.893051361</v>
      </c>
      <c r="BE21" s="30">
        <f t="shared" si="4"/>
        <v>-623.3600000000001</v>
      </c>
    </row>
    <row r="22" spans="1:57" ht="12.75">
      <c r="A22" s="11" t="s">
        <v>53</v>
      </c>
      <c r="B22" s="97">
        <v>625.3</v>
      </c>
      <c r="C22" s="98">
        <f t="shared" si="5"/>
        <v>5408.845</v>
      </c>
      <c r="D22" s="121">
        <f t="shared" si="18"/>
        <v>472.0349999999996</v>
      </c>
      <c r="E22" s="100">
        <v>420.35</v>
      </c>
      <c r="F22" s="100">
        <v>149.41</v>
      </c>
      <c r="G22" s="100">
        <v>569.43</v>
      </c>
      <c r="H22" s="100">
        <v>202.53</v>
      </c>
      <c r="I22" s="100">
        <v>1368.14</v>
      </c>
      <c r="J22" s="100">
        <v>486.38</v>
      </c>
      <c r="K22" s="100">
        <v>947.79</v>
      </c>
      <c r="L22" s="100">
        <v>336.97</v>
      </c>
      <c r="M22" s="100">
        <v>336.29</v>
      </c>
      <c r="N22" s="100">
        <v>119.52</v>
      </c>
      <c r="O22" s="117">
        <v>0</v>
      </c>
      <c r="P22" s="118">
        <v>0</v>
      </c>
      <c r="Q22" s="86">
        <v>0</v>
      </c>
      <c r="R22" s="86">
        <v>0</v>
      </c>
      <c r="S22" s="85">
        <f t="shared" si="6"/>
        <v>3642</v>
      </c>
      <c r="T22" s="101">
        <f t="shared" si="7"/>
        <v>1294.8100000000002</v>
      </c>
      <c r="U22" s="85">
        <v>387.13</v>
      </c>
      <c r="V22" s="85">
        <v>524.37</v>
      </c>
      <c r="W22" s="85">
        <v>1259.95</v>
      </c>
      <c r="X22" s="85">
        <v>872.82</v>
      </c>
      <c r="Y22" s="85">
        <v>309.71</v>
      </c>
      <c r="Z22" s="102">
        <v>0</v>
      </c>
      <c r="AA22" s="102">
        <v>0</v>
      </c>
      <c r="AB22" s="108">
        <f t="shared" si="8"/>
        <v>3353.98</v>
      </c>
      <c r="AC22" s="106">
        <f t="shared" si="9"/>
        <v>5120.825</v>
      </c>
      <c r="AD22" s="95">
        <f t="shared" si="10"/>
        <v>0</v>
      </c>
      <c r="AE22" s="95">
        <f t="shared" si="11"/>
        <v>0</v>
      </c>
      <c r="AF22" s="95"/>
      <c r="AG22" s="16">
        <f t="shared" si="19"/>
        <v>375.17999999999995</v>
      </c>
      <c r="AH22" s="16">
        <f>B22*0.2*0.9996</f>
        <v>125.00997600000001</v>
      </c>
      <c r="AI22" s="16">
        <f>0.85*B22*0.98508</f>
        <v>523.5749453999999</v>
      </c>
      <c r="AJ22" s="16">
        <f t="shared" si="12"/>
        <v>94.24349017199998</v>
      </c>
      <c r="AK22" s="16">
        <f>0.83*B22*0.98981</f>
        <v>513.7104001899999</v>
      </c>
      <c r="AL22" s="16">
        <f t="shared" si="13"/>
        <v>92.46787203419997</v>
      </c>
      <c r="AM22" s="16">
        <f>(1.91)*B22*0.98981</f>
        <v>1182.1528486299999</v>
      </c>
      <c r="AN22" s="115">
        <f t="shared" si="14"/>
        <v>212.78751275339997</v>
      </c>
      <c r="AO22" s="115"/>
      <c r="AP22" s="115">
        <f t="shared" si="1"/>
        <v>0</v>
      </c>
      <c r="AQ22" s="109"/>
      <c r="AR22" s="109">
        <f t="shared" si="2"/>
        <v>0</v>
      </c>
      <c r="AS22" s="128"/>
      <c r="AT22" s="90"/>
      <c r="AU22" s="90">
        <f t="shared" si="15"/>
        <v>0</v>
      </c>
      <c r="AV22" s="129">
        <v>349</v>
      </c>
      <c r="AW22" s="131">
        <v>0.55</v>
      </c>
      <c r="AX22" s="115">
        <f t="shared" si="16"/>
        <v>253.68112000000002</v>
      </c>
      <c r="AY22" s="112"/>
      <c r="AZ22" s="113"/>
      <c r="BA22" s="113">
        <f t="shared" si="17"/>
        <v>0</v>
      </c>
      <c r="BB22" s="113">
        <f>SUM(AG22:BA22)-AV22-AW22</f>
        <v>3372.8081651795997</v>
      </c>
      <c r="BC22" s="119"/>
      <c r="BD22" s="14">
        <f t="shared" si="3"/>
        <v>1748.0168348204002</v>
      </c>
      <c r="BE22" s="30">
        <f t="shared" si="4"/>
        <v>-288.02</v>
      </c>
    </row>
    <row r="23" spans="1:57" ht="12.75">
      <c r="A23" s="11" t="s">
        <v>41</v>
      </c>
      <c r="B23" s="97">
        <v>625.3</v>
      </c>
      <c r="C23" s="122">
        <f t="shared" si="5"/>
        <v>5408.845</v>
      </c>
      <c r="D23" s="121">
        <f t="shared" si="18"/>
        <v>472.0349999999996</v>
      </c>
      <c r="E23" s="87">
        <v>420.35</v>
      </c>
      <c r="F23" s="85">
        <v>149.41</v>
      </c>
      <c r="G23" s="85">
        <v>569.43</v>
      </c>
      <c r="H23" s="85">
        <v>202.53</v>
      </c>
      <c r="I23" s="85">
        <v>1368.14</v>
      </c>
      <c r="J23" s="85">
        <v>486.38</v>
      </c>
      <c r="K23" s="85">
        <v>947.79</v>
      </c>
      <c r="L23" s="85">
        <v>336.97</v>
      </c>
      <c r="M23" s="85">
        <v>336.29</v>
      </c>
      <c r="N23" s="85">
        <v>119.52</v>
      </c>
      <c r="O23" s="85">
        <v>0</v>
      </c>
      <c r="P23" s="102">
        <v>0</v>
      </c>
      <c r="Q23" s="85">
        <v>0</v>
      </c>
      <c r="R23" s="85">
        <v>0</v>
      </c>
      <c r="S23" s="85">
        <f t="shared" si="6"/>
        <v>3642</v>
      </c>
      <c r="T23" s="101">
        <f t="shared" si="7"/>
        <v>1294.8100000000002</v>
      </c>
      <c r="U23" s="88">
        <f>209.93+174.6</f>
        <v>384.53</v>
      </c>
      <c r="V23" s="85">
        <f>284.32+236.59</f>
        <v>520.91</v>
      </c>
      <c r="W23" s="85">
        <f>683.18+568.39</f>
        <v>1251.57</v>
      </c>
      <c r="X23" s="85">
        <f>473.27+393.78</f>
        <v>867.05</v>
      </c>
      <c r="Y23" s="85">
        <f>167.95+139.7</f>
        <v>307.65</v>
      </c>
      <c r="Z23" s="102">
        <v>0</v>
      </c>
      <c r="AA23" s="102">
        <v>0</v>
      </c>
      <c r="AB23" s="102">
        <f>SUM(U23:AA23)</f>
        <v>3331.7099999999996</v>
      </c>
      <c r="AC23" s="106">
        <f>AB23+T23+D23</f>
        <v>5098.554999999999</v>
      </c>
      <c r="AD23" s="95">
        <f t="shared" si="10"/>
        <v>0</v>
      </c>
      <c r="AE23" s="95">
        <f t="shared" si="11"/>
        <v>0</v>
      </c>
      <c r="AF23" s="95"/>
      <c r="AG23" s="16">
        <f t="shared" si="19"/>
        <v>375.17999999999995</v>
      </c>
      <c r="AH23" s="16">
        <f>B23*0.2</f>
        <v>125.06</v>
      </c>
      <c r="AI23" s="16">
        <f>(0.847*B23)</f>
        <v>529.6291</v>
      </c>
      <c r="AJ23" s="16">
        <f t="shared" si="12"/>
        <v>95.333238</v>
      </c>
      <c r="AK23" s="16">
        <f>0.83*B23</f>
        <v>518.9989999999999</v>
      </c>
      <c r="AL23" s="16">
        <f t="shared" si="13"/>
        <v>93.41981999999999</v>
      </c>
      <c r="AM23" s="16">
        <f>(2.25/1.18)*B23</f>
        <v>1192.3093220338983</v>
      </c>
      <c r="AN23" s="16">
        <f t="shared" si="14"/>
        <v>214.61567796610169</v>
      </c>
      <c r="AO23" s="16"/>
      <c r="AP23" s="16">
        <f t="shared" si="1"/>
        <v>0</v>
      </c>
      <c r="AQ23" s="109"/>
      <c r="AR23" s="109">
        <f t="shared" si="2"/>
        <v>0</v>
      </c>
      <c r="AS23" s="90">
        <v>608.23</v>
      </c>
      <c r="AT23" s="90"/>
      <c r="AU23" s="90">
        <f t="shared" si="15"/>
        <v>109.4814</v>
      </c>
      <c r="AV23" s="110">
        <v>425</v>
      </c>
      <c r="AW23" s="125">
        <v>0.55</v>
      </c>
      <c r="AX23" s="16">
        <f t="shared" si="16"/>
        <v>308.9240000000001</v>
      </c>
      <c r="AY23" s="112"/>
      <c r="AZ23" s="126"/>
      <c r="BA23" s="113">
        <f t="shared" si="17"/>
        <v>0</v>
      </c>
      <c r="BB23" s="113">
        <f>SUM(AG23:AU23)+AX23+AY23+AZ23+BA23</f>
        <v>4171.181558</v>
      </c>
      <c r="BC23" s="119"/>
      <c r="BD23" s="14">
        <f t="shared" si="3"/>
        <v>927.3734419999992</v>
      </c>
      <c r="BE23" s="30">
        <f t="shared" si="4"/>
        <v>-310.2900000000004</v>
      </c>
    </row>
    <row r="24" spans="1:57" ht="12.75">
      <c r="A24" s="11" t="s">
        <v>42</v>
      </c>
      <c r="B24" s="133">
        <v>625</v>
      </c>
      <c r="C24" s="122">
        <f t="shared" si="5"/>
        <v>5406.25</v>
      </c>
      <c r="D24" s="121">
        <f t="shared" si="18"/>
        <v>479.0499999999997</v>
      </c>
      <c r="E24" s="100">
        <v>420.05</v>
      </c>
      <c r="F24" s="100">
        <v>149.41</v>
      </c>
      <c r="G24" s="100">
        <v>562.02</v>
      </c>
      <c r="H24" s="100">
        <v>202.53</v>
      </c>
      <c r="I24" s="100">
        <v>1367.16</v>
      </c>
      <c r="J24" s="100">
        <v>486.38</v>
      </c>
      <c r="K24" s="100">
        <v>947.11</v>
      </c>
      <c r="L24" s="100">
        <v>336.97</v>
      </c>
      <c r="M24" s="100">
        <v>336.05</v>
      </c>
      <c r="N24" s="100">
        <v>119.52</v>
      </c>
      <c r="O24" s="100">
        <v>0</v>
      </c>
      <c r="P24" s="107">
        <v>0</v>
      </c>
      <c r="Q24" s="107">
        <v>0</v>
      </c>
      <c r="R24" s="107">
        <v>0</v>
      </c>
      <c r="S24" s="85">
        <f t="shared" si="6"/>
        <v>3632.3900000000003</v>
      </c>
      <c r="T24" s="101">
        <f t="shared" si="7"/>
        <v>1294.8100000000002</v>
      </c>
      <c r="U24" s="85">
        <v>628.13</v>
      </c>
      <c r="V24" s="85">
        <v>850.95</v>
      </c>
      <c r="W24" s="85">
        <v>2044.5</v>
      </c>
      <c r="X24" s="85">
        <v>1416.31</v>
      </c>
      <c r="Y24" s="85">
        <v>502.49</v>
      </c>
      <c r="Z24" s="102">
        <v>0</v>
      </c>
      <c r="AA24" s="102">
        <v>0</v>
      </c>
      <c r="AB24" s="107">
        <f>SUM(U24:AA24)</f>
        <v>5442.379999999999</v>
      </c>
      <c r="AC24" s="106">
        <f>D24+T24+AB24</f>
        <v>7216.239999999999</v>
      </c>
      <c r="AD24" s="95">
        <f t="shared" si="10"/>
        <v>0</v>
      </c>
      <c r="AE24" s="95">
        <f t="shared" si="11"/>
        <v>0</v>
      </c>
      <c r="AF24" s="95"/>
      <c r="AG24" s="16">
        <f t="shared" si="19"/>
        <v>375</v>
      </c>
      <c r="AH24" s="16">
        <f>B24*0.2</f>
        <v>125</v>
      </c>
      <c r="AI24" s="16">
        <f>0.85*B24</f>
        <v>531.25</v>
      </c>
      <c r="AJ24" s="16">
        <f t="shared" si="12"/>
        <v>95.625</v>
      </c>
      <c r="AK24" s="16">
        <f>0.83*B24</f>
        <v>518.75</v>
      </c>
      <c r="AL24" s="16">
        <f t="shared" si="13"/>
        <v>93.375</v>
      </c>
      <c r="AM24" s="16">
        <f>(1.91)*B24</f>
        <v>1193.75</v>
      </c>
      <c r="AN24" s="16">
        <f t="shared" si="14"/>
        <v>214.875</v>
      </c>
      <c r="AO24" s="16"/>
      <c r="AP24" s="16">
        <f t="shared" si="1"/>
        <v>0</v>
      </c>
      <c r="AQ24" s="109"/>
      <c r="AR24" s="109">
        <f t="shared" si="2"/>
        <v>0</v>
      </c>
      <c r="AS24" s="90">
        <v>0</v>
      </c>
      <c r="AT24" s="90">
        <v>135</v>
      </c>
      <c r="AU24" s="90">
        <f t="shared" si="15"/>
        <v>24.3</v>
      </c>
      <c r="AV24" s="110">
        <v>470</v>
      </c>
      <c r="AW24" s="125">
        <v>0.55</v>
      </c>
      <c r="AX24" s="16">
        <f t="shared" si="16"/>
        <v>341.6336</v>
      </c>
      <c r="AY24" s="112"/>
      <c r="AZ24" s="113"/>
      <c r="BA24" s="113">
        <f t="shared" si="17"/>
        <v>0</v>
      </c>
      <c r="BB24" s="113">
        <f>SUM(AG24:AU24)+AX24+AY24+AZ24+BA24</f>
        <v>3648.5586000000003</v>
      </c>
      <c r="BC24" s="123"/>
      <c r="BD24" s="14">
        <f t="shared" si="3"/>
        <v>3567.6813999999986</v>
      </c>
      <c r="BE24" s="30">
        <f t="shared" si="4"/>
        <v>1809.9899999999989</v>
      </c>
    </row>
    <row r="25" spans="1:57" ht="12.75">
      <c r="A25" s="11" t="s">
        <v>43</v>
      </c>
      <c r="B25" s="97">
        <v>625</v>
      </c>
      <c r="C25" s="122">
        <f t="shared" si="5"/>
        <v>5406.25</v>
      </c>
      <c r="D25" s="121">
        <f t="shared" si="18"/>
        <v>472.04999999999995</v>
      </c>
      <c r="E25" s="100">
        <v>420.05</v>
      </c>
      <c r="F25" s="100">
        <v>149.41</v>
      </c>
      <c r="G25" s="100">
        <v>569.02</v>
      </c>
      <c r="H25" s="100">
        <v>202.53</v>
      </c>
      <c r="I25" s="100">
        <v>1367.15</v>
      </c>
      <c r="J25" s="100">
        <v>486.38</v>
      </c>
      <c r="K25" s="100">
        <v>947.11</v>
      </c>
      <c r="L25" s="100">
        <v>336.97</v>
      </c>
      <c r="M25" s="100">
        <v>336.06</v>
      </c>
      <c r="N25" s="100">
        <v>119.52</v>
      </c>
      <c r="O25" s="100">
        <v>0</v>
      </c>
      <c r="P25" s="107">
        <v>0</v>
      </c>
      <c r="Q25" s="107"/>
      <c r="R25" s="107"/>
      <c r="S25" s="85">
        <f t="shared" si="6"/>
        <v>3639.3900000000003</v>
      </c>
      <c r="T25" s="101">
        <f t="shared" si="7"/>
        <v>1294.8100000000002</v>
      </c>
      <c r="U25" s="85">
        <v>433.6</v>
      </c>
      <c r="V25" s="85">
        <v>587.31</v>
      </c>
      <c r="W25" s="85">
        <v>1411.19</v>
      </c>
      <c r="X25" s="85">
        <v>977.64</v>
      </c>
      <c r="Y25" s="85">
        <v>346.9</v>
      </c>
      <c r="Z25" s="102">
        <v>0</v>
      </c>
      <c r="AA25" s="102">
        <v>0</v>
      </c>
      <c r="AB25" s="107">
        <f>SUM(U25:AA25)</f>
        <v>3756.64</v>
      </c>
      <c r="AC25" s="106">
        <f>D25+T25+AB25</f>
        <v>5523.5</v>
      </c>
      <c r="AD25" s="95">
        <f t="shared" si="10"/>
        <v>0</v>
      </c>
      <c r="AE25" s="95">
        <f t="shared" si="11"/>
        <v>0</v>
      </c>
      <c r="AF25" s="95"/>
      <c r="AG25" s="16">
        <f t="shared" si="19"/>
        <v>375</v>
      </c>
      <c r="AH25" s="16">
        <f>B25*0.2</f>
        <v>125</v>
      </c>
      <c r="AI25" s="16">
        <f>0.85*B25</f>
        <v>531.25</v>
      </c>
      <c r="AJ25" s="16">
        <f t="shared" si="12"/>
        <v>95.625</v>
      </c>
      <c r="AK25" s="16">
        <f>0.83*B25</f>
        <v>518.75</v>
      </c>
      <c r="AL25" s="16">
        <f t="shared" si="13"/>
        <v>93.375</v>
      </c>
      <c r="AM25" s="16">
        <f>(1.91)*B25</f>
        <v>1193.75</v>
      </c>
      <c r="AN25" s="16">
        <f t="shared" si="14"/>
        <v>214.875</v>
      </c>
      <c r="AO25" s="16"/>
      <c r="AP25" s="16">
        <f t="shared" si="1"/>
        <v>0</v>
      </c>
      <c r="AQ25" s="109"/>
      <c r="AR25" s="109">
        <f t="shared" si="2"/>
        <v>0</v>
      </c>
      <c r="AS25" s="90">
        <v>0</v>
      </c>
      <c r="AT25" s="90">
        <f>1674+15000</f>
        <v>16674</v>
      </c>
      <c r="AU25" s="90">
        <f t="shared" si="15"/>
        <v>3001.3199999999997</v>
      </c>
      <c r="AV25" s="110">
        <v>514</v>
      </c>
      <c r="AW25" s="125">
        <v>0.55</v>
      </c>
      <c r="AX25" s="16">
        <f t="shared" si="16"/>
        <v>373.6163200000001</v>
      </c>
      <c r="AY25" s="112"/>
      <c r="AZ25" s="113"/>
      <c r="BA25" s="113">
        <f t="shared" si="17"/>
        <v>0</v>
      </c>
      <c r="BB25" s="113">
        <f>SUM(AG25:BA25)-AV25-AW25</f>
        <v>23196.56132</v>
      </c>
      <c r="BC25" s="123"/>
      <c r="BD25" s="14">
        <f>AC25+AF25-BB25-BC25</f>
        <v>-17673.06132</v>
      </c>
      <c r="BE25" s="30">
        <f t="shared" si="4"/>
        <v>117.24999999999955</v>
      </c>
    </row>
    <row r="26" spans="1:57" s="20" customFormat="1" ht="12.75">
      <c r="A26" s="17" t="s">
        <v>5</v>
      </c>
      <c r="B26" s="60"/>
      <c r="C26" s="60">
        <f aca="true" t="shared" si="20" ref="C26:BC26">SUM(C14:C25)</f>
        <v>64900.950000000004</v>
      </c>
      <c r="D26" s="60">
        <f t="shared" si="20"/>
        <v>6492.0925</v>
      </c>
      <c r="E26" s="57">
        <f t="shared" si="20"/>
        <v>4883.09</v>
      </c>
      <c r="F26" s="57">
        <f t="shared" si="20"/>
        <v>1726.4800000000002</v>
      </c>
      <c r="G26" s="57">
        <f t="shared" si="20"/>
        <v>6600.85</v>
      </c>
      <c r="H26" s="57">
        <f t="shared" si="20"/>
        <v>2337.4</v>
      </c>
      <c r="I26" s="57">
        <f t="shared" si="20"/>
        <v>15886.109999999999</v>
      </c>
      <c r="J26" s="57">
        <f t="shared" si="20"/>
        <v>5617.4800000000005</v>
      </c>
      <c r="K26" s="57">
        <f t="shared" si="20"/>
        <v>11003.010000000002</v>
      </c>
      <c r="L26" s="57">
        <f t="shared" si="20"/>
        <v>3891.000000000001</v>
      </c>
      <c r="M26" s="57">
        <f t="shared" si="20"/>
        <v>3906.58</v>
      </c>
      <c r="N26" s="57">
        <f t="shared" si="20"/>
        <v>1381.12</v>
      </c>
      <c r="O26" s="57">
        <f t="shared" si="20"/>
        <v>0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7">
        <f t="shared" si="20"/>
        <v>42279.64</v>
      </c>
      <c r="T26" s="57">
        <f t="shared" si="20"/>
        <v>14953.479999999998</v>
      </c>
      <c r="U26" s="61">
        <f t="shared" si="20"/>
        <v>4903.530000000001</v>
      </c>
      <c r="V26" s="61">
        <f t="shared" si="20"/>
        <v>6633.629999999999</v>
      </c>
      <c r="W26" s="61">
        <f t="shared" si="20"/>
        <v>15949.79</v>
      </c>
      <c r="X26" s="61">
        <f t="shared" si="20"/>
        <v>11047.099999999999</v>
      </c>
      <c r="Y26" s="61">
        <f t="shared" si="20"/>
        <v>3922.9200000000005</v>
      </c>
      <c r="Z26" s="61">
        <f t="shared" si="20"/>
        <v>0</v>
      </c>
      <c r="AA26" s="61">
        <f t="shared" si="20"/>
        <v>0</v>
      </c>
      <c r="AB26" s="61">
        <f t="shared" si="20"/>
        <v>42456.969999999994</v>
      </c>
      <c r="AC26" s="61">
        <f t="shared" si="20"/>
        <v>63902.542499999996</v>
      </c>
      <c r="AD26" s="61">
        <f t="shared" si="20"/>
        <v>0</v>
      </c>
      <c r="AE26" s="93">
        <f t="shared" si="20"/>
        <v>0</v>
      </c>
      <c r="AF26" s="93">
        <f t="shared" si="20"/>
        <v>0</v>
      </c>
      <c r="AG26" s="18">
        <f t="shared" si="20"/>
        <v>4351.727999999999</v>
      </c>
      <c r="AH26" s="18">
        <f t="shared" si="20"/>
        <v>1456.9390576</v>
      </c>
      <c r="AI26" s="18">
        <f t="shared" si="20"/>
        <v>6083.13969315</v>
      </c>
      <c r="AJ26" s="18">
        <f t="shared" si="20"/>
        <v>1094.965144767</v>
      </c>
      <c r="AK26" s="18">
        <f t="shared" si="20"/>
        <v>5913.604594789999</v>
      </c>
      <c r="AL26" s="18">
        <f t="shared" si="20"/>
        <v>1064.4488270621998</v>
      </c>
      <c r="AM26" s="18">
        <f t="shared" si="20"/>
        <v>13606.043417963896</v>
      </c>
      <c r="AN26" s="18">
        <f t="shared" si="20"/>
        <v>2449.0878152335017</v>
      </c>
      <c r="AO26" s="18">
        <f t="shared" si="20"/>
        <v>0</v>
      </c>
      <c r="AP26" s="18">
        <f t="shared" si="20"/>
        <v>0</v>
      </c>
      <c r="AQ26" s="18">
        <f>SUM(AQ14:AQ25)</f>
        <v>33365.270000000004</v>
      </c>
      <c r="AR26" s="18">
        <f>SUM(AR14:AR25)</f>
        <v>6005.7486</v>
      </c>
      <c r="AS26" s="18">
        <f>SUM(AS14:AS25)</f>
        <v>3618.23</v>
      </c>
      <c r="AT26" s="18">
        <f>SUM(AT14:AT25)</f>
        <v>16809</v>
      </c>
      <c r="AU26" s="18">
        <f>SUM(AU14:AU25)</f>
        <v>3676.9113999999995</v>
      </c>
      <c r="AV26" s="18"/>
      <c r="AW26" s="18"/>
      <c r="AX26" s="18">
        <f t="shared" si="20"/>
        <v>3198.272000000001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102693.3885505666</v>
      </c>
      <c r="BC26" s="18">
        <f t="shared" si="20"/>
        <v>0</v>
      </c>
      <c r="BD26" s="18">
        <f>SUM(BD14:BD25)</f>
        <v>-38790.8460505666</v>
      </c>
      <c r="BE26" s="19">
        <f>SUM(BE14:BE25)</f>
        <v>177.3299999999981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4"/>
      <c r="AD27" s="94"/>
      <c r="AE27" s="95"/>
      <c r="AF27" s="95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9"/>
      <c r="AT27" s="89"/>
      <c r="AU27" s="90"/>
      <c r="AV27" s="90"/>
      <c r="AW27" s="90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81127.485</v>
      </c>
      <c r="D28" s="23">
        <f>D12+D26</f>
        <v>10397.87356295</v>
      </c>
      <c r="E28" s="50">
        <f aca="true" t="shared" si="21" ref="E28:BC28">E12+E26</f>
        <v>6020.33</v>
      </c>
      <c r="F28" s="50">
        <f t="shared" si="21"/>
        <v>2124.88</v>
      </c>
      <c r="G28" s="50">
        <f t="shared" si="21"/>
        <v>8136.13</v>
      </c>
      <c r="H28" s="50">
        <f t="shared" si="21"/>
        <v>2875.27</v>
      </c>
      <c r="I28" s="50">
        <f t="shared" si="21"/>
        <v>19582.149999999998</v>
      </c>
      <c r="J28" s="50">
        <f t="shared" si="21"/>
        <v>6912.31</v>
      </c>
      <c r="K28" s="50">
        <f t="shared" si="21"/>
        <v>13561.810000000001</v>
      </c>
      <c r="L28" s="50">
        <f t="shared" si="21"/>
        <v>4787.430000000001</v>
      </c>
      <c r="M28" s="50">
        <f t="shared" si="21"/>
        <v>4816.38</v>
      </c>
      <c r="N28" s="50">
        <f>N12+N26</f>
        <v>1699.84</v>
      </c>
      <c r="O28" s="50">
        <f t="shared" si="21"/>
        <v>0</v>
      </c>
      <c r="P28" s="50">
        <f t="shared" si="21"/>
        <v>0</v>
      </c>
      <c r="Q28" s="50">
        <f t="shared" si="21"/>
        <v>0</v>
      </c>
      <c r="R28" s="50">
        <f t="shared" si="21"/>
        <v>0</v>
      </c>
      <c r="S28" s="50">
        <f t="shared" si="21"/>
        <v>52116.8</v>
      </c>
      <c r="T28" s="50">
        <f t="shared" si="21"/>
        <v>18399.729999999996</v>
      </c>
      <c r="U28" s="53">
        <f t="shared" si="21"/>
        <v>5629.530000000001</v>
      </c>
      <c r="V28" s="53">
        <f t="shared" si="21"/>
        <v>7613.709999999999</v>
      </c>
      <c r="W28" s="53">
        <f t="shared" si="21"/>
        <v>18310.18</v>
      </c>
      <c r="X28" s="53">
        <f t="shared" si="21"/>
        <v>12680.619999999999</v>
      </c>
      <c r="Y28" s="53">
        <f t="shared" si="21"/>
        <v>4503.7300000000005</v>
      </c>
      <c r="Z28" s="53">
        <f t="shared" si="21"/>
        <v>0</v>
      </c>
      <c r="AA28" s="53">
        <f t="shared" si="21"/>
        <v>0</v>
      </c>
      <c r="AB28" s="53">
        <f t="shared" si="21"/>
        <v>48737.76999999999</v>
      </c>
      <c r="AC28" s="53">
        <f t="shared" si="21"/>
        <v>77535.37356295</v>
      </c>
      <c r="AD28" s="53">
        <f t="shared" si="21"/>
        <v>0</v>
      </c>
      <c r="AE28" s="53">
        <f>AE12+AE26</f>
        <v>0</v>
      </c>
      <c r="AF28" s="53">
        <f t="shared" si="21"/>
        <v>0</v>
      </c>
      <c r="AG28" s="23">
        <f t="shared" si="21"/>
        <v>5477.267999999999</v>
      </c>
      <c r="AH28" s="23">
        <f t="shared" si="21"/>
        <v>1843.1868676000001</v>
      </c>
      <c r="AI28" s="23">
        <f t="shared" si="21"/>
        <v>7679.4805691500005</v>
      </c>
      <c r="AJ28" s="23">
        <f t="shared" si="21"/>
        <v>1382.3065024470002</v>
      </c>
      <c r="AK28" s="23">
        <f t="shared" si="21"/>
        <v>7771.240332149999</v>
      </c>
      <c r="AL28" s="23">
        <f t="shared" si="21"/>
        <v>1398.8232597869996</v>
      </c>
      <c r="AM28" s="23">
        <f t="shared" si="21"/>
        <v>17017.662897153896</v>
      </c>
      <c r="AN28" s="23">
        <f t="shared" si="21"/>
        <v>3063.1793214877016</v>
      </c>
      <c r="AO28" s="23">
        <f t="shared" si="21"/>
        <v>0</v>
      </c>
      <c r="AP28" s="23">
        <f t="shared" si="21"/>
        <v>0</v>
      </c>
      <c r="AQ28" s="23">
        <f t="shared" si="21"/>
        <v>33365.270000000004</v>
      </c>
      <c r="AR28" s="23">
        <f t="shared" si="21"/>
        <v>6005.7486</v>
      </c>
      <c r="AS28" s="23">
        <f t="shared" si="21"/>
        <v>6824.16</v>
      </c>
      <c r="AT28" s="23">
        <f t="shared" si="21"/>
        <v>16809</v>
      </c>
      <c r="AU28" s="23">
        <f t="shared" si="21"/>
        <v>4253.978799999999</v>
      </c>
      <c r="AV28" s="23"/>
      <c r="AW28" s="23"/>
      <c r="AX28" s="23">
        <f t="shared" si="21"/>
        <v>3198.272000000001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116089.57714977559</v>
      </c>
      <c r="BC28" s="23">
        <f t="shared" si="21"/>
        <v>0</v>
      </c>
      <c r="BD28" s="23">
        <f>BD12+BD26</f>
        <v>-38554.2035868256</v>
      </c>
      <c r="BE28" s="24">
        <f>BE12+BE26</f>
        <v>-3379.0300000000016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1"/>
      <c r="AD29" s="91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7">
        <v>625</v>
      </c>
      <c r="C30" s="122">
        <f aca="true" t="shared" si="22" ref="C30:C41">B30*8.65</f>
        <v>5406.25</v>
      </c>
      <c r="D30" s="121">
        <f>C30-E30-F30-G30-H30-I30-J30-K30-L30-M30-N30</f>
        <v>472.0499999999997</v>
      </c>
      <c r="E30" s="100">
        <v>420.05</v>
      </c>
      <c r="F30" s="100">
        <v>149.41</v>
      </c>
      <c r="G30" s="100">
        <v>569.02</v>
      </c>
      <c r="H30" s="100">
        <v>202.53</v>
      </c>
      <c r="I30" s="100">
        <v>1367.16</v>
      </c>
      <c r="J30" s="100">
        <v>486.38</v>
      </c>
      <c r="K30" s="100">
        <v>947.11</v>
      </c>
      <c r="L30" s="100">
        <v>336.97</v>
      </c>
      <c r="M30" s="100">
        <v>336.05</v>
      </c>
      <c r="N30" s="100">
        <v>119.52</v>
      </c>
      <c r="O30" s="100">
        <v>0</v>
      </c>
      <c r="P30" s="107">
        <v>0</v>
      </c>
      <c r="Q30" s="107"/>
      <c r="R30" s="107"/>
      <c r="S30" s="85">
        <f aca="true" t="shared" si="23" ref="S30:S41">E30+G30+I30+K30+M30+O30+Q30</f>
        <v>3639.3900000000003</v>
      </c>
      <c r="T30" s="101">
        <f aca="true" t="shared" si="24" ref="T30:T41">P30+N30+L30+J30+H30+F30+R30</f>
        <v>1294.8100000000002</v>
      </c>
      <c r="U30" s="85">
        <v>365.72</v>
      </c>
      <c r="V30" s="85">
        <v>495.44</v>
      </c>
      <c r="W30" s="85">
        <v>1190.33</v>
      </c>
      <c r="X30" s="85">
        <v>824.62</v>
      </c>
      <c r="Y30" s="85">
        <v>292.59</v>
      </c>
      <c r="Z30" s="102">
        <v>0</v>
      </c>
      <c r="AA30" s="102">
        <v>0</v>
      </c>
      <c r="AB30" s="107">
        <f>SUM(U30:AA30)</f>
        <v>3168.7</v>
      </c>
      <c r="AC30" s="106">
        <f aca="true" t="shared" si="25" ref="AC30:AC41">D30+T30+AB30</f>
        <v>4935.5599999999995</v>
      </c>
      <c r="AD30" s="95">
        <f aca="true" t="shared" si="26" ref="AD30:AD41">P30+Z30</f>
        <v>0</v>
      </c>
      <c r="AE30" s="95">
        <f aca="true" t="shared" si="27" ref="AE30:AE41">R30+AA30</f>
        <v>0</v>
      </c>
      <c r="AF30" s="95"/>
      <c r="AG30" s="16">
        <f aca="true" t="shared" si="28" ref="AG30:AG41">0.6*B30</f>
        <v>375</v>
      </c>
      <c r="AH30" s="16">
        <f aca="true" t="shared" si="29" ref="AH30:AH41">B30*0.2</f>
        <v>125</v>
      </c>
      <c r="AI30" s="16">
        <f aca="true" t="shared" si="30" ref="AI30:AI41">1*B30</f>
        <v>625</v>
      </c>
      <c r="AJ30" s="16">
        <v>0</v>
      </c>
      <c r="AK30" s="16">
        <f aca="true" t="shared" si="31" ref="AK30:AK41">0.98*B30</f>
        <v>612.5</v>
      </c>
      <c r="AL30" s="16">
        <v>0</v>
      </c>
      <c r="AM30" s="16">
        <f aca="true" t="shared" si="32" ref="AM30:AM41">2.25*B30</f>
        <v>1406.25</v>
      </c>
      <c r="AN30" s="16">
        <v>0</v>
      </c>
      <c r="AO30" s="16"/>
      <c r="AP30" s="16">
        <v>0</v>
      </c>
      <c r="AR30" s="109"/>
      <c r="AS30" s="90">
        <f>998</f>
        <v>998</v>
      </c>
      <c r="AT30" s="109">
        <v>15000</v>
      </c>
      <c r="AU30" s="151">
        <f>AT30*0</f>
        <v>0</v>
      </c>
      <c r="AV30" s="110">
        <v>508</v>
      </c>
      <c r="AW30" s="125">
        <v>0.55</v>
      </c>
      <c r="AX30" s="134">
        <f aca="true" t="shared" si="33" ref="AX30:AX40">AV30*AW30*1.4</f>
        <v>391.16</v>
      </c>
      <c r="AY30" s="112"/>
      <c r="AZ30" s="113"/>
      <c r="BA30" s="113">
        <f aca="true" t="shared" si="34" ref="BA30:BA37">AZ30*0.18</f>
        <v>0</v>
      </c>
      <c r="BB30" s="113">
        <f aca="true" t="shared" si="35" ref="BB30:BB41">SUM(AG30:BA30)-AV30-AW30</f>
        <v>19532.91</v>
      </c>
      <c r="BC30" s="123"/>
      <c r="BD30" s="14">
        <f>AC30+AF30-BB30-BC30</f>
        <v>-14597.35</v>
      </c>
      <c r="BE30" s="30">
        <f>AB30-S30</f>
        <v>-470.6900000000005</v>
      </c>
    </row>
    <row r="31" spans="1:57" ht="12.75">
      <c r="A31" s="11" t="s">
        <v>46</v>
      </c>
      <c r="B31" s="140">
        <v>625</v>
      </c>
      <c r="C31" s="122">
        <f t="shared" si="22"/>
        <v>5406.25</v>
      </c>
      <c r="D31" s="137">
        <f>C31-E31-F31-G31-H31-I31-J31-K31-L31-M31-N31+123030</f>
        <v>123502.05</v>
      </c>
      <c r="E31" s="141">
        <v>420.05</v>
      </c>
      <c r="F31" s="142">
        <v>149.41</v>
      </c>
      <c r="G31" s="142">
        <v>569.02</v>
      </c>
      <c r="H31" s="142">
        <v>202.53</v>
      </c>
      <c r="I31" s="142">
        <v>1367.16</v>
      </c>
      <c r="J31" s="142">
        <v>486.38</v>
      </c>
      <c r="K31" s="142">
        <v>947.11</v>
      </c>
      <c r="L31" s="142">
        <v>336.97</v>
      </c>
      <c r="M31" s="142">
        <v>336.05</v>
      </c>
      <c r="N31" s="142">
        <v>119.52</v>
      </c>
      <c r="O31" s="142">
        <v>0</v>
      </c>
      <c r="P31" s="143">
        <v>0</v>
      </c>
      <c r="Q31" s="144">
        <v>0</v>
      </c>
      <c r="R31" s="144">
        <v>0</v>
      </c>
      <c r="S31" s="145">
        <f t="shared" si="23"/>
        <v>3639.3900000000003</v>
      </c>
      <c r="T31" s="146">
        <f t="shared" si="24"/>
        <v>1294.8100000000002</v>
      </c>
      <c r="U31" s="145">
        <v>431.48</v>
      </c>
      <c r="V31" s="145">
        <v>584.51</v>
      </c>
      <c r="W31" s="145">
        <v>1404.37</v>
      </c>
      <c r="X31" s="145">
        <v>972.86</v>
      </c>
      <c r="Y31" s="145">
        <v>345.2</v>
      </c>
      <c r="Z31" s="144">
        <v>0</v>
      </c>
      <c r="AA31" s="144">
        <v>0</v>
      </c>
      <c r="AB31" s="143">
        <f>SUM(U31:AA31)</f>
        <v>3738.4199999999996</v>
      </c>
      <c r="AC31" s="147">
        <f t="shared" si="25"/>
        <v>128535.28</v>
      </c>
      <c r="AD31" s="148">
        <f t="shared" si="26"/>
        <v>0</v>
      </c>
      <c r="AE31" s="148">
        <f t="shared" si="27"/>
        <v>0</v>
      </c>
      <c r="AF31" s="148"/>
      <c r="AG31" s="149">
        <f t="shared" si="28"/>
        <v>375</v>
      </c>
      <c r="AH31" s="149">
        <f t="shared" si="29"/>
        <v>125</v>
      </c>
      <c r="AI31" s="149">
        <f t="shared" si="30"/>
        <v>625</v>
      </c>
      <c r="AJ31" s="149">
        <v>0</v>
      </c>
      <c r="AK31" s="149">
        <f t="shared" si="31"/>
        <v>612.5</v>
      </c>
      <c r="AL31" s="149">
        <v>0</v>
      </c>
      <c r="AM31" s="149">
        <f t="shared" si="32"/>
        <v>1406.25</v>
      </c>
      <c r="AN31" s="149">
        <v>0</v>
      </c>
      <c r="AO31" s="149"/>
      <c r="AP31" s="149"/>
      <c r="AQ31" s="150"/>
      <c r="AR31" s="150"/>
      <c r="AS31" s="151">
        <v>262</v>
      </c>
      <c r="AT31" s="256">
        <v>123030</v>
      </c>
      <c r="AU31" s="151">
        <f>AT31*0</f>
        <v>0</v>
      </c>
      <c r="AV31" s="152">
        <v>407</v>
      </c>
      <c r="AW31" s="153">
        <v>0.55</v>
      </c>
      <c r="AX31" s="149">
        <f t="shared" si="33"/>
        <v>313.39</v>
      </c>
      <c r="AY31" s="112"/>
      <c r="AZ31" s="154"/>
      <c r="BA31" s="154">
        <f t="shared" si="34"/>
        <v>0</v>
      </c>
      <c r="BB31" s="113">
        <f t="shared" si="35"/>
        <v>126749.14</v>
      </c>
      <c r="BC31" s="155"/>
      <c r="BD31" s="14">
        <f aca="true" t="shared" si="36" ref="BD31:BD41">AC31+AF31-BB31-BC31</f>
        <v>1786.1399999999994</v>
      </c>
      <c r="BE31" s="30">
        <f aca="true" t="shared" si="37" ref="BE31:BE41">AB31-S31</f>
        <v>99.02999999999929</v>
      </c>
    </row>
    <row r="32" spans="1:57" ht="12.75">
      <c r="A32" s="11" t="s">
        <v>47</v>
      </c>
      <c r="B32" s="156">
        <v>625</v>
      </c>
      <c r="C32" s="122">
        <f t="shared" si="22"/>
        <v>5406.25</v>
      </c>
      <c r="D32" s="121">
        <f aca="true" t="shared" si="38" ref="D32:D41">C32-E32-F32-G32-H32-I32-J32-K32-L32-M32-N32</f>
        <v>467.36999999999944</v>
      </c>
      <c r="E32" s="142">
        <v>420.6</v>
      </c>
      <c r="F32" s="142">
        <v>149.41</v>
      </c>
      <c r="G32" s="142">
        <v>569.74</v>
      </c>
      <c r="H32" s="142">
        <v>202.53</v>
      </c>
      <c r="I32" s="142">
        <v>1368.92</v>
      </c>
      <c r="J32" s="142">
        <v>486.38</v>
      </c>
      <c r="K32" s="142">
        <v>948.32</v>
      </c>
      <c r="L32" s="142">
        <v>336.97</v>
      </c>
      <c r="M32" s="142">
        <v>336.49</v>
      </c>
      <c r="N32" s="142">
        <v>119.52</v>
      </c>
      <c r="O32" s="142">
        <v>0</v>
      </c>
      <c r="P32" s="143">
        <v>0</v>
      </c>
      <c r="Q32" s="143">
        <v>0</v>
      </c>
      <c r="R32" s="143">
        <v>0</v>
      </c>
      <c r="S32" s="145">
        <f t="shared" si="23"/>
        <v>3644.0700000000006</v>
      </c>
      <c r="T32" s="146">
        <f t="shared" si="24"/>
        <v>1294.8100000000002</v>
      </c>
      <c r="U32" s="145">
        <v>346.34</v>
      </c>
      <c r="V32" s="145">
        <v>469.07</v>
      </c>
      <c r="W32" s="145">
        <v>1127.14</v>
      </c>
      <c r="X32" s="145">
        <v>780.79</v>
      </c>
      <c r="Y32" s="145">
        <v>277.08</v>
      </c>
      <c r="Z32" s="144">
        <v>0</v>
      </c>
      <c r="AA32" s="144">
        <v>0</v>
      </c>
      <c r="AB32" s="143">
        <f>SUM(U32:AA32)</f>
        <v>3000.42</v>
      </c>
      <c r="AC32" s="147">
        <f t="shared" si="25"/>
        <v>4762.599999999999</v>
      </c>
      <c r="AD32" s="148">
        <f t="shared" si="26"/>
        <v>0</v>
      </c>
      <c r="AE32" s="148">
        <f t="shared" si="27"/>
        <v>0</v>
      </c>
      <c r="AF32" s="148"/>
      <c r="AG32" s="149">
        <f t="shared" si="28"/>
        <v>375</v>
      </c>
      <c r="AH32" s="149">
        <f t="shared" si="29"/>
        <v>125</v>
      </c>
      <c r="AI32" s="149">
        <f t="shared" si="30"/>
        <v>625</v>
      </c>
      <c r="AJ32" s="149">
        <v>0</v>
      </c>
      <c r="AK32" s="149">
        <f t="shared" si="31"/>
        <v>612.5</v>
      </c>
      <c r="AL32" s="149">
        <v>0</v>
      </c>
      <c r="AM32" s="149">
        <f t="shared" si="32"/>
        <v>1406.25</v>
      </c>
      <c r="AN32" s="149">
        <v>0</v>
      </c>
      <c r="AO32" s="149"/>
      <c r="AP32" s="149"/>
      <c r="AR32" s="150"/>
      <c r="AS32" s="151">
        <v>13357</v>
      </c>
      <c r="AT32" s="150">
        <v>1392</v>
      </c>
      <c r="AU32" s="151">
        <f>AT32*0</f>
        <v>0</v>
      </c>
      <c r="AV32" s="152">
        <v>383</v>
      </c>
      <c r="AW32" s="153">
        <v>0.55</v>
      </c>
      <c r="AX32" s="149">
        <f t="shared" si="33"/>
        <v>294.90999999999997</v>
      </c>
      <c r="AY32" s="112"/>
      <c r="AZ32" s="154"/>
      <c r="BA32" s="154">
        <f t="shared" si="34"/>
        <v>0</v>
      </c>
      <c r="BB32" s="113">
        <f t="shared" si="35"/>
        <v>18187.66</v>
      </c>
      <c r="BC32" s="155"/>
      <c r="BD32" s="14">
        <f t="shared" si="36"/>
        <v>-13425.060000000001</v>
      </c>
      <c r="BE32" s="30">
        <f t="shared" si="37"/>
        <v>-643.6500000000005</v>
      </c>
    </row>
    <row r="33" spans="1:57" ht="12.75">
      <c r="A33" s="11" t="s">
        <v>48</v>
      </c>
      <c r="B33" s="156">
        <v>625</v>
      </c>
      <c r="C33" s="122">
        <f t="shared" si="22"/>
        <v>5406.25</v>
      </c>
      <c r="D33" s="121">
        <f t="shared" si="38"/>
        <v>468.5999999999991</v>
      </c>
      <c r="E33" s="142">
        <v>420.46</v>
      </c>
      <c r="F33" s="142">
        <v>149.41</v>
      </c>
      <c r="G33" s="142">
        <v>569.56</v>
      </c>
      <c r="H33" s="142">
        <v>202.53</v>
      </c>
      <c r="I33" s="142">
        <v>1368.45</v>
      </c>
      <c r="J33" s="142">
        <v>486.38</v>
      </c>
      <c r="K33" s="142">
        <v>948</v>
      </c>
      <c r="L33" s="142">
        <v>336.97</v>
      </c>
      <c r="M33" s="142">
        <v>336.37</v>
      </c>
      <c r="N33" s="142">
        <v>119.52</v>
      </c>
      <c r="O33" s="142">
        <v>0</v>
      </c>
      <c r="P33" s="143">
        <v>0</v>
      </c>
      <c r="Q33" s="143"/>
      <c r="R33" s="143"/>
      <c r="S33" s="145">
        <f t="shared" si="23"/>
        <v>3642.84</v>
      </c>
      <c r="T33" s="146">
        <f t="shared" si="24"/>
        <v>1294.8100000000002</v>
      </c>
      <c r="U33" s="145">
        <v>396.65</v>
      </c>
      <c r="V33" s="145">
        <v>535.49</v>
      </c>
      <c r="W33" s="145">
        <v>1289.15</v>
      </c>
      <c r="X33" s="145">
        <v>892.49</v>
      </c>
      <c r="Y33" s="145">
        <v>317.33</v>
      </c>
      <c r="Z33" s="144">
        <v>0</v>
      </c>
      <c r="AA33" s="144">
        <v>0</v>
      </c>
      <c r="AB33" s="143">
        <f>SUM(U33:AA33)</f>
        <v>3431.1099999999997</v>
      </c>
      <c r="AC33" s="147">
        <f t="shared" si="25"/>
        <v>5194.519999999999</v>
      </c>
      <c r="AD33" s="148">
        <f t="shared" si="26"/>
        <v>0</v>
      </c>
      <c r="AE33" s="148">
        <f t="shared" si="27"/>
        <v>0</v>
      </c>
      <c r="AF33" s="148"/>
      <c r="AG33" s="149">
        <f t="shared" si="28"/>
        <v>375</v>
      </c>
      <c r="AH33" s="149">
        <f t="shared" si="29"/>
        <v>125</v>
      </c>
      <c r="AI33" s="149">
        <f t="shared" si="30"/>
        <v>625</v>
      </c>
      <c r="AJ33" s="149">
        <v>0</v>
      </c>
      <c r="AK33" s="149">
        <f t="shared" si="31"/>
        <v>612.5</v>
      </c>
      <c r="AL33" s="149">
        <v>0</v>
      </c>
      <c r="AM33" s="149">
        <f t="shared" si="32"/>
        <v>1406.25</v>
      </c>
      <c r="AN33" s="149">
        <v>0</v>
      </c>
      <c r="AO33" s="149"/>
      <c r="AP33" s="149"/>
      <c r="AQ33" s="150"/>
      <c r="AR33" s="150"/>
      <c r="AS33" s="151">
        <v>98</v>
      </c>
      <c r="AT33" s="151"/>
      <c r="AU33" s="151">
        <f>AT33*0</f>
        <v>0</v>
      </c>
      <c r="AV33" s="152">
        <v>307</v>
      </c>
      <c r="AW33" s="153">
        <v>0.55</v>
      </c>
      <c r="AX33" s="149">
        <f t="shared" si="33"/>
        <v>236.39000000000001</v>
      </c>
      <c r="AY33" s="112"/>
      <c r="AZ33" s="154"/>
      <c r="BA33" s="154">
        <f t="shared" si="34"/>
        <v>0</v>
      </c>
      <c r="BB33" s="113">
        <f t="shared" si="35"/>
        <v>3478.14</v>
      </c>
      <c r="BC33" s="155"/>
      <c r="BD33" s="14">
        <f t="shared" si="36"/>
        <v>1716.3799999999987</v>
      </c>
      <c r="BE33" s="30">
        <f t="shared" si="37"/>
        <v>-211.73000000000047</v>
      </c>
    </row>
    <row r="34" spans="1:57" ht="12.75">
      <c r="A34" s="11" t="s">
        <v>49</v>
      </c>
      <c r="B34" s="156">
        <v>625</v>
      </c>
      <c r="C34" s="122">
        <f t="shared" si="22"/>
        <v>5406.25</v>
      </c>
      <c r="D34" s="121">
        <f t="shared" si="38"/>
        <v>476.5099999999994</v>
      </c>
      <c r="E34" s="142">
        <v>419.52</v>
      </c>
      <c r="F34" s="142">
        <v>149.41</v>
      </c>
      <c r="G34" s="142">
        <v>568.34</v>
      </c>
      <c r="H34" s="142">
        <v>202.53</v>
      </c>
      <c r="I34" s="142">
        <v>1365.5</v>
      </c>
      <c r="J34" s="142">
        <v>486.38</v>
      </c>
      <c r="K34" s="142">
        <v>945.93</v>
      </c>
      <c r="L34" s="142">
        <v>336.97</v>
      </c>
      <c r="M34" s="142">
        <v>335.64</v>
      </c>
      <c r="N34" s="142">
        <v>119.52</v>
      </c>
      <c r="O34" s="142">
        <v>0</v>
      </c>
      <c r="P34" s="143">
        <v>0</v>
      </c>
      <c r="Q34" s="143"/>
      <c r="R34" s="143"/>
      <c r="S34" s="145">
        <f t="shared" si="23"/>
        <v>3634.93</v>
      </c>
      <c r="T34" s="146">
        <f t="shared" si="24"/>
        <v>1294.8100000000002</v>
      </c>
      <c r="U34" s="135">
        <v>433.51</v>
      </c>
      <c r="V34" s="135">
        <v>587.21</v>
      </c>
      <c r="W34" s="135">
        <v>1410.86</v>
      </c>
      <c r="X34" s="135">
        <v>977.39</v>
      </c>
      <c r="Y34" s="135">
        <v>346.77</v>
      </c>
      <c r="Z34" s="136">
        <v>0</v>
      </c>
      <c r="AA34" s="136">
        <v>0</v>
      </c>
      <c r="AB34" s="143">
        <f aca="true" t="shared" si="39" ref="AB34:AB41">SUM(U34:AA34)</f>
        <v>3755.74</v>
      </c>
      <c r="AC34" s="147">
        <f t="shared" si="25"/>
        <v>5527.0599999999995</v>
      </c>
      <c r="AD34" s="148">
        <f t="shared" si="26"/>
        <v>0</v>
      </c>
      <c r="AE34" s="148">
        <f t="shared" si="27"/>
        <v>0</v>
      </c>
      <c r="AF34" s="148"/>
      <c r="AG34" s="149">
        <f t="shared" si="28"/>
        <v>375</v>
      </c>
      <c r="AH34" s="149">
        <f t="shared" si="29"/>
        <v>125</v>
      </c>
      <c r="AI34" s="149">
        <f t="shared" si="30"/>
        <v>625</v>
      </c>
      <c r="AJ34" s="149">
        <v>0</v>
      </c>
      <c r="AK34" s="149">
        <f t="shared" si="31"/>
        <v>612.5</v>
      </c>
      <c r="AL34" s="149">
        <v>0</v>
      </c>
      <c r="AM34" s="149">
        <f t="shared" si="32"/>
        <v>1406.25</v>
      </c>
      <c r="AN34" s="149">
        <v>0</v>
      </c>
      <c r="AO34" s="149"/>
      <c r="AP34" s="149"/>
      <c r="AQ34" s="150"/>
      <c r="AR34" s="150"/>
      <c r="AS34" s="151">
        <v>1123</v>
      </c>
      <c r="AT34" s="151">
        <f>135+250</f>
        <v>385</v>
      </c>
      <c r="AU34" s="151">
        <f>385*0</f>
        <v>0</v>
      </c>
      <c r="AV34" s="152">
        <v>263</v>
      </c>
      <c r="AW34" s="153">
        <v>0.55</v>
      </c>
      <c r="AX34" s="149">
        <f t="shared" si="33"/>
        <v>202.51</v>
      </c>
      <c r="AY34" s="112"/>
      <c r="AZ34" s="154"/>
      <c r="BA34" s="154">
        <f t="shared" si="34"/>
        <v>0</v>
      </c>
      <c r="BB34" s="113">
        <f t="shared" si="35"/>
        <v>4854.26</v>
      </c>
      <c r="BC34" s="155"/>
      <c r="BD34" s="14">
        <f t="shared" si="36"/>
        <v>672.7999999999993</v>
      </c>
      <c r="BE34" s="30">
        <f t="shared" si="37"/>
        <v>120.80999999999995</v>
      </c>
    </row>
    <row r="35" spans="1:57" ht="12.75">
      <c r="A35" s="11" t="s">
        <v>50</v>
      </c>
      <c r="B35" s="156">
        <v>625</v>
      </c>
      <c r="C35" s="122">
        <f t="shared" si="22"/>
        <v>5406.25</v>
      </c>
      <c r="D35" s="121">
        <f t="shared" si="38"/>
        <v>476.5099999999994</v>
      </c>
      <c r="E35" s="142">
        <v>419.52</v>
      </c>
      <c r="F35" s="142">
        <v>149.41</v>
      </c>
      <c r="G35" s="142">
        <v>568.34</v>
      </c>
      <c r="H35" s="142">
        <v>202.53</v>
      </c>
      <c r="I35" s="142">
        <v>1365.5</v>
      </c>
      <c r="J35" s="142">
        <v>486.38</v>
      </c>
      <c r="K35" s="142">
        <v>945.93</v>
      </c>
      <c r="L35" s="142">
        <v>336.97</v>
      </c>
      <c r="M35" s="142">
        <v>335.64</v>
      </c>
      <c r="N35" s="142">
        <v>119.52</v>
      </c>
      <c r="O35" s="142">
        <v>0</v>
      </c>
      <c r="P35" s="143">
        <v>0</v>
      </c>
      <c r="Q35" s="142">
        <v>0</v>
      </c>
      <c r="R35" s="143">
        <v>0</v>
      </c>
      <c r="S35" s="145">
        <f t="shared" si="23"/>
        <v>3634.93</v>
      </c>
      <c r="T35" s="146">
        <f t="shared" si="24"/>
        <v>1294.8100000000002</v>
      </c>
      <c r="U35" s="145">
        <v>374.1</v>
      </c>
      <c r="V35" s="145">
        <v>506.77</v>
      </c>
      <c r="W35" s="145">
        <v>1217.65</v>
      </c>
      <c r="X35" s="145">
        <v>843.42</v>
      </c>
      <c r="Y35" s="145">
        <v>299.31</v>
      </c>
      <c r="Z35" s="144">
        <v>0</v>
      </c>
      <c r="AA35" s="144">
        <v>0</v>
      </c>
      <c r="AB35" s="143">
        <f t="shared" si="39"/>
        <v>3241.25</v>
      </c>
      <c r="AC35" s="147">
        <f t="shared" si="25"/>
        <v>5012.57</v>
      </c>
      <c r="AD35" s="148">
        <f t="shared" si="26"/>
        <v>0</v>
      </c>
      <c r="AE35" s="148">
        <f t="shared" si="27"/>
        <v>0</v>
      </c>
      <c r="AF35" s="148"/>
      <c r="AG35" s="149">
        <f t="shared" si="28"/>
        <v>375</v>
      </c>
      <c r="AH35" s="149">
        <f t="shared" si="29"/>
        <v>125</v>
      </c>
      <c r="AI35" s="149">
        <f t="shared" si="30"/>
        <v>625</v>
      </c>
      <c r="AJ35" s="149">
        <v>0</v>
      </c>
      <c r="AK35" s="149">
        <f t="shared" si="31"/>
        <v>612.5</v>
      </c>
      <c r="AL35" s="149">
        <v>0</v>
      </c>
      <c r="AM35" s="149">
        <f t="shared" si="32"/>
        <v>1406.25</v>
      </c>
      <c r="AN35" s="149">
        <v>0</v>
      </c>
      <c r="AO35" s="149"/>
      <c r="AP35" s="149"/>
      <c r="AQ35" s="150"/>
      <c r="AR35" s="150"/>
      <c r="AS35" s="151">
        <v>284</v>
      </c>
      <c r="AT35" s="151"/>
      <c r="AU35" s="151">
        <f>AT35*0.18</f>
        <v>0</v>
      </c>
      <c r="AV35" s="152">
        <v>233</v>
      </c>
      <c r="AW35" s="153">
        <v>0.55</v>
      </c>
      <c r="AX35" s="149">
        <f t="shared" si="33"/>
        <v>179.41</v>
      </c>
      <c r="AY35" s="112"/>
      <c r="AZ35" s="154"/>
      <c r="BA35" s="154">
        <f t="shared" si="34"/>
        <v>0</v>
      </c>
      <c r="BB35" s="113">
        <f t="shared" si="35"/>
        <v>3607.16</v>
      </c>
      <c r="BC35" s="155"/>
      <c r="BD35" s="14">
        <f t="shared" si="36"/>
        <v>1405.4099999999999</v>
      </c>
      <c r="BE35" s="30">
        <f t="shared" si="37"/>
        <v>-393.67999999999984</v>
      </c>
    </row>
    <row r="36" spans="1:57" ht="12.75">
      <c r="A36" s="11" t="s">
        <v>51</v>
      </c>
      <c r="B36" s="156">
        <v>625</v>
      </c>
      <c r="C36" s="122">
        <f t="shared" si="22"/>
        <v>5406.25</v>
      </c>
      <c r="D36" s="137">
        <f t="shared" si="38"/>
        <v>428.46999999999963</v>
      </c>
      <c r="E36" s="141">
        <v>574.6</v>
      </c>
      <c r="F36" s="142">
        <v>0</v>
      </c>
      <c r="G36" s="142">
        <v>778.21</v>
      </c>
      <c r="H36" s="142">
        <v>0</v>
      </c>
      <c r="I36" s="142">
        <v>1869.96</v>
      </c>
      <c r="J36" s="142">
        <v>0</v>
      </c>
      <c r="K36" s="142">
        <v>1295.33</v>
      </c>
      <c r="L36" s="142">
        <v>0</v>
      </c>
      <c r="M36" s="142">
        <v>459.68</v>
      </c>
      <c r="N36" s="142">
        <v>0</v>
      </c>
      <c r="O36" s="142">
        <v>0</v>
      </c>
      <c r="P36" s="143">
        <v>0</v>
      </c>
      <c r="Q36" s="143"/>
      <c r="R36" s="143"/>
      <c r="S36" s="145">
        <f t="shared" si="23"/>
        <v>4977.780000000001</v>
      </c>
      <c r="T36" s="146">
        <f t="shared" si="24"/>
        <v>0</v>
      </c>
      <c r="U36" s="157">
        <v>363.12</v>
      </c>
      <c r="V36" s="145">
        <v>491.94</v>
      </c>
      <c r="W36" s="145">
        <v>1181.89</v>
      </c>
      <c r="X36" s="145">
        <v>818.82</v>
      </c>
      <c r="Y36" s="145">
        <v>290.48</v>
      </c>
      <c r="Z36" s="144">
        <v>0</v>
      </c>
      <c r="AA36" s="144">
        <v>0</v>
      </c>
      <c r="AB36" s="143">
        <f t="shared" si="39"/>
        <v>3146.25</v>
      </c>
      <c r="AC36" s="147">
        <f t="shared" si="25"/>
        <v>3574.72</v>
      </c>
      <c r="AD36" s="148">
        <f t="shared" si="26"/>
        <v>0</v>
      </c>
      <c r="AE36" s="148">
        <f t="shared" si="27"/>
        <v>0</v>
      </c>
      <c r="AF36" s="148"/>
      <c r="AG36" s="149">
        <f t="shared" si="28"/>
        <v>375</v>
      </c>
      <c r="AH36" s="149">
        <f t="shared" si="29"/>
        <v>125</v>
      </c>
      <c r="AI36" s="149">
        <f t="shared" si="30"/>
        <v>625</v>
      </c>
      <c r="AJ36" s="149">
        <v>0</v>
      </c>
      <c r="AK36" s="149">
        <f t="shared" si="31"/>
        <v>612.5</v>
      </c>
      <c r="AL36" s="149">
        <v>0</v>
      </c>
      <c r="AM36" s="149">
        <f t="shared" si="32"/>
        <v>1406.25</v>
      </c>
      <c r="AN36" s="149">
        <v>0</v>
      </c>
      <c r="AO36" s="149"/>
      <c r="AP36" s="149"/>
      <c r="AQ36" s="150"/>
      <c r="AR36" s="150"/>
      <c r="AS36" s="151"/>
      <c r="AT36" s="151">
        <f>140+38.48+1.97+364.41+18.66</f>
        <v>563.52</v>
      </c>
      <c r="AU36" s="151">
        <f>(364.41+18.66)*0.18</f>
        <v>68.9526</v>
      </c>
      <c r="AV36" s="152">
        <v>248</v>
      </c>
      <c r="AW36" s="153">
        <v>0.55</v>
      </c>
      <c r="AX36" s="149">
        <f t="shared" si="33"/>
        <v>190.96</v>
      </c>
      <c r="AY36" s="112"/>
      <c r="AZ36" s="154"/>
      <c r="BA36" s="154">
        <f t="shared" si="34"/>
        <v>0</v>
      </c>
      <c r="BB36" s="113">
        <f t="shared" si="35"/>
        <v>3967.1826</v>
      </c>
      <c r="BC36" s="155"/>
      <c r="BD36" s="14">
        <f t="shared" si="36"/>
        <v>-392.4626000000003</v>
      </c>
      <c r="BE36" s="30">
        <f t="shared" si="37"/>
        <v>-1831.5300000000007</v>
      </c>
    </row>
    <row r="37" spans="1:57" ht="12.75">
      <c r="A37" s="11" t="s">
        <v>52</v>
      </c>
      <c r="B37" s="156">
        <v>625</v>
      </c>
      <c r="C37" s="122">
        <f t="shared" si="22"/>
        <v>5406.25</v>
      </c>
      <c r="D37" s="121">
        <f t="shared" si="38"/>
        <v>417.1600000000001</v>
      </c>
      <c r="E37" s="141">
        <v>575.92</v>
      </c>
      <c r="F37" s="142">
        <v>0</v>
      </c>
      <c r="G37" s="142">
        <v>779.96</v>
      </c>
      <c r="H37" s="142">
        <v>0</v>
      </c>
      <c r="I37" s="142">
        <v>1874.2</v>
      </c>
      <c r="J37" s="142">
        <v>0</v>
      </c>
      <c r="K37" s="142">
        <v>1298.27</v>
      </c>
      <c r="L37" s="142">
        <v>0</v>
      </c>
      <c r="M37" s="142">
        <v>460.74</v>
      </c>
      <c r="N37" s="142">
        <v>0</v>
      </c>
      <c r="O37" s="142">
        <v>0</v>
      </c>
      <c r="P37" s="143">
        <v>0</v>
      </c>
      <c r="Q37" s="143"/>
      <c r="R37" s="143"/>
      <c r="S37" s="145">
        <f t="shared" si="23"/>
        <v>4989.09</v>
      </c>
      <c r="T37" s="146">
        <f t="shared" si="24"/>
        <v>0</v>
      </c>
      <c r="U37" s="135">
        <v>453.25</v>
      </c>
      <c r="V37" s="135">
        <v>613.94</v>
      </c>
      <c r="W37" s="135">
        <v>1475.14</v>
      </c>
      <c r="X37" s="135">
        <v>1021.84</v>
      </c>
      <c r="Y37" s="135">
        <v>362.61</v>
      </c>
      <c r="Z37" s="136">
        <v>0</v>
      </c>
      <c r="AA37" s="136">
        <v>0</v>
      </c>
      <c r="AB37" s="143">
        <f t="shared" si="39"/>
        <v>3926.78</v>
      </c>
      <c r="AC37" s="147">
        <f t="shared" si="25"/>
        <v>4343.9400000000005</v>
      </c>
      <c r="AD37" s="148">
        <f t="shared" si="26"/>
        <v>0</v>
      </c>
      <c r="AE37" s="148">
        <f t="shared" si="27"/>
        <v>0</v>
      </c>
      <c r="AF37" s="148"/>
      <c r="AG37" s="149">
        <f t="shared" si="28"/>
        <v>375</v>
      </c>
      <c r="AH37" s="149">
        <f t="shared" si="29"/>
        <v>125</v>
      </c>
      <c r="AI37" s="149">
        <f t="shared" si="30"/>
        <v>625</v>
      </c>
      <c r="AJ37" s="149">
        <v>0</v>
      </c>
      <c r="AK37" s="149">
        <f t="shared" si="31"/>
        <v>612.5</v>
      </c>
      <c r="AL37" s="149">
        <v>0</v>
      </c>
      <c r="AM37" s="149">
        <f t="shared" si="32"/>
        <v>1406.25</v>
      </c>
      <c r="AN37" s="149">
        <v>0</v>
      </c>
      <c r="AO37" s="149"/>
      <c r="AP37" s="149"/>
      <c r="AQ37" s="150"/>
      <c r="AR37" s="150"/>
      <c r="AS37" s="151"/>
      <c r="AT37" s="151">
        <f>47.8</f>
        <v>47.8</v>
      </c>
      <c r="AU37" s="151">
        <f>0*0.18</f>
        <v>0</v>
      </c>
      <c r="AV37" s="152">
        <v>293</v>
      </c>
      <c r="AW37" s="153">
        <v>0.55</v>
      </c>
      <c r="AX37" s="149">
        <f t="shared" si="33"/>
        <v>225.60999999999999</v>
      </c>
      <c r="AY37" s="112"/>
      <c r="AZ37" s="154"/>
      <c r="BA37" s="154">
        <f t="shared" si="34"/>
        <v>0</v>
      </c>
      <c r="BB37" s="113">
        <f t="shared" si="35"/>
        <v>3417.1600000000003</v>
      </c>
      <c r="BC37" s="155"/>
      <c r="BD37" s="14">
        <f t="shared" si="36"/>
        <v>926.7800000000002</v>
      </c>
      <c r="BE37" s="30">
        <f t="shared" si="37"/>
        <v>-1062.31</v>
      </c>
    </row>
    <row r="38" spans="1:57" ht="12.75">
      <c r="A38" s="11" t="s">
        <v>53</v>
      </c>
      <c r="B38" s="156">
        <v>625</v>
      </c>
      <c r="C38" s="122">
        <f t="shared" si="22"/>
        <v>5406.25</v>
      </c>
      <c r="D38" s="121">
        <f t="shared" si="38"/>
        <v>411.7200000000005</v>
      </c>
      <c r="E38" s="142">
        <v>576.56</v>
      </c>
      <c r="F38" s="142">
        <v>0</v>
      </c>
      <c r="G38" s="142">
        <v>780.79</v>
      </c>
      <c r="H38" s="142">
        <v>0</v>
      </c>
      <c r="I38" s="142">
        <v>1876.25</v>
      </c>
      <c r="J38" s="142">
        <v>0</v>
      </c>
      <c r="K38" s="142">
        <v>1299.68</v>
      </c>
      <c r="L38" s="142">
        <v>0</v>
      </c>
      <c r="M38" s="142">
        <v>461.25</v>
      </c>
      <c r="N38" s="142">
        <v>0</v>
      </c>
      <c r="O38" s="142">
        <v>0</v>
      </c>
      <c r="P38" s="143">
        <v>0</v>
      </c>
      <c r="Q38" s="143"/>
      <c r="R38" s="143"/>
      <c r="S38" s="145">
        <f t="shared" si="23"/>
        <v>4994.53</v>
      </c>
      <c r="T38" s="146">
        <f t="shared" si="24"/>
        <v>0</v>
      </c>
      <c r="U38" s="145">
        <v>625.66</v>
      </c>
      <c r="V38" s="145">
        <v>847.22</v>
      </c>
      <c r="W38" s="145">
        <v>3835.93</v>
      </c>
      <c r="X38" s="145">
        <v>1410.34</v>
      </c>
      <c r="Y38" s="145">
        <v>500.52</v>
      </c>
      <c r="Z38" s="144">
        <v>0</v>
      </c>
      <c r="AA38" s="144">
        <v>0</v>
      </c>
      <c r="AB38" s="143">
        <f t="shared" si="39"/>
        <v>7219.67</v>
      </c>
      <c r="AC38" s="147">
        <f t="shared" si="25"/>
        <v>7631.39</v>
      </c>
      <c r="AD38" s="148">
        <f t="shared" si="26"/>
        <v>0</v>
      </c>
      <c r="AE38" s="148">
        <f t="shared" si="27"/>
        <v>0</v>
      </c>
      <c r="AF38" s="148"/>
      <c r="AG38" s="149">
        <f t="shared" si="28"/>
        <v>375</v>
      </c>
      <c r="AH38" s="149">
        <f t="shared" si="29"/>
        <v>125</v>
      </c>
      <c r="AI38" s="149">
        <f t="shared" si="30"/>
        <v>625</v>
      </c>
      <c r="AJ38" s="149">
        <v>0</v>
      </c>
      <c r="AK38" s="149">
        <f t="shared" si="31"/>
        <v>612.5</v>
      </c>
      <c r="AL38" s="149">
        <v>0</v>
      </c>
      <c r="AM38" s="149">
        <f t="shared" si="32"/>
        <v>1406.25</v>
      </c>
      <c r="AN38" s="149">
        <v>0</v>
      </c>
      <c r="AO38" s="149"/>
      <c r="AP38" s="149"/>
      <c r="AQ38" s="150"/>
      <c r="AR38" s="150"/>
      <c r="AS38" s="151"/>
      <c r="AT38" s="151">
        <f>57.72</f>
        <v>57.72</v>
      </c>
      <c r="AU38" s="158">
        <f>0*0.18</f>
        <v>0</v>
      </c>
      <c r="AV38" s="152">
        <v>349</v>
      </c>
      <c r="AW38" s="153">
        <v>0.55</v>
      </c>
      <c r="AX38" s="149">
        <f t="shared" si="33"/>
        <v>268.73</v>
      </c>
      <c r="AY38" s="112"/>
      <c r="AZ38" s="154"/>
      <c r="BA38" s="154">
        <v>0</v>
      </c>
      <c r="BB38" s="113">
        <f t="shared" si="35"/>
        <v>3470.2</v>
      </c>
      <c r="BC38" s="155"/>
      <c r="BD38" s="14">
        <f t="shared" si="36"/>
        <v>4161.1900000000005</v>
      </c>
      <c r="BE38" s="30">
        <f t="shared" si="37"/>
        <v>2225.1400000000003</v>
      </c>
    </row>
    <row r="39" spans="1:57" ht="12.75">
      <c r="A39" s="11" t="s">
        <v>41</v>
      </c>
      <c r="B39" s="156">
        <v>625</v>
      </c>
      <c r="C39" s="122">
        <f t="shared" si="22"/>
        <v>5406.25</v>
      </c>
      <c r="D39" s="121">
        <f t="shared" si="38"/>
        <v>411.7200000000005</v>
      </c>
      <c r="E39" s="117">
        <v>576.56</v>
      </c>
      <c r="F39" s="117">
        <v>0</v>
      </c>
      <c r="G39" s="117">
        <v>780.79</v>
      </c>
      <c r="H39" s="117">
        <v>0</v>
      </c>
      <c r="I39" s="117">
        <v>1876.25</v>
      </c>
      <c r="J39" s="117">
        <v>0</v>
      </c>
      <c r="K39" s="117">
        <v>1299.68</v>
      </c>
      <c r="L39" s="117">
        <v>0</v>
      </c>
      <c r="M39" s="117">
        <v>461.25</v>
      </c>
      <c r="N39" s="117">
        <v>0</v>
      </c>
      <c r="O39" s="117">
        <v>0</v>
      </c>
      <c r="P39" s="118">
        <v>0</v>
      </c>
      <c r="Q39" s="118"/>
      <c r="R39" s="118"/>
      <c r="S39" s="145">
        <f t="shared" si="23"/>
        <v>4994.53</v>
      </c>
      <c r="T39" s="146">
        <f t="shared" si="24"/>
        <v>0</v>
      </c>
      <c r="U39" s="145">
        <v>411.95</v>
      </c>
      <c r="V39" s="145">
        <v>557.9</v>
      </c>
      <c r="W39" s="145">
        <v>1340.6</v>
      </c>
      <c r="X39" s="145">
        <v>928.58</v>
      </c>
      <c r="Y39" s="145">
        <v>329.57</v>
      </c>
      <c r="Z39" s="144">
        <v>0</v>
      </c>
      <c r="AA39" s="144">
        <v>0</v>
      </c>
      <c r="AB39" s="143">
        <f t="shared" si="39"/>
        <v>3568.6</v>
      </c>
      <c r="AC39" s="147">
        <f t="shared" si="25"/>
        <v>3980.3200000000006</v>
      </c>
      <c r="AD39" s="148">
        <f t="shared" si="26"/>
        <v>0</v>
      </c>
      <c r="AE39" s="148">
        <f t="shared" si="27"/>
        <v>0</v>
      </c>
      <c r="AF39" s="148"/>
      <c r="AG39" s="149">
        <f t="shared" si="28"/>
        <v>375</v>
      </c>
      <c r="AH39" s="149">
        <f t="shared" si="29"/>
        <v>125</v>
      </c>
      <c r="AI39" s="149">
        <f t="shared" si="30"/>
        <v>625</v>
      </c>
      <c r="AJ39" s="149">
        <v>0</v>
      </c>
      <c r="AK39" s="149">
        <f t="shared" si="31"/>
        <v>612.5</v>
      </c>
      <c r="AL39" s="149">
        <v>0</v>
      </c>
      <c r="AM39" s="149">
        <f t="shared" si="32"/>
        <v>1406.25</v>
      </c>
      <c r="AN39" s="149">
        <v>0</v>
      </c>
      <c r="AO39" s="149"/>
      <c r="AP39" s="149"/>
      <c r="AQ39" s="150"/>
      <c r="AR39" s="150"/>
      <c r="AS39" s="151"/>
      <c r="AT39" s="151"/>
      <c r="AU39" s="151">
        <f>0*0.18</f>
        <v>0</v>
      </c>
      <c r="AV39" s="152">
        <v>425</v>
      </c>
      <c r="AW39" s="153">
        <v>0.55</v>
      </c>
      <c r="AX39" s="149">
        <f t="shared" si="33"/>
        <v>327.25</v>
      </c>
      <c r="AY39" s="112"/>
      <c r="AZ39" s="154"/>
      <c r="BA39" s="154">
        <f>0</f>
        <v>0</v>
      </c>
      <c r="BB39" s="113">
        <f t="shared" si="35"/>
        <v>3471</v>
      </c>
      <c r="BC39" s="155"/>
      <c r="BD39" s="14">
        <f t="shared" si="36"/>
        <v>509.3200000000006</v>
      </c>
      <c r="BE39" s="30">
        <f t="shared" si="37"/>
        <v>-1425.9299999999998</v>
      </c>
    </row>
    <row r="40" spans="1:57" ht="12.75">
      <c r="A40" s="11" t="s">
        <v>42</v>
      </c>
      <c r="B40" s="156">
        <v>625</v>
      </c>
      <c r="C40" s="122">
        <f t="shared" si="22"/>
        <v>5406.25</v>
      </c>
      <c r="D40" s="121">
        <f t="shared" si="38"/>
        <v>405.77000000000015</v>
      </c>
      <c r="E40" s="142">
        <v>577.26</v>
      </c>
      <c r="F40" s="142">
        <v>0</v>
      </c>
      <c r="G40" s="142">
        <v>781.7</v>
      </c>
      <c r="H40" s="142">
        <v>0</v>
      </c>
      <c r="I40" s="142">
        <v>1878.49</v>
      </c>
      <c r="J40" s="142">
        <v>0</v>
      </c>
      <c r="K40" s="142">
        <v>1301.22</v>
      </c>
      <c r="L40" s="142">
        <v>0</v>
      </c>
      <c r="M40" s="142">
        <v>461.81</v>
      </c>
      <c r="N40" s="142">
        <v>0</v>
      </c>
      <c r="O40" s="142">
        <v>0</v>
      </c>
      <c r="P40" s="143">
        <v>0</v>
      </c>
      <c r="Q40" s="143"/>
      <c r="R40" s="143"/>
      <c r="S40" s="145">
        <f t="shared" si="23"/>
        <v>5000.4800000000005</v>
      </c>
      <c r="T40" s="146">
        <f t="shared" si="24"/>
        <v>0</v>
      </c>
      <c r="U40" s="157">
        <v>618.86</v>
      </c>
      <c r="V40" s="145">
        <v>838.05</v>
      </c>
      <c r="W40" s="145">
        <v>2013.89</v>
      </c>
      <c r="X40" s="145">
        <v>1395.04</v>
      </c>
      <c r="Y40" s="145">
        <v>495.09</v>
      </c>
      <c r="Z40" s="144">
        <v>0</v>
      </c>
      <c r="AA40" s="144">
        <v>0</v>
      </c>
      <c r="AB40" s="143">
        <f t="shared" si="39"/>
        <v>5360.93</v>
      </c>
      <c r="AC40" s="147">
        <f t="shared" si="25"/>
        <v>5766.700000000001</v>
      </c>
      <c r="AD40" s="148">
        <f t="shared" si="26"/>
        <v>0</v>
      </c>
      <c r="AE40" s="148">
        <f t="shared" si="27"/>
        <v>0</v>
      </c>
      <c r="AF40" s="148"/>
      <c r="AG40" s="149">
        <f t="shared" si="28"/>
        <v>375</v>
      </c>
      <c r="AH40" s="149">
        <f t="shared" si="29"/>
        <v>125</v>
      </c>
      <c r="AI40" s="149">
        <f t="shared" si="30"/>
        <v>625</v>
      </c>
      <c r="AJ40" s="149">
        <v>0</v>
      </c>
      <c r="AK40" s="149">
        <f t="shared" si="31"/>
        <v>612.5</v>
      </c>
      <c r="AL40" s="149">
        <v>0</v>
      </c>
      <c r="AM40" s="149">
        <f t="shared" si="32"/>
        <v>1406.25</v>
      </c>
      <c r="AN40" s="149">
        <v>0</v>
      </c>
      <c r="AO40" s="149"/>
      <c r="AP40" s="149"/>
      <c r="AQ40" s="150"/>
      <c r="AR40" s="150"/>
      <c r="AS40" s="151"/>
      <c r="AT40" s="151"/>
      <c r="AU40" s="151">
        <f>AT40*0.18</f>
        <v>0</v>
      </c>
      <c r="AV40" s="152">
        <v>470</v>
      </c>
      <c r="AW40" s="153">
        <v>0.55</v>
      </c>
      <c r="AX40" s="149">
        <f t="shared" si="33"/>
        <v>361.9</v>
      </c>
      <c r="AY40" s="112"/>
      <c r="AZ40" s="154"/>
      <c r="BA40" s="154">
        <v>0</v>
      </c>
      <c r="BB40" s="113">
        <f t="shared" si="35"/>
        <v>3505.65</v>
      </c>
      <c r="BC40" s="155"/>
      <c r="BD40" s="14">
        <f t="shared" si="36"/>
        <v>2261.0500000000006</v>
      </c>
      <c r="BE40" s="30">
        <f t="shared" si="37"/>
        <v>360.4499999999998</v>
      </c>
    </row>
    <row r="41" spans="1:57" ht="12.75">
      <c r="A41" s="11" t="s">
        <v>43</v>
      </c>
      <c r="B41" s="156">
        <v>625</v>
      </c>
      <c r="C41" s="122">
        <f t="shared" si="22"/>
        <v>5406.25</v>
      </c>
      <c r="D41" s="121">
        <f t="shared" si="38"/>
        <v>405.77000000000015</v>
      </c>
      <c r="E41" s="142">
        <v>577.26</v>
      </c>
      <c r="F41" s="142">
        <v>0</v>
      </c>
      <c r="G41" s="142">
        <v>781.7</v>
      </c>
      <c r="H41" s="142">
        <v>0</v>
      </c>
      <c r="I41" s="142">
        <v>1878.49</v>
      </c>
      <c r="J41" s="142">
        <v>0</v>
      </c>
      <c r="K41" s="142">
        <v>1301.22</v>
      </c>
      <c r="L41" s="142">
        <v>0</v>
      </c>
      <c r="M41" s="142">
        <v>461.81</v>
      </c>
      <c r="N41" s="142">
        <v>0</v>
      </c>
      <c r="O41" s="142">
        <v>0</v>
      </c>
      <c r="P41" s="143">
        <v>0</v>
      </c>
      <c r="Q41" s="143"/>
      <c r="R41" s="143"/>
      <c r="S41" s="145">
        <f t="shared" si="23"/>
        <v>5000.4800000000005</v>
      </c>
      <c r="T41" s="146">
        <f t="shared" si="24"/>
        <v>0</v>
      </c>
      <c r="U41" s="145">
        <v>641.28</v>
      </c>
      <c r="V41" s="145">
        <v>868.25</v>
      </c>
      <c r="W41" s="145">
        <v>2086.66</v>
      </c>
      <c r="X41" s="145">
        <v>1445.35</v>
      </c>
      <c r="Y41" s="145">
        <v>513</v>
      </c>
      <c r="Z41" s="144">
        <v>0</v>
      </c>
      <c r="AA41" s="144">
        <v>0</v>
      </c>
      <c r="AB41" s="143">
        <f t="shared" si="39"/>
        <v>5554.539999999999</v>
      </c>
      <c r="AC41" s="147">
        <f t="shared" si="25"/>
        <v>5960.3099999999995</v>
      </c>
      <c r="AD41" s="148">
        <f t="shared" si="26"/>
        <v>0</v>
      </c>
      <c r="AE41" s="148">
        <f t="shared" si="27"/>
        <v>0</v>
      </c>
      <c r="AF41" s="148"/>
      <c r="AG41" s="149">
        <f t="shared" si="28"/>
        <v>375</v>
      </c>
      <c r="AH41" s="149">
        <f t="shared" si="29"/>
        <v>125</v>
      </c>
      <c r="AI41" s="149">
        <f t="shared" si="30"/>
        <v>625</v>
      </c>
      <c r="AJ41" s="149">
        <v>0</v>
      </c>
      <c r="AK41" s="149">
        <f t="shared" si="31"/>
        <v>612.5</v>
      </c>
      <c r="AL41" s="149">
        <v>0</v>
      </c>
      <c r="AM41" s="149">
        <f t="shared" si="32"/>
        <v>1406.25</v>
      </c>
      <c r="AN41" s="149">
        <v>0</v>
      </c>
      <c r="AO41" s="149"/>
      <c r="AP41" s="149"/>
      <c r="AQ41" s="150"/>
      <c r="AR41" s="150"/>
      <c r="AS41" s="151"/>
      <c r="AT41" s="151"/>
      <c r="AU41" s="151">
        <f>AT41*0.18</f>
        <v>0</v>
      </c>
      <c r="AV41" s="152">
        <v>514</v>
      </c>
      <c r="AW41" s="153">
        <v>0.55</v>
      </c>
      <c r="AX41" s="149">
        <f>AV41*AW41*1.4-1253.72</f>
        <v>-857.94</v>
      </c>
      <c r="AY41" s="112"/>
      <c r="AZ41" s="154"/>
      <c r="BA41" s="154">
        <v>0</v>
      </c>
      <c r="BB41" s="113">
        <f t="shared" si="35"/>
        <v>2285.81</v>
      </c>
      <c r="BC41" s="155"/>
      <c r="BD41" s="14">
        <f t="shared" si="36"/>
        <v>3674.4999999999995</v>
      </c>
      <c r="BE41" s="30">
        <f t="shared" si="37"/>
        <v>554.0599999999986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64875</v>
      </c>
      <c r="D42" s="60">
        <f t="shared" si="40"/>
        <v>128343.70000000001</v>
      </c>
      <c r="E42" s="57">
        <f t="shared" si="40"/>
        <v>5978.360000000001</v>
      </c>
      <c r="F42" s="57">
        <f t="shared" si="40"/>
        <v>896.4599999999999</v>
      </c>
      <c r="G42" s="57">
        <f t="shared" si="40"/>
        <v>8097.17</v>
      </c>
      <c r="H42" s="57">
        <f t="shared" si="40"/>
        <v>1215.18</v>
      </c>
      <c r="I42" s="57">
        <f t="shared" si="40"/>
        <v>19456.33</v>
      </c>
      <c r="J42" s="57">
        <f t="shared" si="40"/>
        <v>2918.28</v>
      </c>
      <c r="K42" s="57">
        <f t="shared" si="40"/>
        <v>13477.8</v>
      </c>
      <c r="L42" s="57">
        <f t="shared" si="40"/>
        <v>2021.8200000000002</v>
      </c>
      <c r="M42" s="57">
        <f t="shared" si="40"/>
        <v>4782.780000000001</v>
      </c>
      <c r="N42" s="57">
        <f t="shared" si="40"/>
        <v>717.12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51792.44000000001</v>
      </c>
      <c r="T42" s="57">
        <f t="shared" si="40"/>
        <v>7768.8600000000015</v>
      </c>
      <c r="U42" s="61">
        <f t="shared" si="40"/>
        <v>5461.919999999999</v>
      </c>
      <c r="V42" s="61">
        <f t="shared" si="40"/>
        <v>7395.790000000001</v>
      </c>
      <c r="W42" s="61">
        <f t="shared" si="40"/>
        <v>19573.61</v>
      </c>
      <c r="X42" s="61">
        <f t="shared" si="40"/>
        <v>12311.539999999999</v>
      </c>
      <c r="Y42" s="61">
        <f t="shared" si="40"/>
        <v>4369.55</v>
      </c>
      <c r="Z42" s="61">
        <f t="shared" si="40"/>
        <v>0</v>
      </c>
      <c r="AA42" s="61">
        <f t="shared" si="40"/>
        <v>0</v>
      </c>
      <c r="AB42" s="61">
        <f t="shared" si="40"/>
        <v>49112.409999999996</v>
      </c>
      <c r="AC42" s="61">
        <f t="shared" si="40"/>
        <v>185224.97000000003</v>
      </c>
      <c r="AD42" s="61">
        <f t="shared" si="40"/>
        <v>0</v>
      </c>
      <c r="AE42" s="93">
        <f t="shared" si="40"/>
        <v>0</v>
      </c>
      <c r="AF42" s="93">
        <f t="shared" si="40"/>
        <v>0</v>
      </c>
      <c r="AG42" s="18">
        <f t="shared" si="40"/>
        <v>4500</v>
      </c>
      <c r="AH42" s="18">
        <f t="shared" si="40"/>
        <v>1500</v>
      </c>
      <c r="AI42" s="18">
        <f t="shared" si="40"/>
        <v>7500</v>
      </c>
      <c r="AJ42" s="18">
        <f t="shared" si="40"/>
        <v>0</v>
      </c>
      <c r="AK42" s="18">
        <f t="shared" si="40"/>
        <v>7350</v>
      </c>
      <c r="AL42" s="18">
        <f t="shared" si="40"/>
        <v>0</v>
      </c>
      <c r="AM42" s="18">
        <f t="shared" si="40"/>
        <v>16875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16122</v>
      </c>
      <c r="AT42" s="18">
        <f>SUM(AT30:AT41)</f>
        <v>140476.03999999998</v>
      </c>
      <c r="AU42" s="18">
        <f t="shared" si="40"/>
        <v>68.9526</v>
      </c>
      <c r="AV42" s="18"/>
      <c r="AW42" s="18"/>
      <c r="AX42" s="18">
        <f aca="true" t="shared" si="41" ref="AX42:BE42">SUM(AX30:AX41)</f>
        <v>2134.2799999999997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196526.27260000003</v>
      </c>
      <c r="BC42" s="18">
        <f t="shared" si="41"/>
        <v>0</v>
      </c>
      <c r="BD42" s="18">
        <f t="shared" si="41"/>
        <v>-11301.302600000005</v>
      </c>
      <c r="BE42" s="19">
        <f t="shared" si="41"/>
        <v>-2680.030000000004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4"/>
      <c r="AD43" s="94"/>
      <c r="AE43" s="95"/>
      <c r="AF43" s="95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9"/>
      <c r="AT43" s="89"/>
      <c r="AU43" s="90"/>
      <c r="AV43" s="90"/>
      <c r="AW43" s="90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146002.485</v>
      </c>
      <c r="D44" s="23">
        <f t="shared" si="42"/>
        <v>138741.57356295</v>
      </c>
      <c r="E44" s="50">
        <f t="shared" si="42"/>
        <v>11998.69</v>
      </c>
      <c r="F44" s="50">
        <f t="shared" si="42"/>
        <v>3021.34</v>
      </c>
      <c r="G44" s="50">
        <f t="shared" si="42"/>
        <v>16233.3</v>
      </c>
      <c r="H44" s="50">
        <f t="shared" si="42"/>
        <v>4090.45</v>
      </c>
      <c r="I44" s="50">
        <f t="shared" si="42"/>
        <v>39038.479999999996</v>
      </c>
      <c r="J44" s="50">
        <f t="shared" si="42"/>
        <v>9830.59</v>
      </c>
      <c r="K44" s="50">
        <f t="shared" si="42"/>
        <v>27039.61</v>
      </c>
      <c r="L44" s="50">
        <f t="shared" si="42"/>
        <v>6809.250000000002</v>
      </c>
      <c r="M44" s="50">
        <f t="shared" si="42"/>
        <v>9599.16</v>
      </c>
      <c r="N44" s="50">
        <f t="shared" si="42"/>
        <v>2416.96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103909.24000000002</v>
      </c>
      <c r="T44" s="50">
        <f t="shared" si="42"/>
        <v>26168.589999999997</v>
      </c>
      <c r="U44" s="53">
        <f t="shared" si="42"/>
        <v>11091.45</v>
      </c>
      <c r="V44" s="53">
        <f t="shared" si="42"/>
        <v>15009.5</v>
      </c>
      <c r="W44" s="53">
        <f t="shared" si="42"/>
        <v>37883.79</v>
      </c>
      <c r="X44" s="53">
        <f t="shared" si="42"/>
        <v>24992.159999999996</v>
      </c>
      <c r="Y44" s="53">
        <f t="shared" si="42"/>
        <v>8873.28</v>
      </c>
      <c r="Z44" s="53">
        <f t="shared" si="42"/>
        <v>0</v>
      </c>
      <c r="AA44" s="53">
        <f t="shared" si="42"/>
        <v>0</v>
      </c>
      <c r="AB44" s="53">
        <f t="shared" si="42"/>
        <v>97850.18</v>
      </c>
      <c r="AC44" s="53">
        <f t="shared" si="42"/>
        <v>262760.34356295003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9977.268</v>
      </c>
      <c r="AH44" s="23">
        <f t="shared" si="42"/>
        <v>3343.1868676000004</v>
      </c>
      <c r="AI44" s="23">
        <f t="shared" si="42"/>
        <v>15179.48056915</v>
      </c>
      <c r="AJ44" s="23">
        <f t="shared" si="42"/>
        <v>1382.3065024470002</v>
      </c>
      <c r="AK44" s="23">
        <f t="shared" si="42"/>
        <v>15121.240332149999</v>
      </c>
      <c r="AL44" s="23">
        <f t="shared" si="42"/>
        <v>1398.8232597869996</v>
      </c>
      <c r="AM44" s="23">
        <f t="shared" si="42"/>
        <v>33892.662897153896</v>
      </c>
      <c r="AN44" s="23">
        <f t="shared" si="42"/>
        <v>3063.1793214877016</v>
      </c>
      <c r="AO44" s="23">
        <f t="shared" si="42"/>
        <v>0</v>
      </c>
      <c r="AP44" s="23">
        <f t="shared" si="42"/>
        <v>0</v>
      </c>
      <c r="AQ44" s="23">
        <f t="shared" si="42"/>
        <v>33365.270000000004</v>
      </c>
      <c r="AR44" s="23">
        <f t="shared" si="42"/>
        <v>6005.7486</v>
      </c>
      <c r="AS44" s="23">
        <f t="shared" si="42"/>
        <v>22946.16</v>
      </c>
      <c r="AT44" s="23">
        <f t="shared" si="42"/>
        <v>157285.03999999998</v>
      </c>
      <c r="AU44" s="23">
        <f t="shared" si="42"/>
        <v>4322.931399999999</v>
      </c>
      <c r="AV44" s="23"/>
      <c r="AW44" s="23"/>
      <c r="AX44" s="23">
        <f aca="true" t="shared" si="43" ref="AX44:BE44">AX28+AX42</f>
        <v>5332.552000000001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312615.8497497756</v>
      </c>
      <c r="BC44" s="23">
        <f t="shared" si="43"/>
        <v>0</v>
      </c>
      <c r="BD44" s="23">
        <f t="shared" si="43"/>
        <v>-49855.5061868256</v>
      </c>
      <c r="BE44" s="24">
        <f t="shared" si="43"/>
        <v>-6059.060000000005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K61" sqref="K61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11.37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43" t="s">
        <v>55</v>
      </c>
      <c r="C1" s="343"/>
      <c r="D1" s="343"/>
      <c r="E1" s="343"/>
      <c r="F1" s="343"/>
      <c r="G1" s="343"/>
      <c r="H1" s="343"/>
    </row>
    <row r="2" spans="2:8" ht="21" customHeight="1">
      <c r="B2" s="343" t="s">
        <v>56</v>
      </c>
      <c r="C2" s="343"/>
      <c r="D2" s="343"/>
      <c r="E2" s="343"/>
      <c r="F2" s="343"/>
      <c r="G2" s="343"/>
      <c r="H2" s="343"/>
    </row>
    <row r="5" spans="1:15" ht="12.75">
      <c r="A5" s="345" t="s">
        <v>89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5" ht="12.75">
      <c r="A6" s="346" t="s">
        <v>93</v>
      </c>
      <c r="B6" s="346"/>
      <c r="C6" s="346"/>
      <c r="D6" s="346"/>
      <c r="E6" s="346"/>
      <c r="F6" s="346"/>
      <c r="G6" s="346"/>
      <c r="H6" s="96"/>
      <c r="I6" s="96"/>
      <c r="J6" s="96"/>
      <c r="K6" s="96"/>
      <c r="L6" s="96"/>
      <c r="M6" s="96"/>
      <c r="N6" s="96"/>
      <c r="O6" s="96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344" t="s">
        <v>57</v>
      </c>
      <c r="B8" s="344"/>
      <c r="C8" s="344"/>
      <c r="D8" s="344"/>
      <c r="E8" s="344">
        <v>8.65</v>
      </c>
      <c r="F8" s="344"/>
    </row>
    <row r="9" spans="1:16" ht="12.75" customHeight="1">
      <c r="A9" s="298" t="s">
        <v>58</v>
      </c>
      <c r="B9" s="316" t="s">
        <v>1</v>
      </c>
      <c r="C9" s="319" t="s">
        <v>59</v>
      </c>
      <c r="D9" s="322" t="s">
        <v>95</v>
      </c>
      <c r="E9" s="335" t="s">
        <v>60</v>
      </c>
      <c r="F9" s="336"/>
      <c r="G9" s="339" t="s">
        <v>61</v>
      </c>
      <c r="H9" s="340"/>
      <c r="I9" s="325" t="s">
        <v>10</v>
      </c>
      <c r="J9" s="278"/>
      <c r="K9" s="278"/>
      <c r="L9" s="278"/>
      <c r="M9" s="278"/>
      <c r="N9" s="326"/>
      <c r="O9" s="312" t="s">
        <v>62</v>
      </c>
      <c r="P9" s="312" t="s">
        <v>12</v>
      </c>
    </row>
    <row r="10" spans="1:16" ht="12.75">
      <c r="A10" s="299"/>
      <c r="B10" s="317"/>
      <c r="C10" s="320"/>
      <c r="D10" s="323"/>
      <c r="E10" s="337"/>
      <c r="F10" s="338"/>
      <c r="G10" s="341"/>
      <c r="H10" s="342"/>
      <c r="I10" s="327"/>
      <c r="J10" s="261"/>
      <c r="K10" s="261"/>
      <c r="L10" s="261"/>
      <c r="M10" s="261"/>
      <c r="N10" s="328"/>
      <c r="O10" s="313"/>
      <c r="P10" s="313"/>
    </row>
    <row r="11" spans="1:16" ht="26.25" customHeight="1">
      <c r="A11" s="299"/>
      <c r="B11" s="317"/>
      <c r="C11" s="320"/>
      <c r="D11" s="323"/>
      <c r="E11" s="329" t="s">
        <v>63</v>
      </c>
      <c r="F11" s="330"/>
      <c r="G11" s="84" t="s">
        <v>64</v>
      </c>
      <c r="H11" s="307" t="s">
        <v>7</v>
      </c>
      <c r="I11" s="331" t="s">
        <v>65</v>
      </c>
      <c r="J11" s="333" t="s">
        <v>32</v>
      </c>
      <c r="K11" s="333" t="s">
        <v>66</v>
      </c>
      <c r="L11" s="333" t="s">
        <v>37</v>
      </c>
      <c r="M11" s="333" t="s">
        <v>67</v>
      </c>
      <c r="N11" s="307" t="s">
        <v>39</v>
      </c>
      <c r="O11" s="313"/>
      <c r="P11" s="313"/>
    </row>
    <row r="12" spans="1:16" ht="66.75" customHeight="1" thickBot="1">
      <c r="A12" s="315"/>
      <c r="B12" s="318"/>
      <c r="C12" s="321"/>
      <c r="D12" s="324"/>
      <c r="E12" s="63" t="s">
        <v>68</v>
      </c>
      <c r="F12" s="66" t="s">
        <v>21</v>
      </c>
      <c r="G12" s="81" t="s">
        <v>69</v>
      </c>
      <c r="H12" s="308"/>
      <c r="I12" s="332"/>
      <c r="J12" s="334"/>
      <c r="K12" s="334"/>
      <c r="L12" s="334"/>
      <c r="M12" s="334"/>
      <c r="N12" s="308"/>
      <c r="O12" s="314"/>
      <c r="P12" s="314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625.3</v>
      </c>
      <c r="C15" s="27">
        <f>B15*8.65</f>
        <v>5408.845</v>
      </c>
      <c r="D15" s="28">
        <f>Лист1!D9</f>
        <v>1302.8825836</v>
      </c>
      <c r="E15" s="14">
        <f>Лист1!S9</f>
        <v>3299.2999999999997</v>
      </c>
      <c r="F15" s="30">
        <f>Лист1!T9</f>
        <v>1148.75</v>
      </c>
      <c r="G15" s="29">
        <f>Лист1!AB9</f>
        <v>0</v>
      </c>
      <c r="H15" s="30">
        <f>Лист1!AC9</f>
        <v>2451.6325836</v>
      </c>
      <c r="I15" s="29">
        <f>Лист1!AG9</f>
        <v>375.17999999999995</v>
      </c>
      <c r="J15" s="14">
        <f>Лист1!AI9+Лист1!AJ9</f>
        <v>628.5040372</v>
      </c>
      <c r="K15" s="14">
        <f>Лист1!AH9+Лист1!AK9+Лист1!AL9+Лист1!AM9+Лист1!AN9+Лист1!AO9+Лист1!AP9</f>
        <v>2206.9295054299996</v>
      </c>
      <c r="L15" s="31">
        <f>Лист1!AS9+Лист1!AU9</f>
        <v>3240.1974</v>
      </c>
      <c r="M15" s="31">
        <f>Лист1!AX9</f>
        <v>0</v>
      </c>
      <c r="N15" s="30">
        <f>Лист1!BB9</f>
        <v>6450.810942629999</v>
      </c>
      <c r="O15" s="74">
        <f>Лист1!BD9</f>
        <v>-3999.178359029999</v>
      </c>
      <c r="P15" s="74">
        <f>Лист1!BE9</f>
        <v>-3299.2999999999997</v>
      </c>
    </row>
    <row r="16" spans="1:16" ht="12.75" hidden="1">
      <c r="A16" s="11" t="s">
        <v>42</v>
      </c>
      <c r="B16" s="82">
        <f>Лист1!B10</f>
        <v>625.3</v>
      </c>
      <c r="C16" s="27">
        <f aca="true" t="shared" si="0" ref="C16:C31">B16*8.65</f>
        <v>5408.845</v>
      </c>
      <c r="D16" s="28">
        <f>Лист1!D10</f>
        <v>1302.8825836</v>
      </c>
      <c r="E16" s="14">
        <f>Лист1!S10</f>
        <v>3299.2999999999997</v>
      </c>
      <c r="F16" s="30">
        <f>Лист1!T10</f>
        <v>1148.75</v>
      </c>
      <c r="G16" s="29">
        <f>Лист1!AB10</f>
        <v>2778.1</v>
      </c>
      <c r="H16" s="30">
        <f>Лист1!AC10</f>
        <v>5229.7325836</v>
      </c>
      <c r="I16" s="29">
        <f>Лист1!AG10</f>
        <v>375.17999999999995</v>
      </c>
      <c r="J16" s="14">
        <f>Лист1!AI10+Лист1!AJ10</f>
        <v>628.5040372</v>
      </c>
      <c r="K16" s="14">
        <f>Лист1!AH10+Лист1!AK10+Лист1!AL10+Лист1!AM10+Лист1!AN10+Лист1!AO10+Лист1!AP10</f>
        <v>2200.2688098299996</v>
      </c>
      <c r="L16" s="31">
        <f>Лист1!AS10+Лист1!AU10</f>
        <v>542.8</v>
      </c>
      <c r="M16" s="31">
        <f>Лист1!AX10</f>
        <v>0</v>
      </c>
      <c r="N16" s="30">
        <f>Лист1!BB10</f>
        <v>3746.75284703</v>
      </c>
      <c r="O16" s="74">
        <f>Лист1!BD10</f>
        <v>1482.9797365700001</v>
      </c>
      <c r="P16" s="74">
        <f>Лист1!BE10</f>
        <v>-521.1999999999998</v>
      </c>
    </row>
    <row r="17" spans="1:18" ht="13.5" hidden="1" thickBot="1">
      <c r="A17" s="32" t="s">
        <v>43</v>
      </c>
      <c r="B17" s="82">
        <f>Лист1!B11</f>
        <v>625.3</v>
      </c>
      <c r="C17" s="33">
        <f t="shared" si="0"/>
        <v>5408.845</v>
      </c>
      <c r="D17" s="28">
        <f>Лист1!D11</f>
        <v>1300.01589575</v>
      </c>
      <c r="E17" s="14">
        <f>Лист1!S11</f>
        <v>3238.56</v>
      </c>
      <c r="F17" s="30">
        <f>Лист1!T11</f>
        <v>1148.75</v>
      </c>
      <c r="G17" s="29">
        <f>Лист1!AB11</f>
        <v>3502.7</v>
      </c>
      <c r="H17" s="30">
        <f>Лист1!AC11</f>
        <v>5951.46589575</v>
      </c>
      <c r="I17" s="29">
        <f>Лист1!AG11</f>
        <v>375.17999999999995</v>
      </c>
      <c r="J17" s="14">
        <f>Лист1!AI11+Лист1!AJ11</f>
        <v>626.67415928</v>
      </c>
      <c r="K17" s="14">
        <f>Лист1!AH11+Лист1!AK11+Лист1!AL11+Лист1!AM11+Лист1!AN11+Лист1!AO11+Лист1!AP11</f>
        <v>2196.770650269</v>
      </c>
      <c r="L17" s="31">
        <f>Лист1!AS11+Лист1!AU11</f>
        <v>0</v>
      </c>
      <c r="M17" s="31">
        <f>Лист1!AX11</f>
        <v>0</v>
      </c>
      <c r="N17" s="30">
        <f>Лист1!BB11</f>
        <v>3198.6248095489996</v>
      </c>
      <c r="O17" s="74">
        <f>Лист1!BD11</f>
        <v>2752.841086201</v>
      </c>
      <c r="P17" s="74">
        <f>Лист1!BE11</f>
        <v>264.1399999999999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16226.535</v>
      </c>
      <c r="D18" s="67">
        <f aca="true" t="shared" si="1" ref="D18:I18">SUM(D15:D17)</f>
        <v>3905.78106295</v>
      </c>
      <c r="E18" s="36">
        <f t="shared" si="1"/>
        <v>9837.16</v>
      </c>
      <c r="F18" s="68">
        <f t="shared" si="1"/>
        <v>3446.25</v>
      </c>
      <c r="G18" s="67">
        <f t="shared" si="1"/>
        <v>6280.799999999999</v>
      </c>
      <c r="H18" s="68">
        <f t="shared" si="1"/>
        <v>13632.83106295</v>
      </c>
      <c r="I18" s="67">
        <f t="shared" si="1"/>
        <v>1125.54</v>
      </c>
      <c r="J18" s="36">
        <f aca="true" t="shared" si="2" ref="J18:P18">SUM(J15:J17)</f>
        <v>1883.68223368</v>
      </c>
      <c r="K18" s="36">
        <f t="shared" si="2"/>
        <v>6603.9689655289985</v>
      </c>
      <c r="L18" s="36">
        <f t="shared" si="2"/>
        <v>3782.9974</v>
      </c>
      <c r="M18" s="36">
        <f t="shared" si="2"/>
        <v>0</v>
      </c>
      <c r="N18" s="68">
        <f t="shared" si="2"/>
        <v>13396.188599208997</v>
      </c>
      <c r="O18" s="75">
        <f t="shared" si="2"/>
        <v>236.6424637410014</v>
      </c>
      <c r="P18" s="75">
        <f t="shared" si="2"/>
        <v>-3556.3599999999997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625.3</v>
      </c>
      <c r="C20" s="27">
        <f t="shared" si="0"/>
        <v>5408.845</v>
      </c>
      <c r="D20" s="28">
        <f>Лист1!D14</f>
        <v>676.105625</v>
      </c>
      <c r="E20" s="14">
        <f>Лист1!S14</f>
        <v>3299.2999999999997</v>
      </c>
      <c r="F20" s="30">
        <f>Лист1!T14</f>
        <v>1148.75</v>
      </c>
      <c r="G20" s="29">
        <f>Лист1!AB14</f>
        <v>2413.2799999999997</v>
      </c>
      <c r="H20" s="30">
        <f>Лист1!AC14</f>
        <v>4238.135625</v>
      </c>
      <c r="I20" s="29">
        <f>Лист1!AG14</f>
        <v>337.662</v>
      </c>
      <c r="J20" s="14">
        <f>Лист1!AI14+Лист1!AJ14</f>
        <v>543.7379053000001</v>
      </c>
      <c r="K20" s="14">
        <f>Лист1!AH14+Лист1!AK14+Лист1!AL14+Лист1!AM14+Лист1!AN14+Лист1!AO14+Лист1!AP14+Лист1!AQ14+Лист1!AR14</f>
        <v>1867.494417256</v>
      </c>
      <c r="L20" s="31">
        <f>Лист1!AS14+Лист1!AT14+Лист1!AU14+Лист1!AZ14+Лист1!BA14</f>
        <v>3186.01</v>
      </c>
      <c r="M20" s="31">
        <f>Лист1!AX14</f>
        <v>369.25504000000006</v>
      </c>
      <c r="N20" s="30">
        <f>Лист1!BB14</f>
        <v>5934.904322556</v>
      </c>
      <c r="O20" s="74">
        <f>Лист1!BD14</f>
        <v>-1696.768697556</v>
      </c>
      <c r="P20" s="74">
        <f>Лист1!BE14</f>
        <v>-886.02</v>
      </c>
      <c r="Q20" s="1"/>
      <c r="R20" s="1"/>
    </row>
    <row r="21" spans="1:18" ht="12.75" hidden="1">
      <c r="A21" s="11" t="s">
        <v>46</v>
      </c>
      <c r="B21" s="82">
        <f>Лист1!B15</f>
        <v>625.3</v>
      </c>
      <c r="C21" s="27">
        <f t="shared" si="0"/>
        <v>5408.845</v>
      </c>
      <c r="D21" s="28">
        <f>Лист1!D15</f>
        <v>676.105625</v>
      </c>
      <c r="E21" s="14">
        <f>Лист1!S15</f>
        <v>3299.2999999999997</v>
      </c>
      <c r="F21" s="30">
        <f>Лист1!T15</f>
        <v>1148.75</v>
      </c>
      <c r="G21" s="29">
        <f>Лист1!AB15</f>
        <v>3203.0199999999995</v>
      </c>
      <c r="H21" s="30">
        <f>Лист1!AC15</f>
        <v>5027.875625</v>
      </c>
      <c r="I21" s="29">
        <f>Лист1!AG15</f>
        <v>337.662</v>
      </c>
      <c r="J21" s="14">
        <f>Лист1!AI15+Лист1!AJ15</f>
        <v>543.1343294</v>
      </c>
      <c r="K21" s="14">
        <f>Лист1!AH15+Лист1!AK15+Лист1!AL15+Лист1!AM15+Лист1!AN15+Лист1!AO15+Лист1!AP15+Лист1!AQ15+Лист1!AR15</f>
        <v>1870.190273146</v>
      </c>
      <c r="L21" s="31">
        <f>Лист1!AS15+Лист1!AT15+Лист1!AU15+Лист1!AZ15+Лист1!BA15</f>
        <v>0</v>
      </c>
      <c r="M21" s="31">
        <f>Лист1!AX15</f>
        <v>295.84016</v>
      </c>
      <c r="N21" s="30">
        <f>Лист1!BB15</f>
        <v>2750.9866025459996</v>
      </c>
      <c r="O21" s="74">
        <f>Лист1!BD15</f>
        <v>2276.889022454</v>
      </c>
      <c r="P21" s="74">
        <f>Лист1!BE15</f>
        <v>-96.2800000000002</v>
      </c>
      <c r="Q21" s="1"/>
      <c r="R21" s="1"/>
    </row>
    <row r="22" spans="1:18" ht="12.75" hidden="1">
      <c r="A22" s="11" t="s">
        <v>47</v>
      </c>
      <c r="B22" s="82">
        <f>Лист1!B16</f>
        <v>625.3</v>
      </c>
      <c r="C22" s="27">
        <f t="shared" si="0"/>
        <v>5408.845</v>
      </c>
      <c r="D22" s="28">
        <f>Лист1!D16</f>
        <v>676.105625</v>
      </c>
      <c r="E22" s="14">
        <f>Лист1!S16</f>
        <v>3262.32</v>
      </c>
      <c r="F22" s="30">
        <f>Лист1!T16</f>
        <v>1148.75</v>
      </c>
      <c r="G22" s="29">
        <f>Лист1!AB16</f>
        <v>3577.39</v>
      </c>
      <c r="H22" s="30">
        <f>Лист1!AC16</f>
        <v>5402.245625</v>
      </c>
      <c r="I22" s="29">
        <f>Лист1!AG16</f>
        <v>337.662</v>
      </c>
      <c r="J22" s="14">
        <f>Лист1!AI16+Лист1!AJ16</f>
        <v>544.08689325</v>
      </c>
      <c r="K22" s="14">
        <f>Лист1!AH16+Лист1!AK16+Лист1!AL16+Лист1!AM16+Лист1!AN16+Лист1!AO16+Лист1!AP16+Лист1!AQ16+Лист1!AR16</f>
        <v>7736.869618479999</v>
      </c>
      <c r="L22" s="31">
        <f>Лист1!AS16+Лист1!AT16+Лист1!AU16+Лист1!AZ16+Лист1!BA16</f>
        <v>0</v>
      </c>
      <c r="M22" s="31">
        <f>Лист1!AX16</f>
        <v>278.39504</v>
      </c>
      <c r="N22" s="30">
        <f>Лист1!BB16</f>
        <v>8618.61851173</v>
      </c>
      <c r="O22" s="74">
        <f>Лист1!BD16</f>
        <v>-3216.3728867299997</v>
      </c>
      <c r="P22" s="74">
        <f>Лист1!BE16</f>
        <v>315.0699999999997</v>
      </c>
      <c r="Q22" s="1"/>
      <c r="R22" s="1"/>
    </row>
    <row r="23" spans="1:18" ht="12.75" hidden="1">
      <c r="A23" s="11" t="s">
        <v>48</v>
      </c>
      <c r="B23" s="82">
        <f>Лист1!B17</f>
        <v>625.3</v>
      </c>
      <c r="C23" s="27">
        <f t="shared" si="0"/>
        <v>5408.845</v>
      </c>
      <c r="D23" s="28">
        <f>Лист1!D17</f>
        <v>676.105625</v>
      </c>
      <c r="E23" s="14">
        <f>Лист1!S17</f>
        <v>3299.2999999999997</v>
      </c>
      <c r="F23" s="30">
        <f>Лист1!T17</f>
        <v>1148.75</v>
      </c>
      <c r="G23" s="29">
        <f>Лист1!AB17</f>
        <v>3431.1099999999997</v>
      </c>
      <c r="H23" s="30">
        <f>Лист1!AC17</f>
        <v>5255.965625</v>
      </c>
      <c r="I23" s="29">
        <f>Лист1!AG17</f>
        <v>337.662</v>
      </c>
      <c r="J23" s="14">
        <f>Лист1!AI17+Лист1!AJ17</f>
        <v>560.0680787</v>
      </c>
      <c r="K23" s="14">
        <f>Лист1!AH17+Лист1!AK17+Лист1!AL17+Лист1!AM17+Лист1!AN17+Лист1!AO17+Лист1!AP17+Лист1!AQ17+Лист1!AR17</f>
        <v>22926.427426008</v>
      </c>
      <c r="L23" s="31">
        <f>Лист1!AS17+Лист1!AT17+Лист1!AU17+Лист1!AY17+Лист1!AZ17</f>
        <v>365.8</v>
      </c>
      <c r="M23" s="31">
        <f>Лист1!AX17</f>
        <v>223.15216000000004</v>
      </c>
      <c r="N23" s="30">
        <f>Лист1!BB17</f>
        <v>25356.599904708004</v>
      </c>
      <c r="O23" s="74">
        <f>Лист1!BD17</f>
        <v>-20100.634279708003</v>
      </c>
      <c r="P23" s="74">
        <f>Лист1!BE17</f>
        <v>131.80999999999995</v>
      </c>
      <c r="Q23" s="1"/>
      <c r="R23" s="1"/>
    </row>
    <row r="24" spans="1:18" ht="12.75" hidden="1">
      <c r="A24" s="11" t="s">
        <v>49</v>
      </c>
      <c r="B24" s="82">
        <f>Лист1!B18</f>
        <v>625.3</v>
      </c>
      <c r="C24" s="27">
        <f t="shared" si="0"/>
        <v>5408.845</v>
      </c>
      <c r="D24" s="28">
        <f>Лист1!D18</f>
        <v>476.3950000000001</v>
      </c>
      <c r="E24" s="14">
        <f>Лист1!S18</f>
        <v>3637.64</v>
      </c>
      <c r="F24" s="30">
        <f>Лист1!T18</f>
        <v>1294.8100000000002</v>
      </c>
      <c r="G24" s="29">
        <f>Лист1!AB18</f>
        <v>3181.71</v>
      </c>
      <c r="H24" s="30">
        <f>Лист1!AC18</f>
        <v>4952.915000000001</v>
      </c>
      <c r="I24" s="29">
        <f>Лист1!AG18</f>
        <v>375.17999999999995</v>
      </c>
      <c r="J24" s="14">
        <f>Лист1!AI18+Лист1!AJ18</f>
        <v>627.1759</v>
      </c>
      <c r="K24" s="14">
        <f>Лист1!AH18+Лист1!AK18+Лист1!AL18+Лист1!AM18+Лист1!AN18+Лист1!AO18+Лист1!AP18+Лист1!AQ18+Лист1!AR18</f>
        <v>2148.0305599999997</v>
      </c>
      <c r="L24" s="31">
        <f>Лист1!AS18+Лист1!AT18+Лист1!AU18+Лист1!AZ18+Лист1!BA18</f>
        <v>0</v>
      </c>
      <c r="M24" s="31">
        <f>Лист1!AX18</f>
        <v>191.16944</v>
      </c>
      <c r="N24" s="30">
        <f>Лист1!BB18</f>
        <v>3341.5559000000003</v>
      </c>
      <c r="O24" s="74">
        <f>Лист1!BD18</f>
        <v>1611.3591000000006</v>
      </c>
      <c r="P24" s="74">
        <f>Лист1!BE18</f>
        <v>-455.92999999999984</v>
      </c>
      <c r="Q24" s="1"/>
      <c r="R24" s="1"/>
    </row>
    <row r="25" spans="1:18" ht="12.75" hidden="1">
      <c r="A25" s="11" t="s">
        <v>50</v>
      </c>
      <c r="B25" s="82">
        <f>Лист1!B19</f>
        <v>625.3</v>
      </c>
      <c r="C25" s="27">
        <f t="shared" si="0"/>
        <v>5408.845</v>
      </c>
      <c r="D25" s="28">
        <f>Лист1!D19</f>
        <v>472.0349999999996</v>
      </c>
      <c r="E25" s="14">
        <f>Лист1!S19</f>
        <v>3642</v>
      </c>
      <c r="F25" s="30">
        <f>Лист1!T19</f>
        <v>1294.8100000000002</v>
      </c>
      <c r="G25" s="29">
        <f>Лист1!AB19</f>
        <v>3797.2700000000004</v>
      </c>
      <c r="H25" s="30">
        <f>Лист1!AC19</f>
        <v>5564.115</v>
      </c>
      <c r="I25" s="29">
        <f>Лист1!AG19</f>
        <v>375.17999999999995</v>
      </c>
      <c r="J25" s="14">
        <f>Лист1!AI19+Лист1!AJ19</f>
        <v>627.1759</v>
      </c>
      <c r="K25" s="14">
        <f>Лист1!AH19+Лист1!AK19+Лист1!AL19+Лист1!AM19+Лист1!AN19+Лист1!AO19+Лист1!AP19+Лист1!AQ19+Лист1!AR19</f>
        <v>2148.086837</v>
      </c>
      <c r="L25" s="31">
        <f>Лист1!AS19+Лист1!AT19+Лист1!AU19+Лист1!AZ19+Лист1!BA19</f>
        <v>0</v>
      </c>
      <c r="M25" s="31">
        <f>Лист1!AX19</f>
        <v>169.36304</v>
      </c>
      <c r="N25" s="30">
        <f>Лист1!BB19</f>
        <v>3319.805777</v>
      </c>
      <c r="O25" s="74">
        <f>Лист1!BD19</f>
        <v>2244.3092229999997</v>
      </c>
      <c r="P25" s="74">
        <f>Лист1!BE19</f>
        <v>155.27000000000044</v>
      </c>
      <c r="Q25" s="1"/>
      <c r="R25" s="1"/>
    </row>
    <row r="26" spans="1:18" ht="12.75" hidden="1">
      <c r="A26" s="11" t="s">
        <v>51</v>
      </c>
      <c r="B26" s="82">
        <f>Лист1!B20</f>
        <v>625.3</v>
      </c>
      <c r="C26" s="27">
        <f t="shared" si="0"/>
        <v>5408.845</v>
      </c>
      <c r="D26" s="28">
        <f>Лист1!D20</f>
        <v>472.0349999999996</v>
      </c>
      <c r="E26" s="14">
        <f>Лист1!S20</f>
        <v>3642</v>
      </c>
      <c r="F26" s="30">
        <f>Лист1!T20</f>
        <v>1294.8100000000002</v>
      </c>
      <c r="G26" s="29">
        <f>Лист1!AB20</f>
        <v>3949.84</v>
      </c>
      <c r="H26" s="30">
        <f>Лист1!AC20</f>
        <v>5716.6849999999995</v>
      </c>
      <c r="I26" s="29">
        <f>Лист1!AG20</f>
        <v>375.17999999999995</v>
      </c>
      <c r="J26" s="14">
        <f>Лист1!AI20+Лист1!AJ20</f>
        <v>618.27000222</v>
      </c>
      <c r="K26" s="14">
        <f>Лист1!AH20+Лист1!AK20+Лист1!AL20+Лист1!AM20+Лист1!AN20+Лист1!AO20+Лист1!AP20+Лист1!AQ20+Лист1!AR20</f>
        <v>2126.713595266</v>
      </c>
      <c r="L26" s="31">
        <f>Лист1!AS20+Лист1!AT20+Лист1!AU20+Лист1!AZ20+Лист1!BA20</f>
        <v>0</v>
      </c>
      <c r="M26" s="31">
        <f>Лист1!AX20</f>
        <v>180.26624000000004</v>
      </c>
      <c r="N26" s="30">
        <f>Лист1!BB20</f>
        <v>3300.4298374859995</v>
      </c>
      <c r="O26" s="74">
        <f>Лист1!BD20</f>
        <v>2416.255162514</v>
      </c>
      <c r="P26" s="74">
        <f>Лист1!BE20</f>
        <v>307.84000000000015</v>
      </c>
      <c r="Q26" s="1"/>
      <c r="R26" s="1"/>
    </row>
    <row r="27" spans="1:18" ht="12.75" hidden="1">
      <c r="A27" s="11" t="s">
        <v>52</v>
      </c>
      <c r="B27" s="82">
        <f>Лист1!B21</f>
        <v>625.3</v>
      </c>
      <c r="C27" s="27">
        <f t="shared" si="0"/>
        <v>5408.845</v>
      </c>
      <c r="D27" s="28">
        <f>Лист1!D21</f>
        <v>472.0349999999996</v>
      </c>
      <c r="E27" s="14">
        <f>Лист1!S21</f>
        <v>3642</v>
      </c>
      <c r="F27" s="30">
        <f>Лист1!T21</f>
        <v>1294.8100000000002</v>
      </c>
      <c r="G27" s="29">
        <f>Лист1!AB21</f>
        <v>3018.64</v>
      </c>
      <c r="H27" s="30">
        <f>Лист1!AC21</f>
        <v>4785.485</v>
      </c>
      <c r="I27" s="29">
        <f>Лист1!AG21</f>
        <v>375.17999999999995</v>
      </c>
      <c r="J27" s="14">
        <f>Лист1!AI21+Лист1!AJ21</f>
        <v>617.9250554749999</v>
      </c>
      <c r="K27" s="14">
        <f>Лист1!AH21+Лист1!AK21+Лист1!AL21+Лист1!AM21+Лист1!AN21+Лист1!AO21+Лист1!AP21+Лист1!AQ21+Лист1!AR21</f>
        <v>14475.297155886</v>
      </c>
      <c r="L27" s="31">
        <f>Лист1!AS21+Лист1!AT21+Лист1!AU21+Лист1!AZ21+Лист1!BA21</f>
        <v>0</v>
      </c>
      <c r="M27" s="31">
        <f>Лист1!AX21</f>
        <v>212.97584000000003</v>
      </c>
      <c r="N27" s="30">
        <f>Лист1!BB21</f>
        <v>15681.378051361</v>
      </c>
      <c r="O27" s="74">
        <f>Лист1!BD21</f>
        <v>-10895.893051361</v>
      </c>
      <c r="P27" s="74">
        <f>Лист1!BE21</f>
        <v>-623.3600000000001</v>
      </c>
      <c r="Q27" s="1"/>
      <c r="R27" s="1"/>
    </row>
    <row r="28" spans="1:18" ht="12.75" hidden="1">
      <c r="A28" s="11" t="s">
        <v>53</v>
      </c>
      <c r="B28" s="82">
        <f>Лист1!B22</f>
        <v>625.3</v>
      </c>
      <c r="C28" s="27">
        <f t="shared" si="0"/>
        <v>5408.845</v>
      </c>
      <c r="D28" s="28">
        <f>Лист1!D22</f>
        <v>472.0349999999996</v>
      </c>
      <c r="E28" s="14">
        <f>Лист1!S22</f>
        <v>3642</v>
      </c>
      <c r="F28" s="30">
        <f>Лист1!T22</f>
        <v>1294.8100000000002</v>
      </c>
      <c r="G28" s="29">
        <f>Лист1!AB22</f>
        <v>3353.98</v>
      </c>
      <c r="H28" s="30">
        <f>Лист1!AC22</f>
        <v>5120.825</v>
      </c>
      <c r="I28" s="29">
        <f>Лист1!AG22</f>
        <v>375.17999999999995</v>
      </c>
      <c r="J28" s="14">
        <f>Лист1!AI22+Лист1!AJ22</f>
        <v>617.8184355719999</v>
      </c>
      <c r="K28" s="14">
        <f>Лист1!AH22+Лист1!AK22+Лист1!AL22+Лист1!AM22+Лист1!AN22+Лист1!AO22+Лист1!AP22+Лист1!AQ22+Лист1!AR22</f>
        <v>2126.1286096075996</v>
      </c>
      <c r="L28" s="31">
        <f>Лист1!AS22+Лист1!AT22+Лист1!AU22+Лист1!AZ22+Лист1!BA22</f>
        <v>0</v>
      </c>
      <c r="M28" s="31">
        <f>Лист1!AX22</f>
        <v>253.68112000000002</v>
      </c>
      <c r="N28" s="30">
        <f>Лист1!BB22</f>
        <v>3372.8081651795997</v>
      </c>
      <c r="O28" s="74">
        <f>Лист1!BD22</f>
        <v>1748.0168348204002</v>
      </c>
      <c r="P28" s="74">
        <f>Лист1!BE22</f>
        <v>-288.02</v>
      </c>
      <c r="Q28" s="1"/>
      <c r="R28" s="1"/>
    </row>
    <row r="29" spans="1:18" ht="12.75" hidden="1">
      <c r="A29" s="11" t="s">
        <v>41</v>
      </c>
      <c r="B29" s="82">
        <f>Лист1!B23</f>
        <v>625.3</v>
      </c>
      <c r="C29" s="27">
        <f>B29*8.65</f>
        <v>5408.845</v>
      </c>
      <c r="D29" s="28">
        <f>Лист1!D23</f>
        <v>472.0349999999996</v>
      </c>
      <c r="E29" s="14">
        <f>Лист1!S23</f>
        <v>3642</v>
      </c>
      <c r="F29" s="30">
        <f>Лист1!T23</f>
        <v>1294.8100000000002</v>
      </c>
      <c r="G29" s="29">
        <f>Лист1!AB23</f>
        <v>3331.7099999999996</v>
      </c>
      <c r="H29" s="30">
        <f>Лист1!AC23</f>
        <v>5098.554999999999</v>
      </c>
      <c r="I29" s="29">
        <f>Лист1!AG23</f>
        <v>375.17999999999995</v>
      </c>
      <c r="J29" s="14">
        <f>Лист1!AI23+Лист1!AJ23</f>
        <v>624.962338</v>
      </c>
      <c r="K29" s="14">
        <f>Лист1!AH23+Лист1!AK23+Лист1!AL23+Лист1!AM23+Лист1!AN23+Лист1!AO23+Лист1!AP23+Лист1!AQ23+Лист1!AR23</f>
        <v>2144.40382</v>
      </c>
      <c r="L29" s="31">
        <f>Лист1!AS23+Лист1!AT23+Лист1!AU23+Лист1!AZ23+Лист1!BA23</f>
        <v>717.7114</v>
      </c>
      <c r="M29" s="31">
        <f>Лист1!AX23</f>
        <v>308.9240000000001</v>
      </c>
      <c r="N29" s="30">
        <f>Лист1!BB23</f>
        <v>4171.181558</v>
      </c>
      <c r="O29" s="74">
        <f>Лист1!BD23</f>
        <v>927.3734419999992</v>
      </c>
      <c r="P29" s="74">
        <f>Лист1!BE23</f>
        <v>-310.2900000000004</v>
      </c>
      <c r="Q29" s="1"/>
      <c r="R29" s="1"/>
    </row>
    <row r="30" spans="1:18" ht="12.75" hidden="1">
      <c r="A30" s="11" t="s">
        <v>42</v>
      </c>
      <c r="B30" s="82">
        <f>Лист1!B24</f>
        <v>625</v>
      </c>
      <c r="C30" s="27">
        <f t="shared" si="0"/>
        <v>5406.25</v>
      </c>
      <c r="D30" s="28">
        <f>Лист1!D24</f>
        <v>479.0499999999997</v>
      </c>
      <c r="E30" s="14">
        <f>Лист1!S24</f>
        <v>3632.3900000000003</v>
      </c>
      <c r="F30" s="30">
        <f>Лист1!T24</f>
        <v>1294.8100000000002</v>
      </c>
      <c r="G30" s="29">
        <f>Лист1!AB24</f>
        <v>5442.379999999999</v>
      </c>
      <c r="H30" s="30">
        <f>Лист1!AC24</f>
        <v>7216.239999999999</v>
      </c>
      <c r="I30" s="29">
        <f>Лист1!AG24</f>
        <v>375</v>
      </c>
      <c r="J30" s="14">
        <f>Лист1!AI24+Лист1!AJ24</f>
        <v>626.875</v>
      </c>
      <c r="K30" s="14">
        <f>Лист1!AH24+Лист1!AK24+Лист1!AL24+Лист1!AM24+Лист1!AN24+Лист1!AO24+Лист1!AP24+Лист1!AQ24+Лист1!AR24</f>
        <v>2145.75</v>
      </c>
      <c r="L30" s="31">
        <f>Лист1!AS24+Лист1!AT24+Лист1!AU24+Лист1!AZ24+Лист1!BA24</f>
        <v>159.3</v>
      </c>
      <c r="M30" s="31">
        <f>Лист1!AX24</f>
        <v>341.6336</v>
      </c>
      <c r="N30" s="30">
        <f>Лист1!BB24</f>
        <v>3648.5586000000003</v>
      </c>
      <c r="O30" s="74">
        <f>Лист1!BD24</f>
        <v>3567.6813999999986</v>
      </c>
      <c r="P30" s="74">
        <f>Лист1!BE24</f>
        <v>1809.9899999999989</v>
      </c>
      <c r="Q30" s="1"/>
      <c r="R30" s="1"/>
    </row>
    <row r="31" spans="1:18" ht="13.5" hidden="1" thickBot="1">
      <c r="A31" s="32" t="s">
        <v>43</v>
      </c>
      <c r="B31" s="82">
        <f>Лист1!B25</f>
        <v>625</v>
      </c>
      <c r="C31" s="33">
        <f t="shared" si="0"/>
        <v>5406.25</v>
      </c>
      <c r="D31" s="28">
        <f>Лист1!D25</f>
        <v>472.04999999999995</v>
      </c>
      <c r="E31" s="14">
        <f>Лист1!S25</f>
        <v>3639.3900000000003</v>
      </c>
      <c r="F31" s="30">
        <f>Лист1!T25</f>
        <v>1294.8100000000002</v>
      </c>
      <c r="G31" s="29">
        <f>Лист1!AB25</f>
        <v>3756.64</v>
      </c>
      <c r="H31" s="30">
        <f>Лист1!AC25</f>
        <v>5523.5</v>
      </c>
      <c r="I31" s="29">
        <f>Лист1!AG25</f>
        <v>375</v>
      </c>
      <c r="J31" s="14">
        <f>Лист1!AI25+Лист1!AJ25</f>
        <v>626.875</v>
      </c>
      <c r="K31" s="14">
        <f>Лист1!AH25+Лист1!AK25+Лист1!AL25+Лист1!AM25+Лист1!AN25+Лист1!AO25+Лист1!AP25+Лист1!AQ25+Лист1!AR25</f>
        <v>2145.75</v>
      </c>
      <c r="L31" s="31">
        <f>Лист1!AS25+Лист1!AT25+Лист1!AU25+Лист1!AZ25+Лист1!BA25</f>
        <v>19675.32</v>
      </c>
      <c r="M31" s="31">
        <f>Лист1!AX25</f>
        <v>373.6163200000001</v>
      </c>
      <c r="N31" s="30">
        <f>Лист1!BB25</f>
        <v>23196.56132</v>
      </c>
      <c r="O31" s="74">
        <f>Лист1!BD25</f>
        <v>-17673.06132</v>
      </c>
      <c r="P31" s="74">
        <f>Лист1!BE25</f>
        <v>117.24999999999955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64900.950000000004</v>
      </c>
      <c r="D32" s="67">
        <f t="shared" si="3"/>
        <v>6492.0925</v>
      </c>
      <c r="E32" s="36">
        <f t="shared" si="3"/>
        <v>42279.64</v>
      </c>
      <c r="F32" s="68">
        <f t="shared" si="3"/>
        <v>14953.479999999998</v>
      </c>
      <c r="G32" s="67">
        <f t="shared" si="3"/>
        <v>42456.969999999994</v>
      </c>
      <c r="H32" s="68">
        <f t="shared" si="3"/>
        <v>63902.542499999996</v>
      </c>
      <c r="I32" s="67">
        <f t="shared" si="3"/>
        <v>4351.727999999999</v>
      </c>
      <c r="J32" s="36">
        <f t="shared" si="3"/>
        <v>7178.104837917001</v>
      </c>
      <c r="K32" s="36">
        <f t="shared" si="3"/>
        <v>63861.1423126496</v>
      </c>
      <c r="L32" s="36">
        <f>SUM(L20:L31)</f>
        <v>24104.1414</v>
      </c>
      <c r="M32" s="36">
        <f t="shared" si="3"/>
        <v>3198.272000000001</v>
      </c>
      <c r="N32" s="68">
        <f t="shared" si="3"/>
        <v>102693.3885505666</v>
      </c>
      <c r="O32" s="75">
        <f t="shared" si="3"/>
        <v>-38790.8460505666</v>
      </c>
      <c r="P32" s="75">
        <f t="shared" si="3"/>
        <v>177.3299999999981</v>
      </c>
      <c r="Q32" s="71"/>
      <c r="R32" s="71"/>
    </row>
    <row r="33" spans="1:18" ht="13.5" hidden="1" thickBot="1">
      <c r="A33" s="309" t="s">
        <v>94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81127.485</v>
      </c>
      <c r="D34" s="37">
        <f aca="true" t="shared" si="4" ref="D34:P34">D18+D32</f>
        <v>10397.87356295</v>
      </c>
      <c r="E34" s="38">
        <f t="shared" si="4"/>
        <v>52116.8</v>
      </c>
      <c r="F34" s="39">
        <f t="shared" si="4"/>
        <v>18399.729999999996</v>
      </c>
      <c r="G34" s="37">
        <f t="shared" si="4"/>
        <v>48737.76999999999</v>
      </c>
      <c r="H34" s="39">
        <f t="shared" si="4"/>
        <v>77535.37356295</v>
      </c>
      <c r="I34" s="37">
        <f t="shared" si="4"/>
        <v>5477.267999999999</v>
      </c>
      <c r="J34" s="38">
        <f t="shared" si="4"/>
        <v>9061.787071597</v>
      </c>
      <c r="K34" s="38">
        <f t="shared" si="4"/>
        <v>70465.1112781786</v>
      </c>
      <c r="L34" s="38">
        <f t="shared" si="4"/>
        <v>27887.1388</v>
      </c>
      <c r="M34" s="38">
        <f t="shared" si="4"/>
        <v>3198.272000000001</v>
      </c>
      <c r="N34" s="78">
        <f t="shared" si="4"/>
        <v>116089.57714977559</v>
      </c>
      <c r="O34" s="77">
        <f>O18+O32</f>
        <v>-38554.2035868256</v>
      </c>
      <c r="P34" s="77">
        <f t="shared" si="4"/>
        <v>-3379.0300000000016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625</v>
      </c>
      <c r="C36" s="27">
        <f aca="true" t="shared" si="5" ref="C36:C47">B36*8.65</f>
        <v>5406.25</v>
      </c>
      <c r="D36" s="28">
        <f>Лист1!D30</f>
        <v>472.0499999999997</v>
      </c>
      <c r="E36" s="14">
        <f>Лист1!S30</f>
        <v>3639.3900000000003</v>
      </c>
      <c r="F36" s="30">
        <f>Лист1!T30</f>
        <v>1294.8100000000002</v>
      </c>
      <c r="G36" s="29">
        <f>Лист1!AB30</f>
        <v>3168.7</v>
      </c>
      <c r="H36" s="30">
        <f>Лист1!AC30</f>
        <v>4935.5599999999995</v>
      </c>
      <c r="I36" s="29">
        <f>Лист1!AG30</f>
        <v>375</v>
      </c>
      <c r="J36" s="14">
        <f>Лист1!AI30+Лист1!AJ30</f>
        <v>625</v>
      </c>
      <c r="K36" s="14">
        <f>Лист1!AH30+Лист1!AK30+Лист1!AL30+Лист1!AM30+Лист1!AQ30+Лист1!AR30</f>
        <v>2143.75</v>
      </c>
      <c r="L36" s="31">
        <f>Лист1!AS30+Лист1!AT30+Лист1!AU30+Лист1!AZ30+Лист1!BA30</f>
        <v>15998</v>
      </c>
      <c r="M36" s="31">
        <f>Лист1!AX30</f>
        <v>391.16</v>
      </c>
      <c r="N36" s="30">
        <f>Лист1!BB30</f>
        <v>19532.91</v>
      </c>
      <c r="O36" s="74">
        <f>Лист1!BD30</f>
        <v>-14597.35</v>
      </c>
      <c r="P36" s="74">
        <f>Лист1!BE30</f>
        <v>-470.6900000000005</v>
      </c>
      <c r="Q36" s="1"/>
      <c r="R36" s="1"/>
    </row>
    <row r="37" spans="1:18" ht="12.75">
      <c r="A37" s="11" t="s">
        <v>46</v>
      </c>
      <c r="B37" s="82">
        <f>Лист1!B31</f>
        <v>625</v>
      </c>
      <c r="C37" s="27">
        <f t="shared" si="5"/>
        <v>5406.25</v>
      </c>
      <c r="D37" s="28">
        <f>Лист1!D31</f>
        <v>123502.05</v>
      </c>
      <c r="E37" s="14">
        <f>Лист1!S31</f>
        <v>3639.3900000000003</v>
      </c>
      <c r="F37" s="30">
        <f>Лист1!T31</f>
        <v>1294.8100000000002</v>
      </c>
      <c r="G37" s="29">
        <f>Лист1!AB31</f>
        <v>3738.4199999999996</v>
      </c>
      <c r="H37" s="30">
        <f>Лист1!AC31</f>
        <v>128535.28</v>
      </c>
      <c r="I37" s="29">
        <f>Лист1!AG31</f>
        <v>375</v>
      </c>
      <c r="J37" s="14">
        <f>Лист1!AI31+Лист1!AJ31</f>
        <v>625</v>
      </c>
      <c r="K37" s="14">
        <f>Лист1!AH31+Лист1!AK31+Лист1!AL31+Лист1!AM31+Лист1!AQ31+Лист1!AR31</f>
        <v>2143.75</v>
      </c>
      <c r="L37" s="31">
        <f>Лист1!AS31+Лист1!AT31+Лист1!AU31+Лист1!AZ31+Лист1!BA31</f>
        <v>123292</v>
      </c>
      <c r="M37" s="31">
        <f>Лист1!AX31</f>
        <v>313.39</v>
      </c>
      <c r="N37" s="30">
        <f>Лист1!BB31</f>
        <v>126749.14</v>
      </c>
      <c r="O37" s="74">
        <f>Лист1!BD31</f>
        <v>1786.1399999999994</v>
      </c>
      <c r="P37" s="74">
        <f>Лист1!BE31</f>
        <v>99.02999999999929</v>
      </c>
      <c r="Q37" s="1"/>
      <c r="R37" s="1"/>
    </row>
    <row r="38" spans="1:18" ht="12.75">
      <c r="A38" s="11" t="s">
        <v>47</v>
      </c>
      <c r="B38" s="82">
        <f>Лист1!B32</f>
        <v>625</v>
      </c>
      <c r="C38" s="27">
        <f t="shared" si="5"/>
        <v>5406.25</v>
      </c>
      <c r="D38" s="28">
        <f>Лист1!D32</f>
        <v>467.36999999999944</v>
      </c>
      <c r="E38" s="14">
        <f>Лист1!S32</f>
        <v>3644.0700000000006</v>
      </c>
      <c r="F38" s="30">
        <f>Лист1!T32</f>
        <v>1294.8100000000002</v>
      </c>
      <c r="G38" s="29">
        <f>Лист1!AB32</f>
        <v>3000.42</v>
      </c>
      <c r="H38" s="30">
        <f>Лист1!AC32</f>
        <v>4762.599999999999</v>
      </c>
      <c r="I38" s="29">
        <f>Лист1!AG32</f>
        <v>375</v>
      </c>
      <c r="J38" s="14">
        <f>Лист1!AI32+Лист1!AJ32</f>
        <v>625</v>
      </c>
      <c r="K38" s="14">
        <f>Лист1!AH32+Лист1!AK32+Лист1!AL32+Лист1!AM32+Лист1!AQ32+Лист1!AR32</f>
        <v>2143.75</v>
      </c>
      <c r="L38" s="31">
        <f>Лист1!AS32+Лист1!AT32+Лист1!AU32+Лист1!AZ32+Лист1!BA32</f>
        <v>14749</v>
      </c>
      <c r="M38" s="31">
        <f>Лист1!AX32</f>
        <v>294.90999999999997</v>
      </c>
      <c r="N38" s="30">
        <f>Лист1!BB32</f>
        <v>18187.66</v>
      </c>
      <c r="O38" s="74">
        <f>Лист1!BD32</f>
        <v>-13425.060000000001</v>
      </c>
      <c r="P38" s="74">
        <f>Лист1!BE32</f>
        <v>-643.6500000000005</v>
      </c>
      <c r="Q38" s="1"/>
      <c r="R38" s="1"/>
    </row>
    <row r="39" spans="1:18" ht="12.75">
      <c r="A39" s="11" t="s">
        <v>48</v>
      </c>
      <c r="B39" s="82">
        <f>Лист1!B33</f>
        <v>625</v>
      </c>
      <c r="C39" s="27">
        <f t="shared" si="5"/>
        <v>5406.25</v>
      </c>
      <c r="D39" s="28">
        <f>Лист1!D33</f>
        <v>468.5999999999991</v>
      </c>
      <c r="E39" s="14">
        <f>Лист1!S33</f>
        <v>3642.84</v>
      </c>
      <c r="F39" s="30">
        <f>Лист1!T33</f>
        <v>1294.8100000000002</v>
      </c>
      <c r="G39" s="29">
        <f>Лист1!AB33</f>
        <v>3431.1099999999997</v>
      </c>
      <c r="H39" s="30">
        <f>Лист1!AC33</f>
        <v>5194.519999999999</v>
      </c>
      <c r="I39" s="29">
        <f>Лист1!AG33</f>
        <v>375</v>
      </c>
      <c r="J39" s="14">
        <f>Лист1!AI33+Лист1!AJ33</f>
        <v>625</v>
      </c>
      <c r="K39" s="14">
        <f>Лист1!AH33+Лист1!AK33+Лист1!AL33+Лист1!AM33+Лист1!AQ33+Лист1!AR33</f>
        <v>2143.75</v>
      </c>
      <c r="L39" s="31">
        <f>Лист1!AS33+Лист1!AT33+Лист1!AU33+Лист1!AZ33+Лист1!BA33</f>
        <v>98</v>
      </c>
      <c r="M39" s="31">
        <f>Лист1!AX33</f>
        <v>236.39000000000001</v>
      </c>
      <c r="N39" s="30">
        <f>Лист1!BB33</f>
        <v>3478.14</v>
      </c>
      <c r="O39" s="74">
        <f>Лист1!BD33</f>
        <v>1716.3799999999987</v>
      </c>
      <c r="P39" s="74">
        <f>Лист1!BE33</f>
        <v>-211.73000000000047</v>
      </c>
      <c r="Q39" s="1"/>
      <c r="R39" s="1"/>
    </row>
    <row r="40" spans="1:18" ht="12.75">
      <c r="A40" s="11" t="s">
        <v>49</v>
      </c>
      <c r="B40" s="82">
        <f>Лист1!B34</f>
        <v>625</v>
      </c>
      <c r="C40" s="27">
        <f t="shared" si="5"/>
        <v>5406.25</v>
      </c>
      <c r="D40" s="28">
        <f>Лист1!D34</f>
        <v>476.5099999999994</v>
      </c>
      <c r="E40" s="14">
        <f>Лист1!S34</f>
        <v>3634.93</v>
      </c>
      <c r="F40" s="30">
        <f>Лист1!T34</f>
        <v>1294.8100000000002</v>
      </c>
      <c r="G40" s="29">
        <f>Лист1!AB34</f>
        <v>3755.74</v>
      </c>
      <c r="H40" s="30">
        <f>Лист1!AC34</f>
        <v>5527.0599999999995</v>
      </c>
      <c r="I40" s="29">
        <f>Лист1!AG34</f>
        <v>375</v>
      </c>
      <c r="J40" s="14">
        <f>Лист1!AI34+Лист1!AJ34</f>
        <v>625</v>
      </c>
      <c r="K40" s="14">
        <f>Лист1!AH34+Лист1!AK34+Лист1!AL34+Лист1!AM34+Лист1!AQ34+Лист1!AR34</f>
        <v>2143.75</v>
      </c>
      <c r="L40" s="31">
        <f>Лист1!AS34+Лист1!AT34+Лист1!AU34+Лист1!AZ34+Лист1!BA34</f>
        <v>1508</v>
      </c>
      <c r="M40" s="31">
        <f>Лист1!AX34</f>
        <v>202.51</v>
      </c>
      <c r="N40" s="30">
        <f>Лист1!BB34</f>
        <v>4854.26</v>
      </c>
      <c r="O40" s="74">
        <f>Лист1!BD34</f>
        <v>672.7999999999993</v>
      </c>
      <c r="P40" s="74">
        <f>Лист1!BE34</f>
        <v>120.80999999999995</v>
      </c>
      <c r="Q40" s="1"/>
      <c r="R40" s="1"/>
    </row>
    <row r="41" spans="1:18" ht="12.75">
      <c r="A41" s="11" t="s">
        <v>50</v>
      </c>
      <c r="B41" s="82">
        <f>Лист1!B35</f>
        <v>625</v>
      </c>
      <c r="C41" s="27">
        <f t="shared" si="5"/>
        <v>5406.25</v>
      </c>
      <c r="D41" s="28">
        <f>Лист1!D35</f>
        <v>476.5099999999994</v>
      </c>
      <c r="E41" s="14">
        <f>Лист1!S35</f>
        <v>3634.93</v>
      </c>
      <c r="F41" s="30">
        <f>Лист1!T35</f>
        <v>1294.8100000000002</v>
      </c>
      <c r="G41" s="29">
        <f>Лист1!AB35</f>
        <v>3241.25</v>
      </c>
      <c r="H41" s="30">
        <f>Лист1!AC35</f>
        <v>5012.57</v>
      </c>
      <c r="I41" s="29">
        <f>Лист1!AG35</f>
        <v>375</v>
      </c>
      <c r="J41" s="14">
        <f>Лист1!AI35+Лист1!AJ35</f>
        <v>625</v>
      </c>
      <c r="K41" s="14">
        <f>Лист1!AH35+Лист1!AK35+Лист1!AL35+Лист1!AM35+Лист1!AQ35+Лист1!AR35</f>
        <v>2143.75</v>
      </c>
      <c r="L41" s="31">
        <f>Лист1!AS35+Лист1!AT35+Лист1!AU35+Лист1!AZ35+Лист1!BA35</f>
        <v>284</v>
      </c>
      <c r="M41" s="31">
        <f>Лист1!AX35</f>
        <v>179.41</v>
      </c>
      <c r="N41" s="30">
        <f>Лист1!BB35</f>
        <v>3607.16</v>
      </c>
      <c r="O41" s="74">
        <f>Лист1!BD35</f>
        <v>1405.4099999999999</v>
      </c>
      <c r="P41" s="74">
        <f>Лист1!BE35</f>
        <v>-393.67999999999984</v>
      </c>
      <c r="Q41" s="1"/>
      <c r="R41" s="1"/>
    </row>
    <row r="42" spans="1:18" ht="12.75">
      <c r="A42" s="11" t="s">
        <v>51</v>
      </c>
      <c r="B42" s="82">
        <f>Лист1!B36</f>
        <v>625</v>
      </c>
      <c r="C42" s="27">
        <f t="shared" si="5"/>
        <v>5406.25</v>
      </c>
      <c r="D42" s="28">
        <f>Лист1!D36</f>
        <v>428.46999999999963</v>
      </c>
      <c r="E42" s="14">
        <f>Лист1!S36</f>
        <v>4977.780000000001</v>
      </c>
      <c r="F42" s="30">
        <f>Лист1!T36</f>
        <v>0</v>
      </c>
      <c r="G42" s="29">
        <f>Лист1!AB36</f>
        <v>3146.25</v>
      </c>
      <c r="H42" s="30">
        <f>Лист1!AC36</f>
        <v>3574.72</v>
      </c>
      <c r="I42" s="29">
        <f>Лист1!AG36</f>
        <v>375</v>
      </c>
      <c r="J42" s="14">
        <f>Лист1!AI36+Лист1!AJ36</f>
        <v>625</v>
      </c>
      <c r="K42" s="14">
        <f>Лист1!AH36+Лист1!AK36+Лист1!AL36+Лист1!AM36+Лист1!AQ36+Лист1!AR36</f>
        <v>2143.75</v>
      </c>
      <c r="L42" s="31">
        <f>Лист1!AS36+Лист1!AT36+Лист1!AU36+Лист1!AZ36+Лист1!BA36</f>
        <v>632.4725999999999</v>
      </c>
      <c r="M42" s="31">
        <f>Лист1!AX36</f>
        <v>190.96</v>
      </c>
      <c r="N42" s="30">
        <f>Лист1!BB36</f>
        <v>3967.1826</v>
      </c>
      <c r="O42" s="74">
        <f>Лист1!BD36</f>
        <v>-392.4626000000003</v>
      </c>
      <c r="P42" s="74">
        <f>Лист1!BE36</f>
        <v>-1831.5300000000007</v>
      </c>
      <c r="Q42" s="1"/>
      <c r="R42" s="1"/>
    </row>
    <row r="43" spans="1:18" ht="12.75">
      <c r="A43" s="11" t="s">
        <v>52</v>
      </c>
      <c r="B43" s="82">
        <f>Лист1!B37</f>
        <v>625</v>
      </c>
      <c r="C43" s="27">
        <f t="shared" si="5"/>
        <v>5406.25</v>
      </c>
      <c r="D43" s="28">
        <f>Лист1!D37</f>
        <v>417.1600000000001</v>
      </c>
      <c r="E43" s="14">
        <f>Лист1!S37</f>
        <v>4989.09</v>
      </c>
      <c r="F43" s="30">
        <f>Лист1!T37</f>
        <v>0</v>
      </c>
      <c r="G43" s="29">
        <f>Лист1!AB37</f>
        <v>3926.78</v>
      </c>
      <c r="H43" s="30">
        <f>Лист1!AC37</f>
        <v>4343.9400000000005</v>
      </c>
      <c r="I43" s="29">
        <f>Лист1!AG37</f>
        <v>375</v>
      </c>
      <c r="J43" s="14">
        <f>Лист1!AI37+Лист1!AJ37</f>
        <v>625</v>
      </c>
      <c r="K43" s="14">
        <f>Лист1!AH37+Лист1!AK37+Лист1!AL37+Лист1!AM37+Лист1!AQ37+Лист1!AR37</f>
        <v>2143.75</v>
      </c>
      <c r="L43" s="31">
        <f>Лист1!AS37+Лист1!AT37+Лист1!AU37+Лист1!AZ37+Лист1!BA37</f>
        <v>47.8</v>
      </c>
      <c r="M43" s="31">
        <f>Лист1!AX37</f>
        <v>225.60999999999999</v>
      </c>
      <c r="N43" s="30">
        <f>Лист1!BB37</f>
        <v>3417.1600000000003</v>
      </c>
      <c r="O43" s="74">
        <f>Лист1!BD37</f>
        <v>926.7800000000002</v>
      </c>
      <c r="P43" s="74">
        <f>Лист1!BE37</f>
        <v>-1062.31</v>
      </c>
      <c r="Q43" s="1"/>
      <c r="R43" s="1"/>
    </row>
    <row r="44" spans="1:18" ht="12.75">
      <c r="A44" s="11" t="s">
        <v>53</v>
      </c>
      <c r="B44" s="82">
        <f>Лист1!B38</f>
        <v>625</v>
      </c>
      <c r="C44" s="27">
        <f t="shared" si="5"/>
        <v>5406.25</v>
      </c>
      <c r="D44" s="28">
        <f>Лист1!D38</f>
        <v>411.7200000000005</v>
      </c>
      <c r="E44" s="14">
        <f>Лист1!S38</f>
        <v>4994.53</v>
      </c>
      <c r="F44" s="30">
        <f>Лист1!T38</f>
        <v>0</v>
      </c>
      <c r="G44" s="29">
        <f>Лист1!AB38</f>
        <v>7219.67</v>
      </c>
      <c r="H44" s="30">
        <f>Лист1!AC38</f>
        <v>7631.39</v>
      </c>
      <c r="I44" s="29">
        <f>Лист1!AG38</f>
        <v>375</v>
      </c>
      <c r="J44" s="14">
        <f>Лист1!AI38+Лист1!AJ38</f>
        <v>625</v>
      </c>
      <c r="K44" s="14">
        <f>Лист1!AH38+Лист1!AK38+Лист1!AL38+Лист1!AM38+Лист1!AQ38+Лист1!AR38</f>
        <v>2143.75</v>
      </c>
      <c r="L44" s="31">
        <f>Лист1!AS38+Лист1!AT38+Лист1!AU38+Лист1!AZ38+Лист1!BA38</f>
        <v>57.72</v>
      </c>
      <c r="M44" s="31">
        <f>Лист1!AX38</f>
        <v>268.73</v>
      </c>
      <c r="N44" s="30">
        <f>Лист1!BB38</f>
        <v>3470.2</v>
      </c>
      <c r="O44" s="74">
        <f>Лист1!BD38</f>
        <v>4161.1900000000005</v>
      </c>
      <c r="P44" s="74">
        <f>Лист1!BE38</f>
        <v>2225.1400000000003</v>
      </c>
      <c r="Q44" s="1"/>
      <c r="R44" s="1"/>
    </row>
    <row r="45" spans="1:18" ht="12.75">
      <c r="A45" s="11" t="s">
        <v>41</v>
      </c>
      <c r="B45" s="82">
        <f>Лист1!B39</f>
        <v>625</v>
      </c>
      <c r="C45" s="27">
        <f>B45*8.65</f>
        <v>5406.25</v>
      </c>
      <c r="D45" s="28">
        <f>Лист1!D39</f>
        <v>411.7200000000005</v>
      </c>
      <c r="E45" s="14">
        <f>Лист1!S39</f>
        <v>4994.53</v>
      </c>
      <c r="F45" s="30">
        <f>Лист1!T39</f>
        <v>0</v>
      </c>
      <c r="G45" s="29">
        <f>Лист1!AB39</f>
        <v>3568.6</v>
      </c>
      <c r="H45" s="30">
        <f>Лист1!AC39</f>
        <v>3980.3200000000006</v>
      </c>
      <c r="I45" s="29">
        <f>Лист1!AG39</f>
        <v>375</v>
      </c>
      <c r="J45" s="14">
        <f>Лист1!AI39+Лист1!AJ39</f>
        <v>625</v>
      </c>
      <c r="K45" s="14">
        <f>Лист1!AH39+Лист1!AK39+Лист1!AL39+Лист1!AM39+Лист1!AQ39+Лист1!AR39</f>
        <v>2143.75</v>
      </c>
      <c r="L45" s="31">
        <f>Лист1!AS39+Лист1!AT39+Лист1!AU39+Лист1!AZ39+Лист1!BA39</f>
        <v>0</v>
      </c>
      <c r="M45" s="31">
        <f>Лист1!AX39</f>
        <v>327.25</v>
      </c>
      <c r="N45" s="30">
        <f>Лист1!BB39</f>
        <v>3471</v>
      </c>
      <c r="O45" s="74">
        <f>Лист1!BD39</f>
        <v>509.3200000000006</v>
      </c>
      <c r="P45" s="74">
        <f>Лист1!BE39</f>
        <v>-1425.9299999999998</v>
      </c>
      <c r="Q45" s="1"/>
      <c r="R45" s="1"/>
    </row>
    <row r="46" spans="1:18" ht="12.75">
      <c r="A46" s="11" t="s">
        <v>42</v>
      </c>
      <c r="B46" s="82">
        <f>Лист1!B40</f>
        <v>625</v>
      </c>
      <c r="C46" s="27">
        <f t="shared" si="5"/>
        <v>5406.25</v>
      </c>
      <c r="D46" s="28">
        <f>Лист1!D40</f>
        <v>405.77000000000015</v>
      </c>
      <c r="E46" s="14">
        <f>Лист1!S40</f>
        <v>5000.4800000000005</v>
      </c>
      <c r="F46" s="30">
        <f>Лист1!T40</f>
        <v>0</v>
      </c>
      <c r="G46" s="29">
        <f>Лист1!AB40</f>
        <v>5360.93</v>
      </c>
      <c r="H46" s="30">
        <f>Лист1!AC40</f>
        <v>5766.700000000001</v>
      </c>
      <c r="I46" s="29">
        <f>Лист1!AG40</f>
        <v>375</v>
      </c>
      <c r="J46" s="14">
        <f>Лист1!AI40+Лист1!AJ40</f>
        <v>625</v>
      </c>
      <c r="K46" s="14">
        <f>Лист1!AH40+Лист1!AK40+Лист1!AL40+Лист1!AM40+Лист1!AQ40+Лист1!AR40</f>
        <v>2143.75</v>
      </c>
      <c r="L46" s="31">
        <f>Лист1!AS40+Лист1!AT40+Лист1!AU40+Лист1!AZ40+Лист1!BA40</f>
        <v>0</v>
      </c>
      <c r="M46" s="31">
        <f>Лист1!AX40</f>
        <v>361.9</v>
      </c>
      <c r="N46" s="30">
        <f>Лист1!BB40</f>
        <v>3505.65</v>
      </c>
      <c r="O46" s="74">
        <f>Лист1!BD40</f>
        <v>2261.0500000000006</v>
      </c>
      <c r="P46" s="74">
        <f>Лист1!BE40</f>
        <v>360.4499999999998</v>
      </c>
      <c r="Q46" s="1"/>
      <c r="R46" s="1"/>
    </row>
    <row r="47" spans="1:18" ht="13.5" thickBot="1">
      <c r="A47" s="32" t="s">
        <v>43</v>
      </c>
      <c r="B47" s="82">
        <f>Лист1!B41</f>
        <v>625</v>
      </c>
      <c r="C47" s="33">
        <f t="shared" si="5"/>
        <v>5406.25</v>
      </c>
      <c r="D47" s="28">
        <f>Лист1!D41</f>
        <v>405.77000000000015</v>
      </c>
      <c r="E47" s="14">
        <f>Лист1!S41</f>
        <v>5000.4800000000005</v>
      </c>
      <c r="F47" s="30">
        <f>Лист1!T41</f>
        <v>0</v>
      </c>
      <c r="G47" s="29">
        <f>Лист1!AB41</f>
        <v>5554.539999999999</v>
      </c>
      <c r="H47" s="30">
        <f>Лист1!AC41</f>
        <v>5960.3099999999995</v>
      </c>
      <c r="I47" s="29">
        <f>Лист1!AG41</f>
        <v>375</v>
      </c>
      <c r="J47" s="14">
        <f>Лист1!AI41+Лист1!AJ41</f>
        <v>625</v>
      </c>
      <c r="K47" s="14">
        <f>Лист1!AH41+Лист1!AK41+Лист1!AL41+Лист1!AM41+Лист1!AQ41+Лист1!AR41</f>
        <v>2143.75</v>
      </c>
      <c r="L47" s="31">
        <f>Лист1!AS41+Лист1!AT41+Лист1!AU41+Лист1!AZ41+Лист1!BA41</f>
        <v>0</v>
      </c>
      <c r="M47" s="31">
        <f>Лист1!AX41</f>
        <v>-857.94</v>
      </c>
      <c r="N47" s="30">
        <f>Лист1!BB41</f>
        <v>2285.81</v>
      </c>
      <c r="O47" s="74">
        <f>Лист1!BD41</f>
        <v>3674.4999999999995</v>
      </c>
      <c r="P47" s="74">
        <f>Лист1!BE41</f>
        <v>554.0599999999986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64875</v>
      </c>
      <c r="D48" s="67">
        <f t="shared" si="6"/>
        <v>128343.70000000001</v>
      </c>
      <c r="E48" s="36">
        <f t="shared" si="6"/>
        <v>51792.44000000001</v>
      </c>
      <c r="F48" s="68">
        <f t="shared" si="6"/>
        <v>7768.8600000000015</v>
      </c>
      <c r="G48" s="67">
        <f t="shared" si="6"/>
        <v>49112.409999999996</v>
      </c>
      <c r="H48" s="68">
        <f t="shared" si="6"/>
        <v>185224.97000000003</v>
      </c>
      <c r="I48" s="67">
        <f t="shared" si="6"/>
        <v>4500</v>
      </c>
      <c r="J48" s="36">
        <f t="shared" si="6"/>
        <v>7500</v>
      </c>
      <c r="K48" s="36">
        <f t="shared" si="6"/>
        <v>25725</v>
      </c>
      <c r="L48" s="36">
        <f t="shared" si="6"/>
        <v>156666.9926</v>
      </c>
      <c r="M48" s="36">
        <f t="shared" si="6"/>
        <v>2134.2799999999997</v>
      </c>
      <c r="N48" s="68">
        <f t="shared" si="6"/>
        <v>196526.27260000003</v>
      </c>
      <c r="O48" s="75">
        <f t="shared" si="6"/>
        <v>-11301.302600000005</v>
      </c>
      <c r="P48" s="75">
        <f t="shared" si="6"/>
        <v>-2680.030000000004</v>
      </c>
      <c r="Q48" s="71"/>
      <c r="R48" s="71"/>
    </row>
    <row r="49" spans="1:18" ht="13.5" thickBot="1">
      <c r="A49" s="309" t="s">
        <v>70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146002.485</v>
      </c>
      <c r="D50" s="37">
        <f aca="true" t="shared" si="7" ref="D50:M50">D34+D48</f>
        <v>138741.57356295</v>
      </c>
      <c r="E50" s="38">
        <f t="shared" si="7"/>
        <v>103909.24000000002</v>
      </c>
      <c r="F50" s="39">
        <f t="shared" si="7"/>
        <v>26168.589999999997</v>
      </c>
      <c r="G50" s="37">
        <f t="shared" si="7"/>
        <v>97850.18</v>
      </c>
      <c r="H50" s="39">
        <f t="shared" si="7"/>
        <v>262760.34356295003</v>
      </c>
      <c r="I50" s="37">
        <f t="shared" si="7"/>
        <v>9977.268</v>
      </c>
      <c r="J50" s="38">
        <f t="shared" si="7"/>
        <v>16561.787071597</v>
      </c>
      <c r="K50" s="38">
        <f t="shared" si="7"/>
        <v>96190.1112781786</v>
      </c>
      <c r="L50" s="38">
        <f t="shared" si="7"/>
        <v>184554.1314</v>
      </c>
      <c r="M50" s="38">
        <f t="shared" si="7"/>
        <v>5332.552000000001</v>
      </c>
      <c r="N50" s="78">
        <f>SUM(I50:M50)</f>
        <v>312615.84974977566</v>
      </c>
      <c r="O50" s="77">
        <f>O34+O48</f>
        <v>-49855.5061868256</v>
      </c>
      <c r="P50" s="77">
        <f>P34+P48</f>
        <v>-6059.060000000005</v>
      </c>
      <c r="Q50" s="72"/>
      <c r="R50" s="71"/>
    </row>
    <row r="52" spans="1:18" ht="12.75" hidden="1">
      <c r="A52" s="20" t="s">
        <v>88</v>
      </c>
      <c r="D52" s="83" t="s">
        <v>92</v>
      </c>
      <c r="Q52" s="1"/>
      <c r="R52" s="1"/>
    </row>
    <row r="53" spans="1:18" ht="12.75" hidden="1">
      <c r="A53" s="21" t="s">
        <v>71</v>
      </c>
      <c r="B53" s="21" t="s">
        <v>72</v>
      </c>
      <c r="C53" s="311" t="s">
        <v>73</v>
      </c>
      <c r="D53" s="311"/>
      <c r="Q53" s="1"/>
      <c r="R53" s="1"/>
    </row>
    <row r="54" spans="1:18" ht="12.75" hidden="1">
      <c r="A54" s="124">
        <v>31518.2</v>
      </c>
      <c r="B54" s="124">
        <v>68481</v>
      </c>
      <c r="C54" s="305">
        <f>A54-B54</f>
        <v>-36962.8</v>
      </c>
      <c r="D54" s="306"/>
      <c r="Q54" s="1"/>
      <c r="R54" s="1"/>
    </row>
    <row r="55" spans="1:18" ht="12.75" hidden="1">
      <c r="A55" s="46"/>
      <c r="Q55" s="1"/>
      <c r="R55" s="1"/>
    </row>
    <row r="56" spans="1:18" ht="12.75" hidden="1">
      <c r="A56" s="2" t="s">
        <v>76</v>
      </c>
      <c r="G56" s="2" t="s">
        <v>77</v>
      </c>
      <c r="Q56" s="1"/>
      <c r="R56" s="1"/>
    </row>
    <row r="57" ht="12.75" hidden="1">
      <c r="A57" s="1"/>
    </row>
    <row r="58" ht="12.75" hidden="1">
      <c r="A58" s="1"/>
    </row>
    <row r="59" ht="12.75" hidden="1">
      <c r="A59" s="2" t="s">
        <v>87</v>
      </c>
    </row>
    <row r="60" ht="12.75" hidden="1">
      <c r="A60" s="2" t="s">
        <v>78</v>
      </c>
    </row>
  </sheetData>
  <sheetProtection/>
  <mergeCells count="27">
    <mergeCell ref="A49:O49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I9:N10"/>
  </mergeCells>
  <printOptions/>
  <pageMargins left="0.2362204724409449" right="0.15748031496062992" top="0.6299212598425197" bottom="0.4724409448818898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G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BB22:BG22"/>
    </sheetView>
  </sheetViews>
  <sheetFormatPr defaultColWidth="9.00390625" defaultRowHeight="12.75"/>
  <cols>
    <col min="1" max="1" width="8.75390625" style="160" bestFit="1" customWidth="1"/>
    <col min="2" max="2" width="9.125" style="160" customWidth="1"/>
    <col min="3" max="3" width="10.125" style="160" customWidth="1"/>
    <col min="4" max="4" width="10.375" style="160" customWidth="1"/>
    <col min="5" max="6" width="9.125" style="160" customWidth="1"/>
    <col min="7" max="7" width="10.25390625" style="160" customWidth="1"/>
    <col min="8" max="8" width="9.125" style="160" customWidth="1"/>
    <col min="9" max="9" width="9.875" style="160" customWidth="1"/>
    <col min="10" max="10" width="9.125" style="160" customWidth="1"/>
    <col min="11" max="11" width="10.375" style="160" customWidth="1"/>
    <col min="12" max="12" width="9.125" style="160" customWidth="1"/>
    <col min="13" max="13" width="10.125" style="160" bestFit="1" customWidth="1"/>
    <col min="14" max="14" width="9.125" style="160" customWidth="1"/>
    <col min="15" max="15" width="10.125" style="160" bestFit="1" customWidth="1"/>
    <col min="16" max="18" width="9.125" style="160" customWidth="1"/>
    <col min="19" max="19" width="10.125" style="160" bestFit="1" customWidth="1"/>
    <col min="20" max="20" width="10.125" style="160" customWidth="1"/>
    <col min="21" max="21" width="10.125" style="160" bestFit="1" customWidth="1"/>
    <col min="22" max="22" width="11.00390625" style="160" customWidth="1"/>
    <col min="23" max="23" width="10.625" style="160" customWidth="1"/>
    <col min="24" max="24" width="10.125" style="160" customWidth="1"/>
    <col min="25" max="25" width="9.125" style="160" customWidth="1"/>
    <col min="26" max="28" width="10.125" style="160" bestFit="1" customWidth="1"/>
    <col min="29" max="30" width="11.375" style="160" customWidth="1"/>
    <col min="31" max="31" width="9.25390625" style="160" bestFit="1" customWidth="1"/>
    <col min="32" max="32" width="10.125" style="160" bestFit="1" customWidth="1"/>
    <col min="33" max="33" width="10.25390625" style="160" customWidth="1"/>
    <col min="34" max="38" width="9.25390625" style="160" bestFit="1" customWidth="1"/>
    <col min="39" max="39" width="10.125" style="160" bestFit="1" customWidth="1"/>
    <col min="40" max="41" width="9.25390625" style="160" bestFit="1" customWidth="1"/>
    <col min="42" max="42" width="10.125" style="160" bestFit="1" customWidth="1"/>
    <col min="43" max="45" width="9.25390625" style="160" customWidth="1"/>
    <col min="46" max="46" width="10.125" style="160" bestFit="1" customWidth="1"/>
    <col min="47" max="47" width="11.625" style="160" customWidth="1"/>
    <col min="48" max="48" width="10.875" style="160" customWidth="1"/>
    <col min="49" max="49" width="10.625" style="160" customWidth="1"/>
    <col min="50" max="50" width="9.25390625" style="160" customWidth="1"/>
    <col min="51" max="51" width="10.625" style="160" customWidth="1"/>
    <col min="52" max="52" width="9.25390625" style="160" bestFit="1" customWidth="1"/>
    <col min="53" max="54" width="10.125" style="160" bestFit="1" customWidth="1"/>
    <col min="55" max="55" width="12.25390625" style="160" customWidth="1"/>
    <col min="56" max="56" width="10.375" style="160" customWidth="1"/>
    <col min="57" max="57" width="12.125" style="160" customWidth="1"/>
    <col min="58" max="58" width="14.00390625" style="160" customWidth="1"/>
    <col min="59" max="59" width="10.375" style="160" customWidth="1"/>
    <col min="60" max="16384" width="9.125" style="160" customWidth="1"/>
  </cols>
  <sheetData>
    <row r="1" spans="1:18" ht="21" customHeight="1">
      <c r="A1" s="297" t="s">
        <v>121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159"/>
      <c r="P1" s="159"/>
      <c r="Q1" s="159"/>
      <c r="R1" s="159"/>
    </row>
    <row r="2" spans="1:18" ht="13.5" thickBot="1">
      <c r="A2" s="159"/>
      <c r="B2" s="161"/>
      <c r="C2" s="162"/>
      <c r="D2" s="162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59" ht="29.25" customHeight="1" thickBot="1">
      <c r="A3" s="347" t="s">
        <v>0</v>
      </c>
      <c r="B3" s="349" t="s">
        <v>1</v>
      </c>
      <c r="C3" s="351" t="s">
        <v>2</v>
      </c>
      <c r="D3" s="353" t="s">
        <v>3</v>
      </c>
      <c r="E3" s="347" t="s">
        <v>96</v>
      </c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36"/>
      <c r="S3" s="347"/>
      <c r="T3" s="355"/>
      <c r="U3" s="347" t="s">
        <v>5</v>
      </c>
      <c r="V3" s="355"/>
      <c r="W3" s="359" t="s">
        <v>6</v>
      </c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1"/>
      <c r="AJ3" s="365" t="s">
        <v>74</v>
      </c>
      <c r="AK3" s="368" t="s">
        <v>10</v>
      </c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70"/>
      <c r="BF3" s="374" t="s">
        <v>11</v>
      </c>
      <c r="BG3" s="381" t="s">
        <v>12</v>
      </c>
    </row>
    <row r="4" spans="1:59" ht="51.75" customHeight="1" hidden="1" thickBot="1">
      <c r="A4" s="348"/>
      <c r="B4" s="350"/>
      <c r="C4" s="352"/>
      <c r="D4" s="354"/>
      <c r="E4" s="348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30"/>
      <c r="S4" s="357"/>
      <c r="T4" s="358"/>
      <c r="U4" s="357"/>
      <c r="V4" s="358"/>
      <c r="W4" s="362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4"/>
      <c r="AJ4" s="366"/>
      <c r="AK4" s="371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3"/>
      <c r="BF4" s="375"/>
      <c r="BG4" s="382"/>
    </row>
    <row r="5" spans="1:59" ht="19.5" customHeight="1">
      <c r="A5" s="348"/>
      <c r="B5" s="350"/>
      <c r="C5" s="352"/>
      <c r="D5" s="354"/>
      <c r="E5" s="384" t="s">
        <v>13</v>
      </c>
      <c r="F5" s="385"/>
      <c r="G5" s="384" t="s">
        <v>97</v>
      </c>
      <c r="H5" s="385"/>
      <c r="I5" s="384" t="s">
        <v>14</v>
      </c>
      <c r="J5" s="385"/>
      <c r="K5" s="384" t="s">
        <v>16</v>
      </c>
      <c r="L5" s="385"/>
      <c r="M5" s="384" t="s">
        <v>15</v>
      </c>
      <c r="N5" s="385"/>
      <c r="O5" s="388" t="s">
        <v>17</v>
      </c>
      <c r="P5" s="388"/>
      <c r="Q5" s="384" t="s">
        <v>98</v>
      </c>
      <c r="R5" s="385"/>
      <c r="S5" s="388" t="s">
        <v>99</v>
      </c>
      <c r="T5" s="385"/>
      <c r="U5" s="391" t="s">
        <v>20</v>
      </c>
      <c r="V5" s="377" t="s">
        <v>21</v>
      </c>
      <c r="W5" s="379" t="s">
        <v>22</v>
      </c>
      <c r="X5" s="379" t="s">
        <v>100</v>
      </c>
      <c r="Y5" s="379" t="s">
        <v>23</v>
      </c>
      <c r="Z5" s="379" t="s">
        <v>25</v>
      </c>
      <c r="AA5" s="379" t="s">
        <v>24</v>
      </c>
      <c r="AB5" s="379" t="s">
        <v>26</v>
      </c>
      <c r="AC5" s="379" t="s">
        <v>27</v>
      </c>
      <c r="AD5" s="393" t="s">
        <v>28</v>
      </c>
      <c r="AE5" s="393" t="s">
        <v>101</v>
      </c>
      <c r="AF5" s="395" t="s">
        <v>29</v>
      </c>
      <c r="AG5" s="397" t="s">
        <v>86</v>
      </c>
      <c r="AH5" s="399" t="s">
        <v>8</v>
      </c>
      <c r="AI5" s="401" t="s">
        <v>9</v>
      </c>
      <c r="AJ5" s="366"/>
      <c r="AK5" s="403" t="s">
        <v>102</v>
      </c>
      <c r="AL5" s="405" t="s">
        <v>103</v>
      </c>
      <c r="AM5" s="405" t="s">
        <v>104</v>
      </c>
      <c r="AN5" s="407" t="s">
        <v>105</v>
      </c>
      <c r="AO5" s="405" t="s">
        <v>106</v>
      </c>
      <c r="AP5" s="407" t="s">
        <v>107</v>
      </c>
      <c r="AQ5" s="407" t="s">
        <v>108</v>
      </c>
      <c r="AR5" s="407" t="s">
        <v>109</v>
      </c>
      <c r="AS5" s="407" t="s">
        <v>110</v>
      </c>
      <c r="AT5" s="407" t="s">
        <v>36</v>
      </c>
      <c r="AU5" s="292" t="s">
        <v>111</v>
      </c>
      <c r="AV5" s="271" t="s">
        <v>112</v>
      </c>
      <c r="AW5" s="292" t="s">
        <v>113</v>
      </c>
      <c r="AX5" s="273" t="s">
        <v>114</v>
      </c>
      <c r="AY5" s="138"/>
      <c r="AZ5" s="409" t="s">
        <v>19</v>
      </c>
      <c r="BA5" s="407" t="s">
        <v>38</v>
      </c>
      <c r="BB5" s="407" t="s">
        <v>33</v>
      </c>
      <c r="BC5" s="411" t="s">
        <v>39</v>
      </c>
      <c r="BD5" s="413" t="s">
        <v>75</v>
      </c>
      <c r="BE5" s="407" t="s">
        <v>115</v>
      </c>
      <c r="BF5" s="375"/>
      <c r="BG5" s="382"/>
    </row>
    <row r="6" spans="1:59" ht="56.25" customHeight="1" thickBot="1">
      <c r="A6" s="348"/>
      <c r="B6" s="350"/>
      <c r="C6" s="352"/>
      <c r="D6" s="354"/>
      <c r="E6" s="386"/>
      <c r="F6" s="387"/>
      <c r="G6" s="386"/>
      <c r="H6" s="387"/>
      <c r="I6" s="386"/>
      <c r="J6" s="387"/>
      <c r="K6" s="386"/>
      <c r="L6" s="387"/>
      <c r="M6" s="386"/>
      <c r="N6" s="387"/>
      <c r="O6" s="389"/>
      <c r="P6" s="389"/>
      <c r="Q6" s="386"/>
      <c r="R6" s="387"/>
      <c r="S6" s="390"/>
      <c r="T6" s="387"/>
      <c r="U6" s="392"/>
      <c r="V6" s="378"/>
      <c r="W6" s="380"/>
      <c r="X6" s="380"/>
      <c r="Y6" s="380"/>
      <c r="Z6" s="380"/>
      <c r="AA6" s="380"/>
      <c r="AB6" s="380"/>
      <c r="AC6" s="380"/>
      <c r="AD6" s="394"/>
      <c r="AE6" s="394"/>
      <c r="AF6" s="396"/>
      <c r="AG6" s="398"/>
      <c r="AH6" s="400"/>
      <c r="AI6" s="402"/>
      <c r="AJ6" s="367"/>
      <c r="AK6" s="404"/>
      <c r="AL6" s="406"/>
      <c r="AM6" s="406"/>
      <c r="AN6" s="408"/>
      <c r="AO6" s="406"/>
      <c r="AP6" s="408"/>
      <c r="AQ6" s="408"/>
      <c r="AR6" s="408"/>
      <c r="AS6" s="408"/>
      <c r="AT6" s="408"/>
      <c r="AU6" s="293"/>
      <c r="AV6" s="272"/>
      <c r="AW6" s="293"/>
      <c r="AX6" s="274"/>
      <c r="AY6" s="139" t="s">
        <v>116</v>
      </c>
      <c r="AZ6" s="410"/>
      <c r="BA6" s="408"/>
      <c r="BB6" s="408"/>
      <c r="BC6" s="412"/>
      <c r="BD6" s="414"/>
      <c r="BE6" s="408"/>
      <c r="BF6" s="376"/>
      <c r="BG6" s="383"/>
    </row>
    <row r="7" spans="1:59" ht="19.5" customHeight="1" thickBot="1">
      <c r="A7" s="163">
        <v>1</v>
      </c>
      <c r="B7" s="164">
        <v>2</v>
      </c>
      <c r="C7" s="164">
        <v>3</v>
      </c>
      <c r="D7" s="163">
        <v>4</v>
      </c>
      <c r="E7" s="164">
        <v>5</v>
      </c>
      <c r="F7" s="164">
        <v>6</v>
      </c>
      <c r="G7" s="163">
        <v>7</v>
      </c>
      <c r="H7" s="164">
        <v>8</v>
      </c>
      <c r="I7" s="164">
        <v>9</v>
      </c>
      <c r="J7" s="163">
        <v>10</v>
      </c>
      <c r="K7" s="164">
        <v>11</v>
      </c>
      <c r="L7" s="164">
        <v>12</v>
      </c>
      <c r="M7" s="163">
        <v>13</v>
      </c>
      <c r="N7" s="164">
        <v>14</v>
      </c>
      <c r="O7" s="164">
        <v>15</v>
      </c>
      <c r="P7" s="163">
        <v>16</v>
      </c>
      <c r="Q7" s="164">
        <v>17</v>
      </c>
      <c r="R7" s="164">
        <v>18</v>
      </c>
      <c r="S7" s="163">
        <v>19</v>
      </c>
      <c r="T7" s="164">
        <v>20</v>
      </c>
      <c r="U7" s="164">
        <v>21</v>
      </c>
      <c r="V7" s="163">
        <v>22</v>
      </c>
      <c r="W7" s="164">
        <v>23</v>
      </c>
      <c r="X7" s="163">
        <v>24</v>
      </c>
      <c r="Y7" s="164">
        <v>25</v>
      </c>
      <c r="Z7" s="163">
        <v>26</v>
      </c>
      <c r="AA7" s="164">
        <v>27</v>
      </c>
      <c r="AB7" s="163">
        <v>28</v>
      </c>
      <c r="AC7" s="164">
        <v>29</v>
      </c>
      <c r="AD7" s="163">
        <v>30</v>
      </c>
      <c r="AE7" s="163">
        <v>31</v>
      </c>
      <c r="AF7" s="164">
        <v>32</v>
      </c>
      <c r="AG7" s="163">
        <v>33</v>
      </c>
      <c r="AH7" s="164">
        <v>34</v>
      </c>
      <c r="AI7" s="163">
        <v>35</v>
      </c>
      <c r="AJ7" s="164">
        <v>36</v>
      </c>
      <c r="AK7" s="163">
        <v>37</v>
      </c>
      <c r="AL7" s="164">
        <v>38</v>
      </c>
      <c r="AM7" s="163">
        <v>39</v>
      </c>
      <c r="AN7" s="163">
        <v>40</v>
      </c>
      <c r="AO7" s="164">
        <v>41</v>
      </c>
      <c r="AP7" s="163">
        <v>42</v>
      </c>
      <c r="AQ7" s="164">
        <v>43</v>
      </c>
      <c r="AR7" s="163"/>
      <c r="AS7" s="163">
        <v>44</v>
      </c>
      <c r="AT7" s="164">
        <v>45</v>
      </c>
      <c r="AU7" s="163">
        <v>46</v>
      </c>
      <c r="AV7" s="164">
        <v>47</v>
      </c>
      <c r="AW7" s="163">
        <v>48</v>
      </c>
      <c r="AX7" s="163">
        <v>49</v>
      </c>
      <c r="AY7" s="164"/>
      <c r="AZ7" s="164">
        <v>50</v>
      </c>
      <c r="BA7" s="164">
        <v>51</v>
      </c>
      <c r="BB7" s="164">
        <v>52</v>
      </c>
      <c r="BC7" s="164">
        <v>53</v>
      </c>
      <c r="BD7" s="164">
        <v>54</v>
      </c>
      <c r="BE7" s="164"/>
      <c r="BF7" s="164">
        <v>55</v>
      </c>
      <c r="BG7" s="164">
        <v>56</v>
      </c>
    </row>
    <row r="8" spans="1:59" s="20" customFormat="1" ht="13.5" thickBot="1">
      <c r="A8" s="22" t="s">
        <v>54</v>
      </c>
      <c r="B8" s="165"/>
      <c r="C8" s="165">
        <f>Лист1!C44</f>
        <v>146002.485</v>
      </c>
      <c r="D8" s="165">
        <f>Лист1!D44</f>
        <v>138741.57356295</v>
      </c>
      <c r="E8" s="165">
        <f>Лист1!E44</f>
        <v>11998.69</v>
      </c>
      <c r="F8" s="165">
        <f>Лист1!F44</f>
        <v>3021.34</v>
      </c>
      <c r="G8" s="165">
        <f>0</f>
        <v>0</v>
      </c>
      <c r="H8" s="165">
        <f>0</f>
        <v>0</v>
      </c>
      <c r="I8" s="165">
        <f>Лист1!G44</f>
        <v>16233.3</v>
      </c>
      <c r="J8" s="165">
        <f>Лист1!H44</f>
        <v>4090.45</v>
      </c>
      <c r="K8" s="165">
        <f>Лист1!K44</f>
        <v>27039.61</v>
      </c>
      <c r="L8" s="165">
        <f>Лист1!L44</f>
        <v>6809.250000000002</v>
      </c>
      <c r="M8" s="165">
        <f>Лист1!I44</f>
        <v>39038.479999999996</v>
      </c>
      <c r="N8" s="165">
        <f>Лист1!J44</f>
        <v>9830.59</v>
      </c>
      <c r="O8" s="165">
        <f>Лист1!M44</f>
        <v>9599.16</v>
      </c>
      <c r="P8" s="165">
        <f>Лист1!N44</f>
        <v>2416.96</v>
      </c>
      <c r="Q8" s="165">
        <f>'[2]Лист1'!O44</f>
        <v>0</v>
      </c>
      <c r="R8" s="165">
        <f>'[2]Лист1'!P44</f>
        <v>0</v>
      </c>
      <c r="S8" s="165">
        <f>'[2]Лист1'!Q44</f>
        <v>0</v>
      </c>
      <c r="T8" s="165">
        <f>'[2]Лист1'!R44</f>
        <v>0</v>
      </c>
      <c r="U8" s="165">
        <f>Лист1!S44</f>
        <v>103909.24000000002</v>
      </c>
      <c r="V8" s="165">
        <f>Лист1!T44</f>
        <v>26168.589999999997</v>
      </c>
      <c r="W8" s="165">
        <f>Лист1!U44</f>
        <v>11091.45</v>
      </c>
      <c r="X8" s="165">
        <v>0</v>
      </c>
      <c r="Y8" s="165">
        <f>Лист1!V44</f>
        <v>15009.5</v>
      </c>
      <c r="Z8" s="165">
        <f>Лист1!X44</f>
        <v>24992.159999999996</v>
      </c>
      <c r="AA8" s="165">
        <f>Лист1!W44</f>
        <v>37883.79</v>
      </c>
      <c r="AB8" s="165">
        <f>Лист1!Y44</f>
        <v>8873.28</v>
      </c>
      <c r="AC8" s="165">
        <f>'[3]Лист1'!Z46</f>
        <v>0</v>
      </c>
      <c r="AD8" s="165">
        <f>'[3]Лист1'!AA46</f>
        <v>0</v>
      </c>
      <c r="AF8" s="165">
        <f>Лист1!AB44</f>
        <v>97850.18</v>
      </c>
      <c r="AG8" s="165">
        <f>Лист1!AC44</f>
        <v>262760.34356295003</v>
      </c>
      <c r="AH8" s="165">
        <f>'[3]Лист1'!AD46</f>
        <v>0</v>
      </c>
      <c r="AI8" s="165">
        <f>'[3]Лист1'!AE46</f>
        <v>0</v>
      </c>
      <c r="AJ8" s="165">
        <f>'[1]Лист1'!AF44</f>
        <v>0</v>
      </c>
      <c r="AK8" s="165">
        <f>Лист1!AG44</f>
        <v>9977.268</v>
      </c>
      <c r="AL8" s="165">
        <f>Лист1!AH44</f>
        <v>3343.1868676000004</v>
      </c>
      <c r="AM8" s="165">
        <f>Лист1!AI44+Лист1!AJ44</f>
        <v>16561.787071597002</v>
      </c>
      <c r="AN8" s="165">
        <v>0</v>
      </c>
      <c r="AO8" s="165">
        <f>Лист1!AK44+Лист1!AL44</f>
        <v>16520.063591937</v>
      </c>
      <c r="AP8" s="165">
        <f>Лист1!AM44+Лист1!AN44</f>
        <v>36955.8422186416</v>
      </c>
      <c r="AQ8" s="165">
        <v>0</v>
      </c>
      <c r="AR8" s="165">
        <v>0</v>
      </c>
      <c r="AS8" s="165">
        <f>0</f>
        <v>0</v>
      </c>
      <c r="AT8" s="165">
        <f>'[1]Лист1'!AO44</f>
        <v>0</v>
      </c>
      <c r="AU8" s="165">
        <f>Лист1!AS44+Лист1!AU44</f>
        <v>27269.091399999998</v>
      </c>
      <c r="AV8" s="165">
        <f>0</f>
        <v>0</v>
      </c>
      <c r="AW8" s="165">
        <f>Лист1!AT44</f>
        <v>157285.03999999998</v>
      </c>
      <c r="AX8" s="165">
        <f>Лист1!AQ44+Лист1!AR44</f>
        <v>39371.0186</v>
      </c>
      <c r="AY8" s="166">
        <f>Лист1!AX44</f>
        <v>5332.552000000001</v>
      </c>
      <c r="AZ8" s="166">
        <f>'[3]Лист1'!AY46</f>
        <v>0</v>
      </c>
      <c r="BA8" s="166">
        <f>'[3]Лист1'!AZ46</f>
        <v>0</v>
      </c>
      <c r="BB8" s="166">
        <f>'[3]Лист1'!BA46</f>
        <v>0</v>
      </c>
      <c r="BC8" s="166">
        <f>Лист1!BB44</f>
        <v>312615.8497497756</v>
      </c>
      <c r="BD8" s="166">
        <f>'[3]Лист1'!BC46</f>
        <v>0</v>
      </c>
      <c r="BE8" s="167">
        <f>'2012 полн'!BC8</f>
        <v>312615.8497497756</v>
      </c>
      <c r="BF8" s="168">
        <f>Лист1!BD44</f>
        <v>-49855.5061868256</v>
      </c>
      <c r="BG8" s="168">
        <f>Лист1!BE44</f>
        <v>-6059.060000000005</v>
      </c>
    </row>
    <row r="9" spans="1:59" ht="12.75">
      <c r="A9" s="5" t="s">
        <v>117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70"/>
      <c r="BF9" s="168"/>
      <c r="BG9" s="171"/>
    </row>
    <row r="10" spans="1:59" ht="12.75">
      <c r="A10" s="172" t="s">
        <v>45</v>
      </c>
      <c r="B10" s="156">
        <v>625</v>
      </c>
      <c r="C10" s="122">
        <f aca="true" t="shared" si="0" ref="C10:C21">B10*8.55</f>
        <v>5343.75</v>
      </c>
      <c r="D10" s="99">
        <v>52.224</v>
      </c>
      <c r="E10" s="142">
        <v>0</v>
      </c>
      <c r="F10" s="143">
        <v>0</v>
      </c>
      <c r="G10" s="142">
        <v>3315.39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1610.06</v>
      </c>
      <c r="N10" s="142">
        <v>0</v>
      </c>
      <c r="O10" s="142">
        <v>558.5</v>
      </c>
      <c r="P10" s="143">
        <v>0</v>
      </c>
      <c r="Q10" s="173">
        <v>0</v>
      </c>
      <c r="R10" s="174">
        <v>0</v>
      </c>
      <c r="S10" s="175">
        <v>0</v>
      </c>
      <c r="T10" s="174">
        <v>0</v>
      </c>
      <c r="U10" s="176">
        <f aca="true" t="shared" si="1" ref="U10:V12">E10+G10+I10+K10+M10+O10+Q10+S10</f>
        <v>5483.95</v>
      </c>
      <c r="V10" s="177">
        <f t="shared" si="1"/>
        <v>0</v>
      </c>
      <c r="W10" s="145">
        <v>439.18</v>
      </c>
      <c r="X10" s="145"/>
      <c r="Y10" s="145">
        <v>594.76</v>
      </c>
      <c r="Z10" s="145">
        <v>990.06</v>
      </c>
      <c r="AA10" s="145">
        <v>1429.23</v>
      </c>
      <c r="AB10" s="145">
        <v>351.37</v>
      </c>
      <c r="AC10" s="144">
        <v>0</v>
      </c>
      <c r="AD10" s="144">
        <v>0</v>
      </c>
      <c r="AE10" s="178">
        <v>0</v>
      </c>
      <c r="AF10" s="178">
        <f>SUM(W10:AE10)</f>
        <v>3804.6</v>
      </c>
      <c r="AG10" s="179">
        <f>AF10+V10+D10</f>
        <v>3856.824</v>
      </c>
      <c r="AH10" s="180">
        <f aca="true" t="shared" si="2" ref="AH10:AI12">AC10</f>
        <v>0</v>
      </c>
      <c r="AI10" s="180">
        <f t="shared" si="2"/>
        <v>0</v>
      </c>
      <c r="AJ10" s="148"/>
      <c r="AK10" s="149">
        <f>0.67*B10</f>
        <v>418.75</v>
      </c>
      <c r="AL10" s="149">
        <f>B10*0.2</f>
        <v>125</v>
      </c>
      <c r="AM10" s="149">
        <f>B10*1</f>
        <v>625</v>
      </c>
      <c r="AN10" s="149">
        <f>B10*0.21</f>
        <v>131.25</v>
      </c>
      <c r="AO10" s="149">
        <f>2.02*B10</f>
        <v>1262.5</v>
      </c>
      <c r="AP10" s="149">
        <f>B10*1.03</f>
        <v>643.75</v>
      </c>
      <c r="AQ10" s="149">
        <f>B10*0.75</f>
        <v>468.75</v>
      </c>
      <c r="AR10" s="149">
        <f>B10*0.75</f>
        <v>468.75</v>
      </c>
      <c r="AS10" s="149">
        <f>B10*1.15</f>
        <v>718.75</v>
      </c>
      <c r="AT10" s="149"/>
      <c r="AU10" s="151"/>
      <c r="AV10" s="150"/>
      <c r="AW10" s="151"/>
      <c r="AX10" s="151"/>
      <c r="AY10" s="112"/>
      <c r="AZ10" s="154"/>
      <c r="BA10" s="154"/>
      <c r="BB10" s="154">
        <f>AZ10*0.18</f>
        <v>0</v>
      </c>
      <c r="BC10" s="154">
        <f>SUM(AK10:BB10)</f>
        <v>4862.5</v>
      </c>
      <c r="BD10" s="155"/>
      <c r="BE10" s="155">
        <f>BC10</f>
        <v>4862.5</v>
      </c>
      <c r="BF10" s="155">
        <f>AG10-BC10</f>
        <v>-1005.6759999999999</v>
      </c>
      <c r="BG10" s="155">
        <f>AF10-U10</f>
        <v>-1679.35</v>
      </c>
    </row>
    <row r="11" spans="1:59" ht="14.25">
      <c r="A11" s="172" t="s">
        <v>46</v>
      </c>
      <c r="B11" s="156">
        <v>625</v>
      </c>
      <c r="C11" s="122">
        <f t="shared" si="0"/>
        <v>5343.75</v>
      </c>
      <c r="D11" s="99">
        <v>52.224</v>
      </c>
      <c r="E11" s="142">
        <v>0</v>
      </c>
      <c r="F11" s="143">
        <v>0</v>
      </c>
      <c r="G11" s="142">
        <v>3315.39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1610.06</v>
      </c>
      <c r="N11" s="142">
        <v>0</v>
      </c>
      <c r="O11" s="142">
        <v>558.5</v>
      </c>
      <c r="P11" s="142">
        <v>0</v>
      </c>
      <c r="Q11" s="143">
        <v>0</v>
      </c>
      <c r="R11" s="143">
        <v>0</v>
      </c>
      <c r="S11" s="144">
        <v>0</v>
      </c>
      <c r="T11" s="145">
        <v>0</v>
      </c>
      <c r="U11" s="181">
        <f t="shared" si="1"/>
        <v>5483.95</v>
      </c>
      <c r="V11" s="177">
        <f t="shared" si="1"/>
        <v>0</v>
      </c>
      <c r="W11" s="182">
        <v>50.38</v>
      </c>
      <c r="X11" s="183">
        <v>3179.35</v>
      </c>
      <c r="Y11" s="182">
        <v>68.2</v>
      </c>
      <c r="Z11" s="182">
        <v>113.59</v>
      </c>
      <c r="AA11" s="182">
        <v>1707.72</v>
      </c>
      <c r="AB11" s="182">
        <v>2635.91</v>
      </c>
      <c r="AC11" s="183">
        <v>0</v>
      </c>
      <c r="AD11" s="183">
        <v>0</v>
      </c>
      <c r="AE11" s="183">
        <v>0</v>
      </c>
      <c r="AF11" s="178">
        <f>SUM(W11:AE11)</f>
        <v>7755.15</v>
      </c>
      <c r="AG11" s="179">
        <f>AF11+V11+D11</f>
        <v>7807.374</v>
      </c>
      <c r="AH11" s="180">
        <f t="shared" si="2"/>
        <v>0</v>
      </c>
      <c r="AI11" s="180">
        <f t="shared" si="2"/>
        <v>0</v>
      </c>
      <c r="AJ11" s="148"/>
      <c r="AK11" s="149">
        <f>0.67*B11</f>
        <v>418.75</v>
      </c>
      <c r="AL11" s="149">
        <f>B11*0.2</f>
        <v>125</v>
      </c>
      <c r="AM11" s="149">
        <f>B11*1</f>
        <v>625</v>
      </c>
      <c r="AN11" s="149">
        <f>B11*0.21</f>
        <v>131.25</v>
      </c>
      <c r="AO11" s="149">
        <f>2.02*B11</f>
        <v>1262.5</v>
      </c>
      <c r="AP11" s="149">
        <f>B11*1.03</f>
        <v>643.75</v>
      </c>
      <c r="AQ11" s="149">
        <f>B11*0.75</f>
        <v>468.75</v>
      </c>
      <c r="AR11" s="149">
        <f>B11*0.75</f>
        <v>468.75</v>
      </c>
      <c r="AS11" s="149">
        <f>B11*1.15</f>
        <v>718.75</v>
      </c>
      <c r="AT11" s="149"/>
      <c r="AU11" s="151"/>
      <c r="AV11" s="150"/>
      <c r="AW11" s="151"/>
      <c r="AX11" s="151">
        <f>80</f>
        <v>80</v>
      </c>
      <c r="AY11" s="112"/>
      <c r="AZ11" s="154"/>
      <c r="BA11" s="154"/>
      <c r="BB11" s="154">
        <f>AZ11*0.18</f>
        <v>0</v>
      </c>
      <c r="BC11" s="154">
        <f>SUM(AK11:BB11)</f>
        <v>4942.5</v>
      </c>
      <c r="BD11" s="155"/>
      <c r="BE11" s="155">
        <f aca="true" t="shared" si="3" ref="BE11:BE21">BC11</f>
        <v>4942.5</v>
      </c>
      <c r="BF11" s="155">
        <f>AG11-BC11</f>
        <v>2864.874</v>
      </c>
      <c r="BG11" s="155">
        <f>AF11-U11</f>
        <v>2271.2</v>
      </c>
    </row>
    <row r="12" spans="1:59" ht="12.75">
      <c r="A12" s="172" t="s">
        <v>47</v>
      </c>
      <c r="B12" s="156">
        <v>625</v>
      </c>
      <c r="C12" s="122">
        <f t="shared" si="0"/>
        <v>5343.75</v>
      </c>
      <c r="D12" s="99">
        <v>52.224</v>
      </c>
      <c r="E12" s="142">
        <v>0</v>
      </c>
      <c r="F12" s="143">
        <v>0</v>
      </c>
      <c r="G12" s="142">
        <v>3315.39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1610.06</v>
      </c>
      <c r="N12" s="142">
        <v>0</v>
      </c>
      <c r="O12" s="142">
        <v>558.5</v>
      </c>
      <c r="P12" s="142">
        <v>0</v>
      </c>
      <c r="Q12" s="142">
        <v>0</v>
      </c>
      <c r="R12" s="142">
        <v>0</v>
      </c>
      <c r="S12" s="142">
        <v>0</v>
      </c>
      <c r="T12" s="145">
        <v>0</v>
      </c>
      <c r="U12" s="145">
        <f t="shared" si="1"/>
        <v>5483.95</v>
      </c>
      <c r="V12" s="146">
        <f t="shared" si="1"/>
        <v>0</v>
      </c>
      <c r="W12" s="157">
        <v>2059.26</v>
      </c>
      <c r="X12" s="144">
        <v>2768.12</v>
      </c>
      <c r="Y12" s="145">
        <v>12.53</v>
      </c>
      <c r="Z12" s="145">
        <v>20.84</v>
      </c>
      <c r="AA12" s="145">
        <v>1373.94</v>
      </c>
      <c r="AB12" s="145">
        <v>473.58</v>
      </c>
      <c r="AC12" s="144">
        <v>0</v>
      </c>
      <c r="AD12" s="144">
        <v>0</v>
      </c>
      <c r="AE12" s="145">
        <v>0</v>
      </c>
      <c r="AF12" s="254">
        <f>SUM(W12:AE12)</f>
        <v>6708.27</v>
      </c>
      <c r="AG12" s="179">
        <f>AF12+V12+D12</f>
        <v>6760.494000000001</v>
      </c>
      <c r="AH12" s="180">
        <f t="shared" si="2"/>
        <v>0</v>
      </c>
      <c r="AI12" s="180">
        <f t="shared" si="2"/>
        <v>0</v>
      </c>
      <c r="AJ12" s="148"/>
      <c r="AK12" s="149">
        <f>0.67*B12</f>
        <v>418.75</v>
      </c>
      <c r="AL12" s="149">
        <f>B12*0.2</f>
        <v>125</v>
      </c>
      <c r="AM12" s="149">
        <f>B12*1</f>
        <v>625</v>
      </c>
      <c r="AN12" s="149">
        <f>B12*0.21</f>
        <v>131.25</v>
      </c>
      <c r="AO12" s="149">
        <f>2.02*B12</f>
        <v>1262.5</v>
      </c>
      <c r="AP12" s="149">
        <f>B12*1.03</f>
        <v>643.75</v>
      </c>
      <c r="AQ12" s="149">
        <f>B12*0.75</f>
        <v>468.75</v>
      </c>
      <c r="AR12" s="149">
        <f>B12*0.75</f>
        <v>468.75</v>
      </c>
      <c r="AS12" s="149">
        <f>B12*1.15</f>
        <v>718.75</v>
      </c>
      <c r="AT12" s="149"/>
      <c r="AU12" s="151"/>
      <c r="AV12" s="150"/>
      <c r="AW12" s="151"/>
      <c r="AX12" s="151"/>
      <c r="AY12" s="112"/>
      <c r="AZ12" s="154"/>
      <c r="BA12" s="154"/>
      <c r="BB12" s="154">
        <f>AZ12*0.18</f>
        <v>0</v>
      </c>
      <c r="BC12" s="154">
        <f>SUM(AK12:BB12)</f>
        <v>4862.5</v>
      </c>
      <c r="BD12" s="155"/>
      <c r="BE12" s="155">
        <f t="shared" si="3"/>
        <v>4862.5</v>
      </c>
      <c r="BF12" s="155">
        <f>AG12-BC12</f>
        <v>1897.9940000000006</v>
      </c>
      <c r="BG12" s="155">
        <f>AF12-U12</f>
        <v>1224.3200000000006</v>
      </c>
    </row>
    <row r="13" spans="1:59" ht="12.75">
      <c r="A13" s="172" t="s">
        <v>48</v>
      </c>
      <c r="B13" s="156">
        <v>625</v>
      </c>
      <c r="C13" s="122">
        <f t="shared" si="0"/>
        <v>5343.75</v>
      </c>
      <c r="D13" s="99">
        <v>52.224</v>
      </c>
      <c r="E13" s="173">
        <v>0</v>
      </c>
      <c r="F13" s="143">
        <v>0</v>
      </c>
      <c r="G13" s="142">
        <v>3334.2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1619.3</v>
      </c>
      <c r="N13" s="142">
        <v>0</v>
      </c>
      <c r="O13" s="142">
        <v>561.81</v>
      </c>
      <c r="P13" s="142">
        <v>0</v>
      </c>
      <c r="Q13" s="143">
        <v>0</v>
      </c>
      <c r="R13" s="143">
        <v>0</v>
      </c>
      <c r="S13" s="186">
        <v>0</v>
      </c>
      <c r="T13" s="184">
        <v>0</v>
      </c>
      <c r="U13" s="181">
        <f aca="true" t="shared" si="4" ref="U13:V21">E13+G13+I13+K13+M13+O13+Q13+S13</f>
        <v>5515.3099999999995</v>
      </c>
      <c r="V13" s="146">
        <f t="shared" si="4"/>
        <v>0</v>
      </c>
      <c r="W13" s="145">
        <v>-1702.58</v>
      </c>
      <c r="X13" s="144">
        <v>3456.97</v>
      </c>
      <c r="Y13" s="145">
        <v>470.82</v>
      </c>
      <c r="Z13" s="145">
        <v>783.51</v>
      </c>
      <c r="AA13" s="145">
        <v>1495.56</v>
      </c>
      <c r="AB13" s="144">
        <v>-1031.22</v>
      </c>
      <c r="AC13" s="145">
        <v>0</v>
      </c>
      <c r="AD13" s="144">
        <v>0</v>
      </c>
      <c r="AE13" s="144">
        <v>0</v>
      </c>
      <c r="AF13" s="178">
        <f>SUM(W13:AD13)</f>
        <v>3473.0600000000004</v>
      </c>
      <c r="AG13" s="187">
        <f>AF13+V13+D13</f>
        <v>3525.2840000000006</v>
      </c>
      <c r="AH13" s="188">
        <f aca="true" t="shared" si="5" ref="AH13:AI21">AC13</f>
        <v>0</v>
      </c>
      <c r="AI13" s="188">
        <f t="shared" si="5"/>
        <v>0</v>
      </c>
      <c r="AJ13" s="189"/>
      <c r="AK13" s="149">
        <f aca="true" t="shared" si="6" ref="AK13:AK21">0.67*B13</f>
        <v>418.75</v>
      </c>
      <c r="AL13" s="149">
        <f aca="true" t="shared" si="7" ref="AL13:AL21">B13*0.2</f>
        <v>125</v>
      </c>
      <c r="AM13" s="149">
        <f aca="true" t="shared" si="8" ref="AM13:AM21">B13*1</f>
        <v>625</v>
      </c>
      <c r="AN13" s="149">
        <f aca="true" t="shared" si="9" ref="AN13:AN21">B13*0.21</f>
        <v>131.25</v>
      </c>
      <c r="AO13" s="149">
        <f aca="true" t="shared" si="10" ref="AO13:AO21">2.02*B13</f>
        <v>1262.5</v>
      </c>
      <c r="AP13" s="149">
        <f aca="true" t="shared" si="11" ref="AP13:AP21">B13*1.03</f>
        <v>643.75</v>
      </c>
      <c r="AQ13" s="149">
        <f aca="true" t="shared" si="12" ref="AQ13:AQ21">B13*0.75</f>
        <v>468.75</v>
      </c>
      <c r="AR13" s="149">
        <f aca="true" t="shared" si="13" ref="AR13:AR21">B13*0.75</f>
        <v>468.75</v>
      </c>
      <c r="AS13" s="149"/>
      <c r="AT13" s="190"/>
      <c r="AU13" s="191"/>
      <c r="AV13" s="191"/>
      <c r="AW13" s="191"/>
      <c r="AX13" s="191">
        <v>30</v>
      </c>
      <c r="AY13" s="112"/>
      <c r="AZ13" s="190"/>
      <c r="BA13" s="190"/>
      <c r="BB13" s="190"/>
      <c r="BC13" s="205">
        <f>SUM(AK13:BB13)</f>
        <v>4173.75</v>
      </c>
      <c r="BD13" s="192"/>
      <c r="BE13" s="155">
        <f t="shared" si="3"/>
        <v>4173.75</v>
      </c>
      <c r="BF13" s="155">
        <f>AG13-BC13</f>
        <v>-648.4659999999994</v>
      </c>
      <c r="BG13" s="155">
        <f>AF13-U13</f>
        <v>-2042.249999999999</v>
      </c>
    </row>
    <row r="14" spans="1:59" ht="12.75">
      <c r="A14" s="172" t="s">
        <v>49</v>
      </c>
      <c r="B14" s="193">
        <v>625</v>
      </c>
      <c r="C14" s="122">
        <f t="shared" si="0"/>
        <v>5343.75</v>
      </c>
      <c r="D14" s="99">
        <v>52.224</v>
      </c>
      <c r="E14" s="141">
        <v>0</v>
      </c>
      <c r="F14" s="143">
        <v>0</v>
      </c>
      <c r="G14" s="142">
        <v>3334.2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1619.3</v>
      </c>
      <c r="N14" s="142">
        <v>0</v>
      </c>
      <c r="O14" s="142">
        <v>561.81</v>
      </c>
      <c r="P14" s="142">
        <v>0</v>
      </c>
      <c r="Q14" s="143">
        <v>0</v>
      </c>
      <c r="R14" s="143">
        <v>0</v>
      </c>
      <c r="S14" s="142">
        <v>0</v>
      </c>
      <c r="T14" s="144">
        <v>0</v>
      </c>
      <c r="U14" s="194">
        <f t="shared" si="4"/>
        <v>5515.3099999999995</v>
      </c>
      <c r="V14" s="195">
        <f>F14+H14+J14+L14+N14++R14+T14</f>
        <v>0</v>
      </c>
      <c r="W14" s="145">
        <v>3.44</v>
      </c>
      <c r="X14" s="144">
        <v>3723.42</v>
      </c>
      <c r="Y14" s="145">
        <v>4.66</v>
      </c>
      <c r="Z14" s="145">
        <v>2057.76</v>
      </c>
      <c r="AA14" s="145">
        <v>1819.59</v>
      </c>
      <c r="AB14" s="145">
        <v>630.23</v>
      </c>
      <c r="AC14" s="144">
        <v>0</v>
      </c>
      <c r="AD14" s="144">
        <v>0</v>
      </c>
      <c r="AE14" s="178">
        <v>0</v>
      </c>
      <c r="AF14" s="196">
        <f>SUM(W14:AE14)</f>
        <v>8239.1</v>
      </c>
      <c r="AG14" s="187">
        <f aca="true" t="shared" si="14" ref="AG14:AG21">D14+V14+AF14</f>
        <v>8291.324</v>
      </c>
      <c r="AH14" s="188">
        <f t="shared" si="5"/>
        <v>0</v>
      </c>
      <c r="AI14" s="188">
        <f t="shared" si="5"/>
        <v>0</v>
      </c>
      <c r="AJ14" s="189"/>
      <c r="AK14" s="149">
        <f t="shared" si="6"/>
        <v>418.75</v>
      </c>
      <c r="AL14" s="149">
        <f t="shared" si="7"/>
        <v>125</v>
      </c>
      <c r="AM14" s="149">
        <f t="shared" si="8"/>
        <v>625</v>
      </c>
      <c r="AN14" s="149">
        <f t="shared" si="9"/>
        <v>131.25</v>
      </c>
      <c r="AO14" s="149">
        <f t="shared" si="10"/>
        <v>1262.5</v>
      </c>
      <c r="AP14" s="149">
        <f t="shared" si="11"/>
        <v>643.75</v>
      </c>
      <c r="AQ14" s="149">
        <f t="shared" si="12"/>
        <v>468.75</v>
      </c>
      <c r="AR14" s="149">
        <f t="shared" si="13"/>
        <v>468.75</v>
      </c>
      <c r="AS14" s="149"/>
      <c r="AT14" s="190"/>
      <c r="AU14" s="191"/>
      <c r="AV14" s="191"/>
      <c r="AW14" s="191"/>
      <c r="AX14" s="191">
        <v>10</v>
      </c>
      <c r="AY14" s="112"/>
      <c r="AZ14" s="190"/>
      <c r="BA14" s="190"/>
      <c r="BB14" s="190"/>
      <c r="BC14" s="205">
        <f>SUM(AK14:BB14)</f>
        <v>4153.75</v>
      </c>
      <c r="BD14" s="192"/>
      <c r="BE14" s="155">
        <f t="shared" si="3"/>
        <v>4153.75</v>
      </c>
      <c r="BF14" s="155">
        <f>AG14-BC14</f>
        <v>4137.5740000000005</v>
      </c>
      <c r="BG14" s="155">
        <f>AF14-U14</f>
        <v>2723.790000000001</v>
      </c>
    </row>
    <row r="15" spans="1:59" ht="12.75">
      <c r="A15" s="172" t="s">
        <v>50</v>
      </c>
      <c r="B15" s="156">
        <v>625</v>
      </c>
      <c r="C15" s="122">
        <f t="shared" si="0"/>
        <v>5343.75</v>
      </c>
      <c r="D15" s="250">
        <f>52.224+75000</f>
        <v>75052.224</v>
      </c>
      <c r="E15" s="197">
        <v>0</v>
      </c>
      <c r="F15" s="197"/>
      <c r="G15" s="197">
        <v>3353.01</v>
      </c>
      <c r="H15" s="197"/>
      <c r="I15" s="198">
        <v>0</v>
      </c>
      <c r="J15" s="198"/>
      <c r="K15" s="198">
        <v>0</v>
      </c>
      <c r="L15" s="198"/>
      <c r="M15" s="198">
        <v>1628.55</v>
      </c>
      <c r="N15" s="198"/>
      <c r="O15" s="198">
        <v>565.11</v>
      </c>
      <c r="P15" s="198"/>
      <c r="Q15" s="198">
        <v>0</v>
      </c>
      <c r="R15" s="199"/>
      <c r="S15" s="199">
        <v>0</v>
      </c>
      <c r="T15" s="198"/>
      <c r="U15" s="200">
        <f t="shared" si="4"/>
        <v>5546.67</v>
      </c>
      <c r="V15" s="201">
        <f t="shared" si="4"/>
        <v>0</v>
      </c>
      <c r="W15" s="202">
        <v>0</v>
      </c>
      <c r="X15" s="197">
        <v>2691.87</v>
      </c>
      <c r="Y15" s="197">
        <v>1850</v>
      </c>
      <c r="Z15" s="197">
        <v>0</v>
      </c>
      <c r="AA15" s="197">
        <v>1307.48</v>
      </c>
      <c r="AB15" s="197">
        <v>453.73</v>
      </c>
      <c r="AC15" s="197">
        <v>0</v>
      </c>
      <c r="AD15" s="197">
        <v>0</v>
      </c>
      <c r="AE15" s="203">
        <v>0</v>
      </c>
      <c r="AF15" s="204">
        <f aca="true" t="shared" si="15" ref="AF15:AF21">SUM(W15:AE15)</f>
        <v>6303.08</v>
      </c>
      <c r="AG15" s="187">
        <f t="shared" si="14"/>
        <v>81355.304</v>
      </c>
      <c r="AH15" s="188">
        <f t="shared" si="5"/>
        <v>0</v>
      </c>
      <c r="AI15" s="188">
        <f t="shared" si="5"/>
        <v>0</v>
      </c>
      <c r="AJ15" s="189"/>
      <c r="AK15" s="149">
        <f t="shared" si="6"/>
        <v>418.75</v>
      </c>
      <c r="AL15" s="149">
        <f t="shared" si="7"/>
        <v>125</v>
      </c>
      <c r="AM15" s="149">
        <f t="shared" si="8"/>
        <v>625</v>
      </c>
      <c r="AN15" s="149">
        <f t="shared" si="9"/>
        <v>131.25</v>
      </c>
      <c r="AO15" s="149">
        <f t="shared" si="10"/>
        <v>1262.5</v>
      </c>
      <c r="AP15" s="149">
        <f t="shared" si="11"/>
        <v>643.75</v>
      </c>
      <c r="AQ15" s="149">
        <f t="shared" si="12"/>
        <v>468.75</v>
      </c>
      <c r="AR15" s="149">
        <f t="shared" si="13"/>
        <v>468.75</v>
      </c>
      <c r="AS15" s="149"/>
      <c r="AT15" s="190"/>
      <c r="AU15" s="191"/>
      <c r="AV15" s="191"/>
      <c r="AW15" s="255">
        <v>75000</v>
      </c>
      <c r="AY15" s="149"/>
      <c r="AZ15" s="190"/>
      <c r="BA15" s="190"/>
      <c r="BB15" s="190"/>
      <c r="BC15" s="205">
        <f>SUM(AK15:BB15)</f>
        <v>79143.75</v>
      </c>
      <c r="BD15" s="192"/>
      <c r="BE15" s="155">
        <f t="shared" si="3"/>
        <v>79143.75</v>
      </c>
      <c r="BF15" s="155">
        <f>AG15-BC15</f>
        <v>2211.5540000000037</v>
      </c>
      <c r="BG15" s="155">
        <f>AF15-U15</f>
        <v>756.4099999999999</v>
      </c>
    </row>
    <row r="16" spans="1:59" ht="12.75">
      <c r="A16" s="172" t="s">
        <v>51</v>
      </c>
      <c r="B16" s="156">
        <v>625</v>
      </c>
      <c r="C16" s="122">
        <f t="shared" si="0"/>
        <v>5343.75</v>
      </c>
      <c r="D16" s="185">
        <v>52.224</v>
      </c>
      <c r="E16" s="206"/>
      <c r="F16" s="206"/>
      <c r="G16" s="206">
        <v>3329.07</v>
      </c>
      <c r="H16" s="206"/>
      <c r="I16" s="206"/>
      <c r="J16" s="206"/>
      <c r="K16" s="206"/>
      <c r="L16" s="206"/>
      <c r="M16" s="206">
        <v>1616.78</v>
      </c>
      <c r="N16" s="206"/>
      <c r="O16" s="206">
        <v>560.91</v>
      </c>
      <c r="P16" s="206"/>
      <c r="Q16" s="206"/>
      <c r="R16" s="206"/>
      <c r="S16" s="207"/>
      <c r="T16" s="202"/>
      <c r="U16" s="208">
        <f t="shared" si="4"/>
        <v>5506.76</v>
      </c>
      <c r="V16" s="251">
        <f t="shared" si="4"/>
        <v>0</v>
      </c>
      <c r="W16" s="209">
        <v>0</v>
      </c>
      <c r="X16" s="206">
        <v>5232.78</v>
      </c>
      <c r="Y16" s="206">
        <v>-1850</v>
      </c>
      <c r="Z16" s="206">
        <v>-2050</v>
      </c>
      <c r="AA16" s="206">
        <v>2055.46</v>
      </c>
      <c r="AB16" s="206">
        <v>712.89</v>
      </c>
      <c r="AC16" s="197"/>
      <c r="AD16" s="206"/>
      <c r="AE16" s="207"/>
      <c r="AF16" s="204">
        <f t="shared" si="15"/>
        <v>4101.13</v>
      </c>
      <c r="AG16" s="210">
        <f t="shared" si="14"/>
        <v>4153.354</v>
      </c>
      <c r="AH16" s="188">
        <f t="shared" si="5"/>
        <v>0</v>
      </c>
      <c r="AI16" s="188">
        <f t="shared" si="5"/>
        <v>0</v>
      </c>
      <c r="AJ16" s="189"/>
      <c r="AK16" s="149">
        <f t="shared" si="6"/>
        <v>418.75</v>
      </c>
      <c r="AL16" s="149">
        <f t="shared" si="7"/>
        <v>125</v>
      </c>
      <c r="AM16" s="149">
        <f t="shared" si="8"/>
        <v>625</v>
      </c>
      <c r="AN16" s="149">
        <f t="shared" si="9"/>
        <v>131.25</v>
      </c>
      <c r="AO16" s="149">
        <f t="shared" si="10"/>
        <v>1262.5</v>
      </c>
      <c r="AP16" s="149">
        <f t="shared" si="11"/>
        <v>643.75</v>
      </c>
      <c r="AQ16" s="149">
        <f t="shared" si="12"/>
        <v>468.75</v>
      </c>
      <c r="AR16" s="149">
        <f t="shared" si="13"/>
        <v>468.75</v>
      </c>
      <c r="AS16" s="149"/>
      <c r="AT16" s="190"/>
      <c r="AU16" s="191"/>
      <c r="AV16" s="191"/>
      <c r="AW16" s="191"/>
      <c r="AX16" s="191">
        <f>74.43+18.86</f>
        <v>93.29</v>
      </c>
      <c r="AY16" s="112"/>
      <c r="AZ16" s="190"/>
      <c r="BA16" s="190"/>
      <c r="BB16" s="190"/>
      <c r="BC16" s="205">
        <f>SUM(AK16:BB16)</f>
        <v>4237.04</v>
      </c>
      <c r="BD16" s="211"/>
      <c r="BE16" s="155">
        <f t="shared" si="3"/>
        <v>4237.04</v>
      </c>
      <c r="BF16" s="155">
        <f>AG16-BC16</f>
        <v>-83.6859999999997</v>
      </c>
      <c r="BG16" s="155">
        <f>AF16-U16</f>
        <v>-1405.63</v>
      </c>
    </row>
    <row r="17" spans="1:59" ht="12.75">
      <c r="A17" s="172" t="s">
        <v>52</v>
      </c>
      <c r="B17" s="156">
        <v>625</v>
      </c>
      <c r="C17" s="122">
        <f t="shared" si="0"/>
        <v>5343.75</v>
      </c>
      <c r="D17" s="185">
        <v>52.224</v>
      </c>
      <c r="E17" s="212"/>
      <c r="F17" s="212"/>
      <c r="G17" s="212">
        <v>3329.07</v>
      </c>
      <c r="H17" s="212"/>
      <c r="I17" s="212"/>
      <c r="J17" s="212"/>
      <c r="K17" s="212"/>
      <c r="L17" s="212"/>
      <c r="M17" s="212">
        <v>1616.78</v>
      </c>
      <c r="N17" s="212"/>
      <c r="O17" s="212">
        <v>560.91</v>
      </c>
      <c r="P17" s="212"/>
      <c r="Q17" s="212"/>
      <c r="R17" s="212"/>
      <c r="S17" s="213"/>
      <c r="T17" s="203"/>
      <c r="U17" s="252">
        <f t="shared" si="4"/>
        <v>5506.76</v>
      </c>
      <c r="V17" s="253">
        <f t="shared" si="4"/>
        <v>0</v>
      </c>
      <c r="W17" s="206">
        <v>0</v>
      </c>
      <c r="X17" s="206">
        <v>3113.69</v>
      </c>
      <c r="Y17" s="206">
        <v>0</v>
      </c>
      <c r="Z17" s="206">
        <v>0</v>
      </c>
      <c r="AA17" s="206">
        <v>1512.45</v>
      </c>
      <c r="AB17" s="206">
        <v>525.01</v>
      </c>
      <c r="AC17" s="206"/>
      <c r="AD17" s="206"/>
      <c r="AE17" s="207"/>
      <c r="AF17" s="204">
        <f t="shared" si="15"/>
        <v>5151.150000000001</v>
      </c>
      <c r="AG17" s="210">
        <f t="shared" si="14"/>
        <v>5203.374000000001</v>
      </c>
      <c r="AH17" s="188">
        <f t="shared" si="5"/>
        <v>0</v>
      </c>
      <c r="AI17" s="188">
        <f t="shared" si="5"/>
        <v>0</v>
      </c>
      <c r="AJ17" s="189"/>
      <c r="AK17" s="149">
        <f t="shared" si="6"/>
        <v>418.75</v>
      </c>
      <c r="AL17" s="149">
        <f t="shared" si="7"/>
        <v>125</v>
      </c>
      <c r="AM17" s="149">
        <f t="shared" si="8"/>
        <v>625</v>
      </c>
      <c r="AN17" s="149">
        <f t="shared" si="9"/>
        <v>131.25</v>
      </c>
      <c r="AO17" s="149">
        <f t="shared" si="10"/>
        <v>1262.5</v>
      </c>
      <c r="AP17" s="149">
        <f t="shared" si="11"/>
        <v>643.75</v>
      </c>
      <c r="AQ17" s="149">
        <f t="shared" si="12"/>
        <v>468.75</v>
      </c>
      <c r="AR17" s="149">
        <f t="shared" si="13"/>
        <v>468.75</v>
      </c>
      <c r="AS17" s="149"/>
      <c r="AT17" s="190"/>
      <c r="AU17" s="191"/>
      <c r="AV17" s="191"/>
      <c r="AW17" s="191"/>
      <c r="AX17" s="191"/>
      <c r="AY17" s="112"/>
      <c r="AZ17" s="190"/>
      <c r="BA17" s="190"/>
      <c r="BB17" s="190"/>
      <c r="BC17" s="205">
        <f>SUM(AK17:BB17)</f>
        <v>4143.75</v>
      </c>
      <c r="BD17" s="211"/>
      <c r="BE17" s="155">
        <f t="shared" si="3"/>
        <v>4143.75</v>
      </c>
      <c r="BF17" s="155">
        <f>AG17-BC17</f>
        <v>1059.6240000000007</v>
      </c>
      <c r="BG17" s="155">
        <f>AF17-U17</f>
        <v>-355.6099999999997</v>
      </c>
    </row>
    <row r="18" spans="1:59" ht="12.75">
      <c r="A18" s="172" t="s">
        <v>53</v>
      </c>
      <c r="B18" s="156">
        <v>625</v>
      </c>
      <c r="C18" s="122">
        <f t="shared" si="0"/>
        <v>5343.75</v>
      </c>
      <c r="D18" s="185">
        <v>0</v>
      </c>
      <c r="E18" s="206"/>
      <c r="F18" s="206"/>
      <c r="G18" s="206">
        <v>3329.07</v>
      </c>
      <c r="H18" s="206"/>
      <c r="I18" s="206"/>
      <c r="J18" s="206"/>
      <c r="K18" s="206"/>
      <c r="L18" s="206"/>
      <c r="M18" s="206">
        <v>1616.8</v>
      </c>
      <c r="N18" s="206"/>
      <c r="O18" s="206">
        <v>560.92</v>
      </c>
      <c r="P18" s="206"/>
      <c r="Q18" s="206"/>
      <c r="R18" s="206"/>
      <c r="S18" s="207"/>
      <c r="T18" s="214"/>
      <c r="U18" s="214">
        <f t="shared" si="4"/>
        <v>5506.79</v>
      </c>
      <c r="V18" s="215">
        <f t="shared" si="4"/>
        <v>0</v>
      </c>
      <c r="W18" s="206">
        <v>2.58</v>
      </c>
      <c r="X18" s="206">
        <v>3069.77</v>
      </c>
      <c r="Y18" s="206">
        <v>3.5</v>
      </c>
      <c r="Z18" s="206">
        <v>5.82</v>
      </c>
      <c r="AA18" s="206">
        <v>1499.15</v>
      </c>
      <c r="AB18" s="206">
        <v>519.13</v>
      </c>
      <c r="AC18" s="206"/>
      <c r="AD18" s="206"/>
      <c r="AE18" s="207"/>
      <c r="AF18" s="204">
        <f t="shared" si="15"/>
        <v>5099.95</v>
      </c>
      <c r="AG18" s="210">
        <f t="shared" si="14"/>
        <v>5099.95</v>
      </c>
      <c r="AH18" s="188">
        <f t="shared" si="5"/>
        <v>0</v>
      </c>
      <c r="AI18" s="188">
        <f t="shared" si="5"/>
        <v>0</v>
      </c>
      <c r="AJ18" s="189"/>
      <c r="AK18" s="149">
        <f t="shared" si="6"/>
        <v>418.75</v>
      </c>
      <c r="AL18" s="149">
        <f t="shared" si="7"/>
        <v>125</v>
      </c>
      <c r="AM18" s="149">
        <f t="shared" si="8"/>
        <v>625</v>
      </c>
      <c r="AN18" s="149">
        <f t="shared" si="9"/>
        <v>131.25</v>
      </c>
      <c r="AO18" s="149">
        <f t="shared" si="10"/>
        <v>1262.5</v>
      </c>
      <c r="AP18" s="149">
        <f t="shared" si="11"/>
        <v>643.75</v>
      </c>
      <c r="AQ18" s="149">
        <f t="shared" si="12"/>
        <v>468.75</v>
      </c>
      <c r="AR18" s="149">
        <f t="shared" si="13"/>
        <v>468.75</v>
      </c>
      <c r="AS18" s="149"/>
      <c r="AT18" s="190"/>
      <c r="AU18" s="191"/>
      <c r="AV18" s="191"/>
      <c r="AW18" s="191"/>
      <c r="AX18" s="191"/>
      <c r="AY18" s="112"/>
      <c r="AZ18" s="190"/>
      <c r="BA18" s="190"/>
      <c r="BB18" s="190"/>
      <c r="BC18" s="205">
        <f>SUM(AK18:BB18)</f>
        <v>4143.75</v>
      </c>
      <c r="BD18" s="211"/>
      <c r="BE18" s="155">
        <f t="shared" si="3"/>
        <v>4143.75</v>
      </c>
      <c r="BF18" s="155">
        <f>AG18-BC18</f>
        <v>956.1999999999998</v>
      </c>
      <c r="BG18" s="155">
        <f>AF18-U18</f>
        <v>-406.84000000000015</v>
      </c>
    </row>
    <row r="19" spans="1:59" ht="12.75">
      <c r="A19" s="172" t="s">
        <v>41</v>
      </c>
      <c r="B19" s="156">
        <v>625</v>
      </c>
      <c r="C19" s="122">
        <f t="shared" si="0"/>
        <v>5343.75</v>
      </c>
      <c r="D19" s="216">
        <v>0</v>
      </c>
      <c r="E19" s="197"/>
      <c r="F19" s="197"/>
      <c r="G19" s="197">
        <v>3336.95</v>
      </c>
      <c r="H19" s="197"/>
      <c r="I19" s="197"/>
      <c r="J19" s="197"/>
      <c r="K19" s="197"/>
      <c r="L19" s="197"/>
      <c r="M19" s="197">
        <v>1620.66</v>
      </c>
      <c r="N19" s="197"/>
      <c r="O19" s="197">
        <v>562.29</v>
      </c>
      <c r="P19" s="197"/>
      <c r="Q19" s="197"/>
      <c r="R19" s="197"/>
      <c r="S19" s="203"/>
      <c r="T19" s="217"/>
      <c r="U19" s="218">
        <f t="shared" si="4"/>
        <v>5519.9</v>
      </c>
      <c r="V19" s="219">
        <f t="shared" si="4"/>
        <v>0</v>
      </c>
      <c r="W19" s="197">
        <v>0</v>
      </c>
      <c r="X19" s="197">
        <v>2477.08</v>
      </c>
      <c r="Y19" s="197">
        <v>0</v>
      </c>
      <c r="Z19" s="197">
        <v>0</v>
      </c>
      <c r="AA19" s="197">
        <v>1203.04</v>
      </c>
      <c r="AB19" s="197">
        <v>417.4</v>
      </c>
      <c r="AC19" s="197"/>
      <c r="AD19" s="197"/>
      <c r="AE19" s="203"/>
      <c r="AF19" s="204">
        <f t="shared" si="15"/>
        <v>4097.5199999999995</v>
      </c>
      <c r="AG19" s="210">
        <f t="shared" si="14"/>
        <v>4097.5199999999995</v>
      </c>
      <c r="AH19" s="188">
        <f t="shared" si="5"/>
        <v>0</v>
      </c>
      <c r="AI19" s="188">
        <f t="shared" si="5"/>
        <v>0</v>
      </c>
      <c r="AJ19" s="189"/>
      <c r="AK19" s="149">
        <f t="shared" si="6"/>
        <v>418.75</v>
      </c>
      <c r="AL19" s="149">
        <f t="shared" si="7"/>
        <v>125</v>
      </c>
      <c r="AM19" s="149">
        <f t="shared" si="8"/>
        <v>625</v>
      </c>
      <c r="AN19" s="149">
        <f t="shared" si="9"/>
        <v>131.25</v>
      </c>
      <c r="AO19" s="149">
        <f t="shared" si="10"/>
        <v>1262.5</v>
      </c>
      <c r="AP19" s="149">
        <f t="shared" si="11"/>
        <v>643.75</v>
      </c>
      <c r="AQ19" s="149">
        <f t="shared" si="12"/>
        <v>468.75</v>
      </c>
      <c r="AR19" s="149">
        <f t="shared" si="13"/>
        <v>468.75</v>
      </c>
      <c r="AS19" s="220">
        <f>B19*1.15</f>
        <v>718.75</v>
      </c>
      <c r="AT19" s="190"/>
      <c r="AU19" s="191"/>
      <c r="AV19" s="191"/>
      <c r="AW19" s="191"/>
      <c r="AX19" s="191"/>
      <c r="AY19" s="112"/>
      <c r="AZ19" s="190"/>
      <c r="BA19" s="190"/>
      <c r="BB19" s="190"/>
      <c r="BC19" s="205">
        <f>SUM(AK19:BB19)</f>
        <v>4862.5</v>
      </c>
      <c r="BD19" s="211"/>
      <c r="BE19" s="155">
        <f t="shared" si="3"/>
        <v>4862.5</v>
      </c>
      <c r="BF19" s="155">
        <f>AG19-BC19</f>
        <v>-764.9800000000005</v>
      </c>
      <c r="BG19" s="155">
        <f>AF19-U19</f>
        <v>-1422.38</v>
      </c>
    </row>
    <row r="20" spans="1:59" ht="12.75">
      <c r="A20" s="172" t="s">
        <v>42</v>
      </c>
      <c r="B20" s="156">
        <v>625</v>
      </c>
      <c r="C20" s="122">
        <f t="shared" si="0"/>
        <v>5343.75</v>
      </c>
      <c r="D20" s="221">
        <v>0</v>
      </c>
      <c r="E20" s="197"/>
      <c r="F20" s="197"/>
      <c r="G20" s="197">
        <v>3345.26</v>
      </c>
      <c r="H20" s="197"/>
      <c r="I20" s="197"/>
      <c r="J20" s="197"/>
      <c r="K20" s="197"/>
      <c r="L20" s="197"/>
      <c r="M20" s="197">
        <v>1624.74</v>
      </c>
      <c r="N20" s="197"/>
      <c r="O20" s="197">
        <v>563.75</v>
      </c>
      <c r="P20" s="197"/>
      <c r="Q20" s="197"/>
      <c r="R20" s="197"/>
      <c r="S20" s="203"/>
      <c r="T20" s="217"/>
      <c r="U20" s="218">
        <f t="shared" si="4"/>
        <v>5533.75</v>
      </c>
      <c r="V20" s="219">
        <f t="shared" si="4"/>
        <v>0</v>
      </c>
      <c r="W20" s="197">
        <v>0</v>
      </c>
      <c r="X20" s="197">
        <v>2429.04</v>
      </c>
      <c r="Y20" s="197">
        <v>0</v>
      </c>
      <c r="Z20" s="197">
        <v>0</v>
      </c>
      <c r="AA20" s="197">
        <v>1179.69</v>
      </c>
      <c r="AB20" s="197">
        <v>409.29</v>
      </c>
      <c r="AC20" s="197"/>
      <c r="AD20" s="197"/>
      <c r="AE20" s="203"/>
      <c r="AF20" s="204">
        <f t="shared" si="15"/>
        <v>4018.02</v>
      </c>
      <c r="AG20" s="210">
        <f t="shared" si="14"/>
        <v>4018.02</v>
      </c>
      <c r="AH20" s="188">
        <f t="shared" si="5"/>
        <v>0</v>
      </c>
      <c r="AI20" s="188">
        <f t="shared" si="5"/>
        <v>0</v>
      </c>
      <c r="AJ20" s="189"/>
      <c r="AK20" s="149">
        <f t="shared" si="6"/>
        <v>418.75</v>
      </c>
      <c r="AL20" s="149">
        <f t="shared" si="7"/>
        <v>125</v>
      </c>
      <c r="AM20" s="149">
        <f t="shared" si="8"/>
        <v>625</v>
      </c>
      <c r="AN20" s="149">
        <f t="shared" si="9"/>
        <v>131.25</v>
      </c>
      <c r="AO20" s="149">
        <f t="shared" si="10"/>
        <v>1262.5</v>
      </c>
      <c r="AP20" s="149">
        <f t="shared" si="11"/>
        <v>643.75</v>
      </c>
      <c r="AQ20" s="149">
        <f t="shared" si="12"/>
        <v>468.75</v>
      </c>
      <c r="AR20" s="149">
        <f t="shared" si="13"/>
        <v>468.75</v>
      </c>
      <c r="AS20" s="220">
        <f>B20*1.15</f>
        <v>718.75</v>
      </c>
      <c r="AT20" s="190"/>
      <c r="AU20" s="191"/>
      <c r="AV20" s="191"/>
      <c r="AW20" s="191"/>
      <c r="AX20" s="191"/>
      <c r="AY20" s="112"/>
      <c r="AZ20" s="190"/>
      <c r="BA20" s="190"/>
      <c r="BB20" s="190"/>
      <c r="BC20" s="205">
        <f>SUM(AK20:BB20)</f>
        <v>4862.5</v>
      </c>
      <c r="BD20" s="211"/>
      <c r="BE20" s="155">
        <f t="shared" si="3"/>
        <v>4862.5</v>
      </c>
      <c r="BF20" s="155">
        <f>AG20-BC20</f>
        <v>-844.48</v>
      </c>
      <c r="BG20" s="155">
        <f>AF20-U20</f>
        <v>-1515.73</v>
      </c>
    </row>
    <row r="21" spans="1:59" ht="13.5" thickBot="1">
      <c r="A21" s="172" t="s">
        <v>43</v>
      </c>
      <c r="B21" s="156">
        <v>625</v>
      </c>
      <c r="C21" s="122">
        <f t="shared" si="0"/>
        <v>5343.75</v>
      </c>
      <c r="D21" s="221">
        <v>0</v>
      </c>
      <c r="E21" s="222"/>
      <c r="F21" s="222"/>
      <c r="G21" s="222">
        <v>3347.22</v>
      </c>
      <c r="H21" s="222"/>
      <c r="I21" s="222"/>
      <c r="J21" s="222"/>
      <c r="K21" s="222"/>
      <c r="L21" s="222"/>
      <c r="M21" s="222">
        <v>1625.72</v>
      </c>
      <c r="N21" s="222"/>
      <c r="O21" s="222">
        <v>564.1</v>
      </c>
      <c r="P21" s="222"/>
      <c r="Q21" s="222"/>
      <c r="R21" s="222"/>
      <c r="S21" s="223"/>
      <c r="T21" s="224"/>
      <c r="U21" s="218">
        <f t="shared" si="4"/>
        <v>5537.04</v>
      </c>
      <c r="V21" s="219">
        <f t="shared" si="4"/>
        <v>0</v>
      </c>
      <c r="W21" s="197">
        <v>0</v>
      </c>
      <c r="X21" s="197">
        <v>5376.37</v>
      </c>
      <c r="Y21" s="197">
        <v>0</v>
      </c>
      <c r="Z21" s="197">
        <v>0</v>
      </c>
      <c r="AA21" s="197">
        <v>2611.19</v>
      </c>
      <c r="AB21" s="197">
        <v>905.96</v>
      </c>
      <c r="AC21" s="197"/>
      <c r="AD21" s="197"/>
      <c r="AE21" s="203"/>
      <c r="AF21" s="204">
        <f t="shared" si="15"/>
        <v>8893.52</v>
      </c>
      <c r="AG21" s="210">
        <f t="shared" si="14"/>
        <v>8893.52</v>
      </c>
      <c r="AH21" s="188">
        <f t="shared" si="5"/>
        <v>0</v>
      </c>
      <c r="AI21" s="188">
        <f t="shared" si="5"/>
        <v>0</v>
      </c>
      <c r="AJ21" s="189"/>
      <c r="AK21" s="149">
        <f t="shared" si="6"/>
        <v>418.75</v>
      </c>
      <c r="AL21" s="149">
        <f t="shared" si="7"/>
        <v>125</v>
      </c>
      <c r="AM21" s="149">
        <f t="shared" si="8"/>
        <v>625</v>
      </c>
      <c r="AN21" s="149">
        <f t="shared" si="9"/>
        <v>131.25</v>
      </c>
      <c r="AO21" s="149">
        <f t="shared" si="10"/>
        <v>1262.5</v>
      </c>
      <c r="AP21" s="149">
        <f t="shared" si="11"/>
        <v>643.75</v>
      </c>
      <c r="AQ21" s="149">
        <f t="shared" si="12"/>
        <v>468.75</v>
      </c>
      <c r="AR21" s="149">
        <f t="shared" si="13"/>
        <v>468.75</v>
      </c>
      <c r="AS21" s="220">
        <f>B21*1.15</f>
        <v>718.75</v>
      </c>
      <c r="AT21" s="190"/>
      <c r="AU21" s="191"/>
      <c r="AV21" s="191"/>
      <c r="AW21" s="191"/>
      <c r="AX21" s="191"/>
      <c r="AY21" s="112"/>
      <c r="AZ21" s="190"/>
      <c r="BA21" s="190"/>
      <c r="BB21" s="190"/>
      <c r="BC21" s="205">
        <f>SUM(AK21:BB21)</f>
        <v>4862.5</v>
      </c>
      <c r="BD21" s="211"/>
      <c r="BE21" s="155">
        <f t="shared" si="3"/>
        <v>4862.5</v>
      </c>
      <c r="BF21" s="155">
        <f>AG21-BC21</f>
        <v>4031.0200000000004</v>
      </c>
      <c r="BG21" s="155">
        <f>AF21-U21</f>
        <v>3356.4800000000005</v>
      </c>
    </row>
    <row r="22" spans="1:59" s="20" customFormat="1" ht="13.5" thickBot="1">
      <c r="A22" s="225" t="s">
        <v>5</v>
      </c>
      <c r="B22" s="226"/>
      <c r="C22" s="227">
        <f aca="true" t="shared" si="16" ref="C22:AZ22">SUM(C10:C21)</f>
        <v>64125</v>
      </c>
      <c r="D22" s="227">
        <f t="shared" si="16"/>
        <v>75417.792</v>
      </c>
      <c r="E22" s="227">
        <f t="shared" si="16"/>
        <v>0</v>
      </c>
      <c r="F22" s="227">
        <f t="shared" si="16"/>
        <v>0</v>
      </c>
      <c r="G22" s="227">
        <f t="shared" si="16"/>
        <v>39984.22</v>
      </c>
      <c r="H22" s="227">
        <f t="shared" si="16"/>
        <v>0</v>
      </c>
      <c r="I22" s="227">
        <f t="shared" si="16"/>
        <v>0</v>
      </c>
      <c r="J22" s="227">
        <f t="shared" si="16"/>
        <v>0</v>
      </c>
      <c r="K22" s="227">
        <f t="shared" si="16"/>
        <v>0</v>
      </c>
      <c r="L22" s="227">
        <f t="shared" si="16"/>
        <v>0</v>
      </c>
      <c r="M22" s="227">
        <f t="shared" si="16"/>
        <v>19418.81</v>
      </c>
      <c r="N22" s="227">
        <f t="shared" si="16"/>
        <v>0</v>
      </c>
      <c r="O22" s="227">
        <f t="shared" si="16"/>
        <v>6737.110000000001</v>
      </c>
      <c r="P22" s="227">
        <f t="shared" si="16"/>
        <v>0</v>
      </c>
      <c r="Q22" s="227">
        <f t="shared" si="16"/>
        <v>0</v>
      </c>
      <c r="R22" s="227">
        <f t="shared" si="16"/>
        <v>0</v>
      </c>
      <c r="S22" s="227">
        <f t="shared" si="16"/>
        <v>0</v>
      </c>
      <c r="T22" s="227">
        <f t="shared" si="16"/>
        <v>0</v>
      </c>
      <c r="U22" s="227">
        <f t="shared" si="16"/>
        <v>66140.14</v>
      </c>
      <c r="V22" s="227">
        <f t="shared" si="16"/>
        <v>0</v>
      </c>
      <c r="W22" s="227">
        <f t="shared" si="16"/>
        <v>852.2600000000003</v>
      </c>
      <c r="X22" s="227">
        <f t="shared" si="16"/>
        <v>37518.46</v>
      </c>
      <c r="Y22" s="227">
        <f t="shared" si="16"/>
        <v>1154.4700000000003</v>
      </c>
      <c r="Z22" s="227">
        <f t="shared" si="16"/>
        <v>1921.5800000000002</v>
      </c>
      <c r="AA22" s="227">
        <f t="shared" si="16"/>
        <v>19194.499999999996</v>
      </c>
      <c r="AB22" s="227">
        <f t="shared" si="16"/>
        <v>7003.28</v>
      </c>
      <c r="AC22" s="227">
        <f t="shared" si="16"/>
        <v>0</v>
      </c>
      <c r="AD22" s="227">
        <f t="shared" si="16"/>
        <v>0</v>
      </c>
      <c r="AE22" s="227">
        <f t="shared" si="16"/>
        <v>0</v>
      </c>
      <c r="AF22" s="227">
        <f t="shared" si="16"/>
        <v>67644.54999999999</v>
      </c>
      <c r="AG22" s="227">
        <f t="shared" si="16"/>
        <v>143062.342</v>
      </c>
      <c r="AH22" s="227">
        <f t="shared" si="16"/>
        <v>0</v>
      </c>
      <c r="AI22" s="227">
        <f t="shared" si="16"/>
        <v>0</v>
      </c>
      <c r="AJ22" s="227">
        <f t="shared" si="16"/>
        <v>0</v>
      </c>
      <c r="AK22" s="227">
        <f t="shared" si="16"/>
        <v>5025</v>
      </c>
      <c r="AL22" s="227">
        <f t="shared" si="16"/>
        <v>1500</v>
      </c>
      <c r="AM22" s="227">
        <f t="shared" si="16"/>
        <v>7500</v>
      </c>
      <c r="AN22" s="227">
        <f t="shared" si="16"/>
        <v>1575</v>
      </c>
      <c r="AO22" s="227">
        <f t="shared" si="16"/>
        <v>15150</v>
      </c>
      <c r="AP22" s="227">
        <f t="shared" si="16"/>
        <v>7725</v>
      </c>
      <c r="AQ22" s="227">
        <f t="shared" si="16"/>
        <v>5625</v>
      </c>
      <c r="AR22" s="227">
        <f t="shared" si="16"/>
        <v>5625</v>
      </c>
      <c r="AS22" s="227">
        <f t="shared" si="16"/>
        <v>4312.5</v>
      </c>
      <c r="AT22" s="227">
        <f t="shared" si="16"/>
        <v>0</v>
      </c>
      <c r="AU22" s="227">
        <f t="shared" si="16"/>
        <v>0</v>
      </c>
      <c r="AV22" s="227">
        <f t="shared" si="16"/>
        <v>0</v>
      </c>
      <c r="AW22" s="227">
        <f t="shared" si="16"/>
        <v>75000</v>
      </c>
      <c r="AX22" s="227">
        <f t="shared" si="16"/>
        <v>213.29000000000002</v>
      </c>
      <c r="AY22" s="227">
        <f t="shared" si="16"/>
        <v>0</v>
      </c>
      <c r="AZ22" s="227">
        <f t="shared" si="16"/>
        <v>0</v>
      </c>
      <c r="BA22" s="227">
        <f>SUM(BB10:BB21)</f>
        <v>0</v>
      </c>
      <c r="BB22" s="227">
        <f>SUM(BB10:BB21)</f>
        <v>0</v>
      </c>
      <c r="BC22" s="227">
        <f>SUM(BC10:BC21)</f>
        <v>129250.79</v>
      </c>
      <c r="BD22" s="227">
        <f>SUM(BD10:BD21)</f>
        <v>0</v>
      </c>
      <c r="BE22" s="227">
        <f>SUM(BE10:BE21)</f>
        <v>129250.79</v>
      </c>
      <c r="BF22" s="227">
        <f>SUM(BF10:BF21)</f>
        <v>13811.552000000007</v>
      </c>
      <c r="BG22" s="227">
        <f>SUM(BG10:BG21)</f>
        <v>1504.4100000000026</v>
      </c>
    </row>
    <row r="23" spans="1:59" s="20" customFormat="1" ht="13.5" thickBot="1">
      <c r="A23" s="228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30"/>
      <c r="BF23" s="229"/>
      <c r="BG23" s="231"/>
    </row>
    <row r="24" spans="1:59" s="20" customFormat="1" ht="13.5" thickBot="1">
      <c r="A24" s="22" t="s">
        <v>54</v>
      </c>
      <c r="B24" s="229"/>
      <c r="C24" s="232">
        <f aca="true" t="shared" si="17" ref="C24:AD24">C22+C8</f>
        <v>210127.485</v>
      </c>
      <c r="D24" s="232">
        <f t="shared" si="17"/>
        <v>214159.36556295003</v>
      </c>
      <c r="E24" s="232">
        <f t="shared" si="17"/>
        <v>11998.69</v>
      </c>
      <c r="F24" s="232">
        <f t="shared" si="17"/>
        <v>3021.34</v>
      </c>
      <c r="G24" s="232">
        <f t="shared" si="17"/>
        <v>39984.22</v>
      </c>
      <c r="H24" s="232">
        <f t="shared" si="17"/>
        <v>0</v>
      </c>
      <c r="I24" s="232">
        <f t="shared" si="17"/>
        <v>16233.3</v>
      </c>
      <c r="J24" s="232">
        <f t="shared" si="17"/>
        <v>4090.45</v>
      </c>
      <c r="K24" s="232">
        <f t="shared" si="17"/>
        <v>27039.61</v>
      </c>
      <c r="L24" s="232">
        <f t="shared" si="17"/>
        <v>6809.250000000002</v>
      </c>
      <c r="M24" s="232">
        <f t="shared" si="17"/>
        <v>58457.28999999999</v>
      </c>
      <c r="N24" s="232">
        <f t="shared" si="17"/>
        <v>9830.59</v>
      </c>
      <c r="O24" s="232">
        <f t="shared" si="17"/>
        <v>16336.27</v>
      </c>
      <c r="P24" s="232">
        <f t="shared" si="17"/>
        <v>2416.96</v>
      </c>
      <c r="Q24" s="232">
        <f t="shared" si="17"/>
        <v>0</v>
      </c>
      <c r="R24" s="232">
        <f t="shared" si="17"/>
        <v>0</v>
      </c>
      <c r="S24" s="232">
        <f t="shared" si="17"/>
        <v>0</v>
      </c>
      <c r="T24" s="232">
        <f t="shared" si="17"/>
        <v>0</v>
      </c>
      <c r="U24" s="232">
        <f t="shared" si="17"/>
        <v>170049.38</v>
      </c>
      <c r="V24" s="232">
        <f t="shared" si="17"/>
        <v>26168.589999999997</v>
      </c>
      <c r="W24" s="232">
        <f t="shared" si="17"/>
        <v>11943.710000000001</v>
      </c>
      <c r="X24" s="232">
        <f t="shared" si="17"/>
        <v>37518.46</v>
      </c>
      <c r="Y24" s="232">
        <f t="shared" si="17"/>
        <v>16163.970000000001</v>
      </c>
      <c r="Z24" s="232">
        <f t="shared" si="17"/>
        <v>26913.739999999998</v>
      </c>
      <c r="AA24" s="232">
        <f t="shared" si="17"/>
        <v>57078.28999999999</v>
      </c>
      <c r="AB24" s="232">
        <f t="shared" si="17"/>
        <v>15876.560000000001</v>
      </c>
      <c r="AC24" s="232">
        <f t="shared" si="17"/>
        <v>0</v>
      </c>
      <c r="AD24" s="232">
        <f t="shared" si="17"/>
        <v>0</v>
      </c>
      <c r="AE24" s="232">
        <f>AE22+AF8</f>
        <v>97850.18</v>
      </c>
      <c r="AF24" s="232" t="e">
        <f>AF22+#REF!</f>
        <v>#REF!</v>
      </c>
      <c r="AG24" s="232">
        <f aca="true" t="shared" si="18" ref="AG24:BG24">AG22+AG8</f>
        <v>405822.68556295004</v>
      </c>
      <c r="AH24" s="232">
        <f t="shared" si="18"/>
        <v>0</v>
      </c>
      <c r="AI24" s="232">
        <f t="shared" si="18"/>
        <v>0</v>
      </c>
      <c r="AJ24" s="232">
        <f t="shared" si="18"/>
        <v>0</v>
      </c>
      <c r="AK24" s="232">
        <f t="shared" si="18"/>
        <v>15002.268</v>
      </c>
      <c r="AL24" s="232">
        <f t="shared" si="18"/>
        <v>4843.1868676</v>
      </c>
      <c r="AM24" s="232">
        <f t="shared" si="18"/>
        <v>24061.787071597002</v>
      </c>
      <c r="AN24" s="232">
        <f t="shared" si="18"/>
        <v>1575</v>
      </c>
      <c r="AO24" s="232">
        <f t="shared" si="18"/>
        <v>31670.063591937</v>
      </c>
      <c r="AP24" s="232">
        <f t="shared" si="18"/>
        <v>44680.8422186416</v>
      </c>
      <c r="AQ24" s="232">
        <f t="shared" si="18"/>
        <v>5625</v>
      </c>
      <c r="AR24" s="232">
        <f t="shared" si="18"/>
        <v>5625</v>
      </c>
      <c r="AS24" s="232">
        <f t="shared" si="18"/>
        <v>4312.5</v>
      </c>
      <c r="AT24" s="232">
        <f t="shared" si="18"/>
        <v>0</v>
      </c>
      <c r="AU24" s="232">
        <f t="shared" si="18"/>
        <v>27269.091399999998</v>
      </c>
      <c r="AV24" s="232">
        <f t="shared" si="18"/>
        <v>0</v>
      </c>
      <c r="AW24" s="232">
        <f t="shared" si="18"/>
        <v>232285.03999999998</v>
      </c>
      <c r="AX24" s="232">
        <f t="shared" si="18"/>
        <v>39584.308600000004</v>
      </c>
      <c r="AY24" s="232">
        <f t="shared" si="18"/>
        <v>5332.552000000001</v>
      </c>
      <c r="AZ24" s="232">
        <f t="shared" si="18"/>
        <v>0</v>
      </c>
      <c r="BA24" s="232">
        <f t="shared" si="18"/>
        <v>0</v>
      </c>
      <c r="BB24" s="232">
        <f t="shared" si="18"/>
        <v>0</v>
      </c>
      <c r="BC24" s="232">
        <f t="shared" si="18"/>
        <v>441866.6397497756</v>
      </c>
      <c r="BD24" s="232">
        <f t="shared" si="18"/>
        <v>0</v>
      </c>
      <c r="BE24" s="233">
        <f t="shared" si="18"/>
        <v>441866.6397497756</v>
      </c>
      <c r="BF24" s="232">
        <f t="shared" si="18"/>
        <v>-36043.95418682559</v>
      </c>
      <c r="BG24" s="227">
        <f t="shared" si="18"/>
        <v>-4554.650000000002</v>
      </c>
    </row>
    <row r="25" spans="1:59" ht="12.75">
      <c r="A25" s="5" t="s">
        <v>122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70"/>
      <c r="BF25" s="168"/>
      <c r="BG25" s="171"/>
    </row>
    <row r="26" spans="1:59" ht="12.75">
      <c r="A26" s="172" t="s">
        <v>45</v>
      </c>
      <c r="B26" s="156">
        <v>625</v>
      </c>
      <c r="C26" s="122">
        <f>B26*8.55</f>
        <v>5343.75</v>
      </c>
      <c r="D26" s="416">
        <v>0</v>
      </c>
      <c r="E26" s="197"/>
      <c r="F26" s="197"/>
      <c r="G26" s="197">
        <v>3348.05</v>
      </c>
      <c r="H26" s="197"/>
      <c r="I26" s="197"/>
      <c r="J26" s="197"/>
      <c r="K26" s="197"/>
      <c r="L26" s="197"/>
      <c r="M26" s="197">
        <v>1626.12</v>
      </c>
      <c r="N26" s="197"/>
      <c r="O26" s="197">
        <v>564.24</v>
      </c>
      <c r="P26" s="197"/>
      <c r="Q26" s="197"/>
      <c r="R26" s="197"/>
      <c r="S26" s="203"/>
      <c r="T26" s="224"/>
      <c r="U26" s="218">
        <f aca="true" t="shared" si="19" ref="U26:V31">E26+G26+I26+K26+M26+O26+Q26+S26</f>
        <v>5538.41</v>
      </c>
      <c r="V26" s="219">
        <f t="shared" si="19"/>
        <v>0</v>
      </c>
      <c r="W26" s="197">
        <v>0</v>
      </c>
      <c r="X26" s="197">
        <v>1970.49</v>
      </c>
      <c r="Y26" s="197">
        <v>0</v>
      </c>
      <c r="Z26" s="197">
        <v>0</v>
      </c>
      <c r="AA26" s="197">
        <v>956.94</v>
      </c>
      <c r="AB26" s="197">
        <v>332</v>
      </c>
      <c r="AC26" s="197"/>
      <c r="AD26" s="197"/>
      <c r="AE26" s="203"/>
      <c r="AF26" s="204">
        <f aca="true" t="shared" si="20" ref="AF26:AF31">SUM(W26:AE26)</f>
        <v>3259.4300000000003</v>
      </c>
      <c r="AG26" s="210">
        <f aca="true" t="shared" si="21" ref="AG26:AG37">D26+V26+AF26</f>
        <v>3259.4300000000003</v>
      </c>
      <c r="AH26" s="188">
        <f aca="true" t="shared" si="22" ref="AH26:AI37">AC26</f>
        <v>0</v>
      </c>
      <c r="AI26" s="188">
        <f t="shared" si="22"/>
        <v>0</v>
      </c>
      <c r="AJ26" s="189"/>
      <c r="AK26" s="149">
        <f aca="true" t="shared" si="23" ref="AK26:AK31">0.67*B26</f>
        <v>418.75</v>
      </c>
      <c r="AL26" s="149">
        <f aca="true" t="shared" si="24" ref="AL26:AL37">B26*0.2</f>
        <v>125</v>
      </c>
      <c r="AM26" s="149">
        <f aca="true" t="shared" si="25" ref="AM26:AM37">B26*1</f>
        <v>625</v>
      </c>
      <c r="AN26" s="149">
        <f aca="true" t="shared" si="26" ref="AN26:AN37">B26*0.21</f>
        <v>131.25</v>
      </c>
      <c r="AO26" s="149">
        <f aca="true" t="shared" si="27" ref="AO26:AO37">2.02*B26</f>
        <v>1262.5</v>
      </c>
      <c r="AP26" s="149">
        <f aca="true" t="shared" si="28" ref="AP26:AP37">B26*1.03</f>
        <v>643.75</v>
      </c>
      <c r="AQ26" s="149">
        <f aca="true" t="shared" si="29" ref="AQ26:AQ37">B26*0.75</f>
        <v>468.75</v>
      </c>
      <c r="AR26" s="149">
        <f aca="true" t="shared" si="30" ref="AR26:AR37">B26*0.75</f>
        <v>468.75</v>
      </c>
      <c r="AS26" s="220">
        <f>B26*1.15</f>
        <v>718.75</v>
      </c>
      <c r="AT26" s="190"/>
      <c r="AU26" s="191"/>
      <c r="AV26" s="191"/>
      <c r="AW26" s="191"/>
      <c r="AX26" s="191"/>
      <c r="AY26" s="191"/>
      <c r="AZ26" s="191"/>
      <c r="BA26" s="112"/>
      <c r="BB26" s="190"/>
      <c r="BC26" s="205">
        <f>SUM(AK26:BB26)</f>
        <v>4862.5</v>
      </c>
      <c r="BD26" s="192"/>
      <c r="BE26" s="155">
        <f>BC26</f>
        <v>4862.5</v>
      </c>
      <c r="BF26" s="155">
        <f>AG26-BE26</f>
        <v>-1603.0699999999997</v>
      </c>
      <c r="BG26" s="155">
        <f>AF26-U26</f>
        <v>-2278.9799999999996</v>
      </c>
    </row>
    <row r="27" spans="1:59" ht="12.75">
      <c r="A27" s="172" t="s">
        <v>46</v>
      </c>
      <c r="B27" s="156">
        <v>625</v>
      </c>
      <c r="C27" s="122">
        <f>B27*8.55</f>
        <v>5343.75</v>
      </c>
      <c r="D27" s="416">
        <v>0</v>
      </c>
      <c r="E27" s="206"/>
      <c r="F27" s="206"/>
      <c r="G27" s="206">
        <v>3326.94</v>
      </c>
      <c r="H27" s="206"/>
      <c r="I27" s="206"/>
      <c r="J27" s="206"/>
      <c r="K27" s="206"/>
      <c r="L27" s="206"/>
      <c r="M27" s="206">
        <v>1615.76</v>
      </c>
      <c r="N27" s="206"/>
      <c r="O27" s="206">
        <v>560.54</v>
      </c>
      <c r="P27" s="206"/>
      <c r="Q27" s="206"/>
      <c r="R27" s="206"/>
      <c r="S27" s="207"/>
      <c r="T27" s="224"/>
      <c r="U27" s="218">
        <f t="shared" si="19"/>
        <v>5503.24</v>
      </c>
      <c r="V27" s="219">
        <f t="shared" si="19"/>
        <v>0</v>
      </c>
      <c r="W27" s="206">
        <v>0</v>
      </c>
      <c r="X27" s="206">
        <v>3392.21</v>
      </c>
      <c r="Y27" s="206">
        <v>0</v>
      </c>
      <c r="Z27" s="206">
        <v>0</v>
      </c>
      <c r="AA27" s="206">
        <v>1647.54</v>
      </c>
      <c r="AB27" s="206">
        <v>571.61</v>
      </c>
      <c r="AC27" s="206"/>
      <c r="AD27" s="206"/>
      <c r="AE27" s="207"/>
      <c r="AF27" s="204">
        <f t="shared" si="20"/>
        <v>5611.36</v>
      </c>
      <c r="AG27" s="210">
        <f t="shared" si="21"/>
        <v>5611.36</v>
      </c>
      <c r="AH27" s="188">
        <f t="shared" si="22"/>
        <v>0</v>
      </c>
      <c r="AI27" s="188">
        <f t="shared" si="22"/>
        <v>0</v>
      </c>
      <c r="AJ27" s="189"/>
      <c r="AK27" s="145">
        <f t="shared" si="23"/>
        <v>418.75</v>
      </c>
      <c r="AL27" s="149">
        <f t="shared" si="24"/>
        <v>125</v>
      </c>
      <c r="AM27" s="149">
        <f t="shared" si="25"/>
        <v>625</v>
      </c>
      <c r="AN27" s="149">
        <f t="shared" si="26"/>
        <v>131.25</v>
      </c>
      <c r="AO27" s="149">
        <f t="shared" si="27"/>
        <v>1262.5</v>
      </c>
      <c r="AP27" s="149">
        <f t="shared" si="28"/>
        <v>643.75</v>
      </c>
      <c r="AQ27" s="149">
        <f t="shared" si="29"/>
        <v>468.75</v>
      </c>
      <c r="AR27" s="149">
        <f t="shared" si="30"/>
        <v>468.75</v>
      </c>
      <c r="AS27" s="220">
        <f>B27*1.15</f>
        <v>718.75</v>
      </c>
      <c r="AT27" s="190"/>
      <c r="AU27" s="191"/>
      <c r="AV27" s="191"/>
      <c r="AW27" s="191"/>
      <c r="AX27" s="191"/>
      <c r="AY27" s="191"/>
      <c r="AZ27" s="191"/>
      <c r="BA27" s="112"/>
      <c r="BB27" s="190"/>
      <c r="BC27" s="142">
        <f>SUM(AK27:BB27)</f>
        <v>4862.5</v>
      </c>
      <c r="BD27" s="192"/>
      <c r="BE27" s="155">
        <f aca="true" t="shared" si="31" ref="BE27:BE37">BC27</f>
        <v>4862.5</v>
      </c>
      <c r="BF27" s="155">
        <f aca="true" t="shared" si="32" ref="BF27:BF37">AG27-BE27</f>
        <v>748.8599999999997</v>
      </c>
      <c r="BG27" s="155">
        <f aca="true" t="shared" si="33" ref="BG27:BG37">AF27-U27</f>
        <v>108.11999999999989</v>
      </c>
    </row>
    <row r="28" spans="1:59" ht="12.75">
      <c r="A28" s="172" t="s">
        <v>47</v>
      </c>
      <c r="B28" s="156">
        <v>625</v>
      </c>
      <c r="C28" s="122">
        <f>B28*8.55</f>
        <v>5343.75</v>
      </c>
      <c r="D28" s="416">
        <v>0</v>
      </c>
      <c r="E28" s="206"/>
      <c r="F28" s="206"/>
      <c r="G28" s="206">
        <v>3317.44</v>
      </c>
      <c r="H28" s="206"/>
      <c r="I28" s="206"/>
      <c r="J28" s="206"/>
      <c r="K28" s="206"/>
      <c r="L28" s="206"/>
      <c r="M28" s="206">
        <v>1611.09</v>
      </c>
      <c r="N28" s="206"/>
      <c r="O28" s="206">
        <v>558.87</v>
      </c>
      <c r="P28" s="206"/>
      <c r="Q28" s="206"/>
      <c r="R28" s="206"/>
      <c r="S28" s="207"/>
      <c r="T28" s="224"/>
      <c r="U28" s="218">
        <f t="shared" si="19"/>
        <v>5487.4</v>
      </c>
      <c r="V28" s="219">
        <f t="shared" si="19"/>
        <v>0</v>
      </c>
      <c r="W28" s="197">
        <v>0</v>
      </c>
      <c r="X28" s="197">
        <v>3861.87</v>
      </c>
      <c r="Y28" s="197">
        <v>0</v>
      </c>
      <c r="Z28" s="197">
        <v>0</v>
      </c>
      <c r="AA28" s="197">
        <v>1608.91</v>
      </c>
      <c r="AB28" s="197">
        <v>558.51</v>
      </c>
      <c r="AC28" s="197"/>
      <c r="AD28" s="197"/>
      <c r="AE28" s="203"/>
      <c r="AF28" s="204">
        <f t="shared" si="20"/>
        <v>6029.29</v>
      </c>
      <c r="AG28" s="210">
        <f t="shared" si="21"/>
        <v>6029.29</v>
      </c>
      <c r="AH28" s="188">
        <f t="shared" si="22"/>
        <v>0</v>
      </c>
      <c r="AI28" s="188">
        <f t="shared" si="22"/>
        <v>0</v>
      </c>
      <c r="AJ28" s="189"/>
      <c r="AK28" s="145">
        <f t="shared" si="23"/>
        <v>418.75</v>
      </c>
      <c r="AL28" s="149">
        <f t="shared" si="24"/>
        <v>125</v>
      </c>
      <c r="AM28" s="149">
        <f t="shared" si="25"/>
        <v>625</v>
      </c>
      <c r="AN28" s="149">
        <f t="shared" si="26"/>
        <v>131.25</v>
      </c>
      <c r="AO28" s="149">
        <f t="shared" si="27"/>
        <v>1262.5</v>
      </c>
      <c r="AP28" s="149">
        <f t="shared" si="28"/>
        <v>643.75</v>
      </c>
      <c r="AQ28" s="149">
        <f t="shared" si="29"/>
        <v>468.75</v>
      </c>
      <c r="AR28" s="149">
        <f t="shared" si="30"/>
        <v>468.75</v>
      </c>
      <c r="AS28" s="220">
        <f>B28*1.15</f>
        <v>718.75</v>
      </c>
      <c r="AT28" s="190"/>
      <c r="AU28" s="191"/>
      <c r="AV28" s="191"/>
      <c r="AW28" s="191">
        <v>93</v>
      </c>
      <c r="AX28" s="191">
        <f>380</f>
        <v>380</v>
      </c>
      <c r="AY28" s="191"/>
      <c r="AZ28" s="191"/>
      <c r="BA28" s="112"/>
      <c r="BB28" s="190"/>
      <c r="BC28" s="205">
        <f>SUM(AK28:BB28)</f>
        <v>5335.5</v>
      </c>
      <c r="BD28" s="192"/>
      <c r="BE28" s="155">
        <f t="shared" si="31"/>
        <v>5335.5</v>
      </c>
      <c r="BF28" s="155">
        <f t="shared" si="32"/>
        <v>693.79</v>
      </c>
      <c r="BG28" s="155">
        <f t="shared" si="33"/>
        <v>541.8900000000003</v>
      </c>
    </row>
    <row r="29" spans="1:59" ht="12.75">
      <c r="A29" s="172" t="s">
        <v>48</v>
      </c>
      <c r="B29" s="156">
        <v>625</v>
      </c>
      <c r="C29" s="122">
        <f>B29*8.55</f>
        <v>5343.75</v>
      </c>
      <c r="D29" s="416">
        <v>0</v>
      </c>
      <c r="E29" s="206"/>
      <c r="F29" s="206"/>
      <c r="G29" s="206">
        <v>3305.53</v>
      </c>
      <c r="H29" s="206"/>
      <c r="I29" s="206"/>
      <c r="J29" s="206"/>
      <c r="K29" s="206"/>
      <c r="L29" s="206"/>
      <c r="M29" s="206">
        <v>1605.24</v>
      </c>
      <c r="N29" s="206"/>
      <c r="O29" s="206">
        <v>556.77</v>
      </c>
      <c r="P29" s="206"/>
      <c r="Q29" s="206"/>
      <c r="R29" s="206"/>
      <c r="S29" s="207"/>
      <c r="T29" s="224"/>
      <c r="U29" s="218">
        <f t="shared" si="19"/>
        <v>5467.540000000001</v>
      </c>
      <c r="V29" s="219">
        <f t="shared" si="19"/>
        <v>0</v>
      </c>
      <c r="W29" s="222">
        <v>0</v>
      </c>
      <c r="X29" s="222">
        <v>3381.91</v>
      </c>
      <c r="Y29" s="222">
        <v>0</v>
      </c>
      <c r="Z29" s="222">
        <v>0</v>
      </c>
      <c r="AA29" s="222">
        <v>1314.4</v>
      </c>
      <c r="AB29" s="222">
        <v>455.84</v>
      </c>
      <c r="AC29" s="222"/>
      <c r="AD29" s="222"/>
      <c r="AE29" s="223"/>
      <c r="AF29" s="204">
        <f t="shared" si="20"/>
        <v>5152.15</v>
      </c>
      <c r="AG29" s="210">
        <f t="shared" si="21"/>
        <v>5152.15</v>
      </c>
      <c r="AH29" s="188">
        <f t="shared" si="22"/>
        <v>0</v>
      </c>
      <c r="AI29" s="188">
        <f t="shared" si="22"/>
        <v>0</v>
      </c>
      <c r="AJ29" s="189"/>
      <c r="AK29" s="145">
        <f t="shared" si="23"/>
        <v>418.75</v>
      </c>
      <c r="AL29" s="149">
        <f t="shared" si="24"/>
        <v>125</v>
      </c>
      <c r="AM29" s="149">
        <f t="shared" si="25"/>
        <v>625</v>
      </c>
      <c r="AN29" s="149">
        <f t="shared" si="26"/>
        <v>131.25</v>
      </c>
      <c r="AO29" s="149">
        <f t="shared" si="27"/>
        <v>1262.5</v>
      </c>
      <c r="AP29" s="149">
        <f t="shared" si="28"/>
        <v>643.75</v>
      </c>
      <c r="AQ29" s="149">
        <f t="shared" si="29"/>
        <v>468.75</v>
      </c>
      <c r="AR29" s="149">
        <f t="shared" si="30"/>
        <v>468.75</v>
      </c>
      <c r="AS29" s="220"/>
      <c r="AT29" s="190"/>
      <c r="AU29" s="191"/>
      <c r="AV29" s="191"/>
      <c r="AW29" s="191"/>
      <c r="AX29" s="191"/>
      <c r="AY29" s="191"/>
      <c r="AZ29" s="191"/>
      <c r="BA29" s="112"/>
      <c r="BB29" s="190"/>
      <c r="BC29" s="205">
        <f>SUM(AK29:BB29)</f>
        <v>4143.75</v>
      </c>
      <c r="BD29" s="192"/>
      <c r="BE29" s="155">
        <f t="shared" si="31"/>
        <v>4143.75</v>
      </c>
      <c r="BF29" s="155">
        <f t="shared" si="32"/>
        <v>1008.3999999999996</v>
      </c>
      <c r="BG29" s="155">
        <f t="shared" si="33"/>
        <v>-315.39000000000124</v>
      </c>
    </row>
    <row r="30" spans="1:59" ht="12.75">
      <c r="A30" s="172" t="s">
        <v>49</v>
      </c>
      <c r="B30" s="156">
        <v>625</v>
      </c>
      <c r="C30" s="122">
        <f>B30*8.55</f>
        <v>5343.75</v>
      </c>
      <c r="D30" s="416">
        <v>0</v>
      </c>
      <c r="E30" s="206"/>
      <c r="F30" s="206"/>
      <c r="G30" s="206">
        <v>3298.63</v>
      </c>
      <c r="H30" s="206"/>
      <c r="I30" s="206"/>
      <c r="J30" s="206"/>
      <c r="K30" s="206"/>
      <c r="L30" s="206"/>
      <c r="M30" s="206">
        <v>1601.85</v>
      </c>
      <c r="N30" s="206"/>
      <c r="O30" s="206">
        <v>555.57</v>
      </c>
      <c r="P30" s="206"/>
      <c r="Q30" s="206"/>
      <c r="R30" s="206"/>
      <c r="S30" s="207"/>
      <c r="T30" s="224"/>
      <c r="U30" s="218">
        <f t="shared" si="19"/>
        <v>5456.049999999999</v>
      </c>
      <c r="V30" s="219">
        <f t="shared" si="19"/>
        <v>0</v>
      </c>
      <c r="W30" s="222">
        <v>0</v>
      </c>
      <c r="X30" s="222">
        <v>3018.13</v>
      </c>
      <c r="Y30" s="222">
        <v>0</v>
      </c>
      <c r="Z30" s="222">
        <v>0</v>
      </c>
      <c r="AA30" s="222">
        <v>1440.76</v>
      </c>
      <c r="AB30" s="222">
        <v>499.77</v>
      </c>
      <c r="AC30" s="222"/>
      <c r="AD30" s="222"/>
      <c r="AE30" s="222"/>
      <c r="AF30" s="204">
        <f t="shared" si="20"/>
        <v>4958.66</v>
      </c>
      <c r="AG30" s="210">
        <f t="shared" si="21"/>
        <v>4958.66</v>
      </c>
      <c r="AH30" s="188">
        <f t="shared" si="22"/>
        <v>0</v>
      </c>
      <c r="AI30" s="188">
        <f t="shared" si="22"/>
        <v>0</v>
      </c>
      <c r="AJ30" s="189"/>
      <c r="AK30" s="145">
        <f t="shared" si="23"/>
        <v>418.75</v>
      </c>
      <c r="AL30" s="149">
        <f t="shared" si="24"/>
        <v>125</v>
      </c>
      <c r="AM30" s="149">
        <f t="shared" si="25"/>
        <v>625</v>
      </c>
      <c r="AN30" s="149">
        <f t="shared" si="26"/>
        <v>131.25</v>
      </c>
      <c r="AO30" s="149">
        <f t="shared" si="27"/>
        <v>1262.5</v>
      </c>
      <c r="AP30" s="149">
        <f t="shared" si="28"/>
        <v>643.75</v>
      </c>
      <c r="AQ30" s="149">
        <f t="shared" si="29"/>
        <v>468.75</v>
      </c>
      <c r="AR30" s="149">
        <f t="shared" si="30"/>
        <v>468.75</v>
      </c>
      <c r="AS30" s="220"/>
      <c r="AT30" s="190"/>
      <c r="AU30" s="191"/>
      <c r="AV30" s="191"/>
      <c r="AW30" s="191"/>
      <c r="AX30" s="191"/>
      <c r="AY30" s="191"/>
      <c r="AZ30" s="191"/>
      <c r="BA30" s="112"/>
      <c r="BB30" s="190"/>
      <c r="BC30" s="205">
        <f>SUM(AK30:BB30)</f>
        <v>4143.75</v>
      </c>
      <c r="BD30" s="192"/>
      <c r="BE30" s="155">
        <f t="shared" si="31"/>
        <v>4143.75</v>
      </c>
      <c r="BF30" s="155">
        <f t="shared" si="32"/>
        <v>814.9099999999999</v>
      </c>
      <c r="BG30" s="155">
        <f t="shared" si="33"/>
        <v>-497.3899999999994</v>
      </c>
    </row>
    <row r="31" spans="1:59" ht="12.75">
      <c r="A31" s="172" t="s">
        <v>50</v>
      </c>
      <c r="B31" s="156">
        <v>625</v>
      </c>
      <c r="C31" s="122">
        <f>B31*8.55</f>
        <v>5343.75</v>
      </c>
      <c r="D31" s="416">
        <v>0</v>
      </c>
      <c r="E31" s="206"/>
      <c r="F31" s="206"/>
      <c r="G31" s="206">
        <v>3300.07</v>
      </c>
      <c r="H31" s="206"/>
      <c r="I31" s="206"/>
      <c r="J31" s="206"/>
      <c r="K31" s="206"/>
      <c r="L31" s="206"/>
      <c r="M31" s="206">
        <v>1602.55</v>
      </c>
      <c r="N31" s="206"/>
      <c r="O31" s="206">
        <v>555.82</v>
      </c>
      <c r="P31" s="206"/>
      <c r="Q31" s="206"/>
      <c r="R31" s="206"/>
      <c r="S31" s="207"/>
      <c r="T31" s="224"/>
      <c r="U31" s="218">
        <f t="shared" si="19"/>
        <v>5458.44</v>
      </c>
      <c r="V31" s="219">
        <f t="shared" si="19"/>
        <v>0</v>
      </c>
      <c r="W31" s="222"/>
      <c r="X31" s="417">
        <v>2980.47</v>
      </c>
      <c r="Y31" s="222"/>
      <c r="Z31" s="222"/>
      <c r="AA31" s="417">
        <v>1437.56</v>
      </c>
      <c r="AB31" s="417">
        <v>498.56</v>
      </c>
      <c r="AC31" s="222"/>
      <c r="AD31" s="417"/>
      <c r="AE31" s="418"/>
      <c r="AF31" s="204">
        <f t="shared" si="20"/>
        <v>4916.59</v>
      </c>
      <c r="AG31" s="210">
        <f t="shared" si="21"/>
        <v>4916.59</v>
      </c>
      <c r="AH31" s="188">
        <f t="shared" si="22"/>
        <v>0</v>
      </c>
      <c r="AI31" s="188">
        <f t="shared" si="22"/>
        <v>0</v>
      </c>
      <c r="AJ31" s="189"/>
      <c r="AK31" s="145">
        <f t="shared" si="23"/>
        <v>418.75</v>
      </c>
      <c r="AL31" s="149">
        <f t="shared" si="24"/>
        <v>125</v>
      </c>
      <c r="AM31" s="149">
        <f t="shared" si="25"/>
        <v>625</v>
      </c>
      <c r="AN31" s="149">
        <f t="shared" si="26"/>
        <v>131.25</v>
      </c>
      <c r="AO31" s="149">
        <f t="shared" si="27"/>
        <v>1262.5</v>
      </c>
      <c r="AP31" s="149">
        <f t="shared" si="28"/>
        <v>643.75</v>
      </c>
      <c r="AQ31" s="149">
        <f t="shared" si="29"/>
        <v>468.75</v>
      </c>
      <c r="AR31" s="149">
        <f t="shared" si="30"/>
        <v>468.75</v>
      </c>
      <c r="AS31" s="220"/>
      <c r="AT31" s="190"/>
      <c r="AU31" s="191"/>
      <c r="AV31" s="191"/>
      <c r="AW31" s="191"/>
      <c r="AX31" s="191">
        <f>40</f>
        <v>40</v>
      </c>
      <c r="AY31" s="191"/>
      <c r="AZ31" s="191"/>
      <c r="BA31" s="112"/>
      <c r="BB31" s="190"/>
      <c r="BC31" s="205">
        <f>SUM(AK31:BB31)</f>
        <v>4183.75</v>
      </c>
      <c r="BD31" s="192"/>
      <c r="BE31" s="155">
        <f t="shared" si="31"/>
        <v>4183.75</v>
      </c>
      <c r="BF31" s="155">
        <f t="shared" si="32"/>
        <v>732.8400000000001</v>
      </c>
      <c r="BG31" s="155">
        <f t="shared" si="33"/>
        <v>-541.8499999999995</v>
      </c>
    </row>
    <row r="32" spans="1:59" ht="12.75">
      <c r="A32" s="172" t="s">
        <v>51</v>
      </c>
      <c r="B32" s="156">
        <v>625</v>
      </c>
      <c r="C32" s="122">
        <f>B32*9.51</f>
        <v>5943.75</v>
      </c>
      <c r="D32" s="416">
        <v>0</v>
      </c>
      <c r="E32" s="206"/>
      <c r="F32" s="206"/>
      <c r="G32" s="206">
        <v>6115.79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  <c r="T32" s="224"/>
      <c r="U32" s="218">
        <f aca="true" t="shared" si="34" ref="U32:V37">G32+M32+O32+Q32+S32</f>
        <v>6115.79</v>
      </c>
      <c r="V32" s="419">
        <f t="shared" si="34"/>
        <v>0</v>
      </c>
      <c r="W32" s="222"/>
      <c r="X32" s="197">
        <v>2591.69</v>
      </c>
      <c r="Y32" s="222"/>
      <c r="Z32" s="222"/>
      <c r="AA32" s="197">
        <v>1243.79</v>
      </c>
      <c r="AB32" s="197">
        <v>431.39</v>
      </c>
      <c r="AC32" s="222"/>
      <c r="AD32" s="197"/>
      <c r="AE32" s="203"/>
      <c r="AF32" s="204">
        <f aca="true" t="shared" si="35" ref="AF32:AF37">SUM(X32:AE32)</f>
        <v>4266.87</v>
      </c>
      <c r="AG32" s="210">
        <f t="shared" si="21"/>
        <v>4266.87</v>
      </c>
      <c r="AH32" s="420">
        <v>0</v>
      </c>
      <c r="AI32" s="188">
        <f t="shared" si="22"/>
        <v>0</v>
      </c>
      <c r="AJ32" s="189"/>
      <c r="AK32" s="149">
        <f>0.75*B32</f>
        <v>468.75</v>
      </c>
      <c r="AL32" s="149">
        <f t="shared" si="24"/>
        <v>125</v>
      </c>
      <c r="AM32" s="149">
        <f t="shared" si="25"/>
        <v>625</v>
      </c>
      <c r="AN32" s="149">
        <f t="shared" si="26"/>
        <v>131.25</v>
      </c>
      <c r="AO32" s="149">
        <f t="shared" si="27"/>
        <v>1262.5</v>
      </c>
      <c r="AP32" s="149">
        <f t="shared" si="28"/>
        <v>643.75</v>
      </c>
      <c r="AQ32" s="149">
        <f t="shared" si="29"/>
        <v>468.75</v>
      </c>
      <c r="AR32" s="149">
        <f t="shared" si="30"/>
        <v>468.75</v>
      </c>
      <c r="AS32" s="220"/>
      <c r="AT32" s="190"/>
      <c r="AU32" s="191">
        <v>2537</v>
      </c>
      <c r="AV32" s="191"/>
      <c r="AW32" s="191"/>
      <c r="AX32" s="191">
        <f>1321</f>
        <v>1321</v>
      </c>
      <c r="AY32" s="191"/>
      <c r="AZ32" s="191"/>
      <c r="BA32" s="112"/>
      <c r="BB32" s="190"/>
      <c r="BC32" s="205">
        <f>SUM(AK32:BB32)</f>
        <v>8051.75</v>
      </c>
      <c r="BD32" s="192"/>
      <c r="BE32" s="155">
        <f t="shared" si="31"/>
        <v>8051.75</v>
      </c>
      <c r="BF32" s="155">
        <f t="shared" si="32"/>
        <v>-3784.88</v>
      </c>
      <c r="BG32" s="155">
        <f t="shared" si="33"/>
        <v>-1848.92</v>
      </c>
    </row>
    <row r="33" spans="1:59" ht="12.75">
      <c r="A33" s="172" t="s">
        <v>52</v>
      </c>
      <c r="B33" s="156">
        <v>625</v>
      </c>
      <c r="C33" s="122">
        <f>B33*9.51</f>
        <v>5943.75</v>
      </c>
      <c r="D33" s="416"/>
      <c r="E33" s="206"/>
      <c r="F33" s="206"/>
      <c r="G33" s="206">
        <v>6115.79</v>
      </c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7"/>
      <c r="T33" s="224"/>
      <c r="U33" s="218">
        <f t="shared" si="34"/>
        <v>6115.79</v>
      </c>
      <c r="V33" s="419">
        <f t="shared" si="34"/>
        <v>0</v>
      </c>
      <c r="W33" s="222"/>
      <c r="X33" s="197">
        <v>6315.95</v>
      </c>
      <c r="Y33" s="222"/>
      <c r="Z33" s="222"/>
      <c r="AA33" s="197">
        <v>128.57</v>
      </c>
      <c r="AB33" s="197">
        <v>44.6</v>
      </c>
      <c r="AC33" s="222"/>
      <c r="AD33" s="197"/>
      <c r="AE33" s="203"/>
      <c r="AF33" s="204">
        <f t="shared" si="35"/>
        <v>6489.12</v>
      </c>
      <c r="AG33" s="210">
        <f t="shared" si="21"/>
        <v>6489.12</v>
      </c>
      <c r="AH33" s="420">
        <v>0</v>
      </c>
      <c r="AI33" s="188">
        <f t="shared" si="22"/>
        <v>0</v>
      </c>
      <c r="AJ33" s="189"/>
      <c r="AK33" s="149">
        <f>0.75*B33</f>
        <v>468.75</v>
      </c>
      <c r="AL33" s="149">
        <f t="shared" si="24"/>
        <v>125</v>
      </c>
      <c r="AM33" s="149">
        <f t="shared" si="25"/>
        <v>625</v>
      </c>
      <c r="AN33" s="149">
        <f t="shared" si="26"/>
        <v>131.25</v>
      </c>
      <c r="AO33" s="149">
        <f t="shared" si="27"/>
        <v>1262.5</v>
      </c>
      <c r="AP33" s="149">
        <f t="shared" si="28"/>
        <v>643.75</v>
      </c>
      <c r="AQ33" s="149">
        <f t="shared" si="29"/>
        <v>468.75</v>
      </c>
      <c r="AR33" s="149">
        <f t="shared" si="30"/>
        <v>468.75</v>
      </c>
      <c r="AS33" s="149"/>
      <c r="AT33" s="190"/>
      <c r="AU33" s="191"/>
      <c r="AV33" s="191"/>
      <c r="AW33" s="191"/>
      <c r="AX33" s="191">
        <f>60</f>
        <v>60</v>
      </c>
      <c r="AY33" s="191"/>
      <c r="AZ33" s="191"/>
      <c r="BA33" s="112"/>
      <c r="BB33" s="190"/>
      <c r="BC33" s="205">
        <f>SUM(AK33:BB33)</f>
        <v>4253.75</v>
      </c>
      <c r="BD33" s="192"/>
      <c r="BE33" s="155">
        <f t="shared" si="31"/>
        <v>4253.75</v>
      </c>
      <c r="BF33" s="155">
        <f t="shared" si="32"/>
        <v>2235.37</v>
      </c>
      <c r="BG33" s="155">
        <f t="shared" si="33"/>
        <v>373.3299999999999</v>
      </c>
    </row>
    <row r="34" spans="1:59" ht="12.75">
      <c r="A34" s="172" t="s">
        <v>53</v>
      </c>
      <c r="B34" s="156">
        <v>625</v>
      </c>
      <c r="C34" s="122">
        <f>B34*9.51</f>
        <v>5943.75</v>
      </c>
      <c r="D34" s="416"/>
      <c r="E34" s="206"/>
      <c r="F34" s="206"/>
      <c r="G34" s="206">
        <v>6115.79</v>
      </c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7"/>
      <c r="T34" s="224"/>
      <c r="U34" s="218">
        <f t="shared" si="34"/>
        <v>6115.79</v>
      </c>
      <c r="V34" s="419">
        <f t="shared" si="34"/>
        <v>0</v>
      </c>
      <c r="W34" s="222"/>
      <c r="X34" s="197">
        <v>3588.46</v>
      </c>
      <c r="Y34" s="222"/>
      <c r="Z34" s="222"/>
      <c r="AA34" s="197">
        <v>34.93</v>
      </c>
      <c r="AB34" s="197">
        <v>12.12</v>
      </c>
      <c r="AC34" s="222"/>
      <c r="AD34" s="197"/>
      <c r="AE34" s="203"/>
      <c r="AF34" s="204">
        <f t="shared" si="35"/>
        <v>3635.5099999999998</v>
      </c>
      <c r="AG34" s="210">
        <f t="shared" si="21"/>
        <v>3635.5099999999998</v>
      </c>
      <c r="AH34" s="420">
        <v>0</v>
      </c>
      <c r="AI34" s="188">
        <f t="shared" si="22"/>
        <v>0</v>
      </c>
      <c r="AJ34" s="189"/>
      <c r="AK34" s="149">
        <f>0.75*B34</f>
        <v>468.75</v>
      </c>
      <c r="AL34" s="149">
        <f t="shared" si="24"/>
        <v>125</v>
      </c>
      <c r="AM34" s="149">
        <f t="shared" si="25"/>
        <v>625</v>
      </c>
      <c r="AN34" s="149">
        <f t="shared" si="26"/>
        <v>131.25</v>
      </c>
      <c r="AO34" s="149">
        <f t="shared" si="27"/>
        <v>1262.5</v>
      </c>
      <c r="AP34" s="149">
        <f t="shared" si="28"/>
        <v>643.75</v>
      </c>
      <c r="AQ34" s="149">
        <f t="shared" si="29"/>
        <v>468.75</v>
      </c>
      <c r="AR34" s="149">
        <f t="shared" si="30"/>
        <v>468.75</v>
      </c>
      <c r="AS34" s="220"/>
      <c r="AT34" s="190"/>
      <c r="AU34" s="191">
        <v>457</v>
      </c>
      <c r="AV34" s="191"/>
      <c r="AW34" s="191"/>
      <c r="AX34" s="191">
        <f>41</f>
        <v>41</v>
      </c>
      <c r="AY34" s="191"/>
      <c r="AZ34" s="191"/>
      <c r="BA34" s="112"/>
      <c r="BB34" s="190"/>
      <c r="BC34" s="205">
        <f>SUM(AK34:BB34)</f>
        <v>4691.75</v>
      </c>
      <c r="BD34" s="192"/>
      <c r="BE34" s="155">
        <f t="shared" si="31"/>
        <v>4691.75</v>
      </c>
      <c r="BF34" s="155">
        <f t="shared" si="32"/>
        <v>-1056.2400000000002</v>
      </c>
      <c r="BG34" s="155">
        <f t="shared" si="33"/>
        <v>-2480.28</v>
      </c>
    </row>
    <row r="35" spans="1:59" ht="12.75">
      <c r="A35" s="172" t="s">
        <v>41</v>
      </c>
      <c r="B35" s="156">
        <v>625</v>
      </c>
      <c r="C35" s="122">
        <f>B35*9.51</f>
        <v>5943.75</v>
      </c>
      <c r="D35" s="416"/>
      <c r="E35" s="206"/>
      <c r="F35" s="206"/>
      <c r="G35" s="206">
        <v>6115.79</v>
      </c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7"/>
      <c r="T35" s="224"/>
      <c r="U35" s="218">
        <f t="shared" si="34"/>
        <v>6115.79</v>
      </c>
      <c r="V35" s="419">
        <f t="shared" si="34"/>
        <v>0</v>
      </c>
      <c r="W35" s="222"/>
      <c r="X35" s="197">
        <v>8086.71</v>
      </c>
      <c r="Y35" s="222"/>
      <c r="Z35" s="222"/>
      <c r="AA35" s="197">
        <v>393.04</v>
      </c>
      <c r="AB35" s="197">
        <v>136.31</v>
      </c>
      <c r="AC35" s="222"/>
      <c r="AD35" s="197"/>
      <c r="AE35" s="203"/>
      <c r="AF35" s="204">
        <f t="shared" si="35"/>
        <v>8616.06</v>
      </c>
      <c r="AG35" s="210">
        <f t="shared" si="21"/>
        <v>8616.06</v>
      </c>
      <c r="AH35" s="420">
        <v>0</v>
      </c>
      <c r="AI35" s="188">
        <f t="shared" si="22"/>
        <v>0</v>
      </c>
      <c r="AJ35" s="189"/>
      <c r="AK35" s="149">
        <f>0.75*B35</f>
        <v>468.75</v>
      </c>
      <c r="AL35" s="149">
        <f t="shared" si="24"/>
        <v>125</v>
      </c>
      <c r="AM35" s="149">
        <f t="shared" si="25"/>
        <v>625</v>
      </c>
      <c r="AN35" s="149">
        <f t="shared" si="26"/>
        <v>131.25</v>
      </c>
      <c r="AO35" s="149">
        <f t="shared" si="27"/>
        <v>1262.5</v>
      </c>
      <c r="AP35" s="149">
        <f t="shared" si="28"/>
        <v>643.75</v>
      </c>
      <c r="AQ35" s="149">
        <f t="shared" si="29"/>
        <v>468.75</v>
      </c>
      <c r="AR35" s="149">
        <f t="shared" si="30"/>
        <v>468.75</v>
      </c>
      <c r="AS35" s="220">
        <f>B35*1.15</f>
        <v>718.75</v>
      </c>
      <c r="AT35" s="190"/>
      <c r="AU35" s="421"/>
      <c r="AV35" s="191"/>
      <c r="AW35" s="191"/>
      <c r="AX35" s="191">
        <f>116.01</f>
        <v>116.01</v>
      </c>
      <c r="AY35" s="191"/>
      <c r="AZ35" s="191"/>
      <c r="BA35" s="112"/>
      <c r="BB35" s="190"/>
      <c r="BC35" s="205">
        <f>SUM(AK35:BB35)</f>
        <v>5028.51</v>
      </c>
      <c r="BD35" s="192"/>
      <c r="BE35" s="155">
        <f t="shared" si="31"/>
        <v>5028.51</v>
      </c>
      <c r="BF35" s="155">
        <f t="shared" si="32"/>
        <v>3587.5499999999993</v>
      </c>
      <c r="BG35" s="155">
        <f t="shared" si="33"/>
        <v>2500.2699999999995</v>
      </c>
    </row>
    <row r="36" spans="1:59" ht="12.75">
      <c r="A36" s="172" t="s">
        <v>42</v>
      </c>
      <c r="B36" s="422">
        <v>625</v>
      </c>
      <c r="C36" s="122">
        <f>B36*9.51</f>
        <v>5943.75</v>
      </c>
      <c r="D36" s="416"/>
      <c r="E36" s="206"/>
      <c r="F36" s="206"/>
      <c r="G36" s="197">
        <v>6115.79</v>
      </c>
      <c r="H36" s="197"/>
      <c r="I36" s="206"/>
      <c r="J36" s="206"/>
      <c r="K36" s="206"/>
      <c r="L36" s="206"/>
      <c r="M36" s="197"/>
      <c r="N36" s="197"/>
      <c r="O36" s="197"/>
      <c r="P36" s="197"/>
      <c r="Q36" s="197"/>
      <c r="R36" s="197"/>
      <c r="S36" s="203"/>
      <c r="T36" s="224"/>
      <c r="U36" s="218">
        <f t="shared" si="34"/>
        <v>6115.79</v>
      </c>
      <c r="V36" s="419">
        <f t="shared" si="34"/>
        <v>0</v>
      </c>
      <c r="W36" s="222"/>
      <c r="X36" s="197">
        <v>6650.14</v>
      </c>
      <c r="Y36" s="222"/>
      <c r="Z36" s="222"/>
      <c r="AA36" s="197">
        <v>345.22</v>
      </c>
      <c r="AB36" s="197">
        <v>119.71</v>
      </c>
      <c r="AC36" s="222"/>
      <c r="AD36" s="197"/>
      <c r="AE36" s="203"/>
      <c r="AF36" s="204">
        <f t="shared" si="35"/>
        <v>7115.070000000001</v>
      </c>
      <c r="AG36" s="210">
        <f t="shared" si="21"/>
        <v>7115.070000000001</v>
      </c>
      <c r="AH36" s="420">
        <v>0</v>
      </c>
      <c r="AI36" s="188">
        <f t="shared" si="22"/>
        <v>0</v>
      </c>
      <c r="AJ36" s="189"/>
      <c r="AK36" s="149">
        <f>0.75*B36</f>
        <v>468.75</v>
      </c>
      <c r="AL36" s="149">
        <f t="shared" si="24"/>
        <v>125</v>
      </c>
      <c r="AM36" s="149">
        <f t="shared" si="25"/>
        <v>625</v>
      </c>
      <c r="AN36" s="149">
        <f t="shared" si="26"/>
        <v>131.25</v>
      </c>
      <c r="AO36" s="149">
        <f t="shared" si="27"/>
        <v>1262.5</v>
      </c>
      <c r="AP36" s="149">
        <f t="shared" si="28"/>
        <v>643.75</v>
      </c>
      <c r="AQ36" s="149">
        <f t="shared" si="29"/>
        <v>468.75</v>
      </c>
      <c r="AR36" s="149">
        <f t="shared" si="30"/>
        <v>468.75</v>
      </c>
      <c r="AS36" s="220">
        <f>B36*1.15</f>
        <v>718.75</v>
      </c>
      <c r="AT36" s="190"/>
      <c r="AU36" s="191"/>
      <c r="AV36" s="191"/>
      <c r="AW36" s="191"/>
      <c r="AX36" s="191"/>
      <c r="AY36" s="191"/>
      <c r="AZ36" s="191"/>
      <c r="BA36" s="112"/>
      <c r="BB36" s="190"/>
      <c r="BC36" s="205">
        <f>SUM(AK36:BB36)</f>
        <v>4912.5</v>
      </c>
      <c r="BD36" s="192"/>
      <c r="BE36" s="155">
        <f t="shared" si="31"/>
        <v>4912.5</v>
      </c>
      <c r="BF36" s="155">
        <f t="shared" si="32"/>
        <v>2202.5700000000006</v>
      </c>
      <c r="BG36" s="155">
        <f t="shared" si="33"/>
        <v>999.2800000000007</v>
      </c>
    </row>
    <row r="37" spans="1:59" ht="13.5" thickBot="1">
      <c r="A37" s="172" t="s">
        <v>43</v>
      </c>
      <c r="B37" s="422">
        <v>625</v>
      </c>
      <c r="C37" s="122">
        <f>B37*9.51</f>
        <v>5943.75</v>
      </c>
      <c r="D37" s="416"/>
      <c r="E37" s="197"/>
      <c r="F37" s="197"/>
      <c r="G37" s="197">
        <v>6115.79</v>
      </c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203"/>
      <c r="T37" s="224"/>
      <c r="U37" s="218">
        <f t="shared" si="34"/>
        <v>6115.79</v>
      </c>
      <c r="V37" s="419">
        <f t="shared" si="34"/>
        <v>0</v>
      </c>
      <c r="W37" s="222"/>
      <c r="X37" s="197">
        <v>5419.55</v>
      </c>
      <c r="Y37" s="197"/>
      <c r="Z37" s="197"/>
      <c r="AA37" s="197">
        <v>166.26</v>
      </c>
      <c r="AB37" s="197">
        <v>57.67</v>
      </c>
      <c r="AC37" s="197"/>
      <c r="AD37" s="197"/>
      <c r="AE37" s="203"/>
      <c r="AF37" s="204">
        <f t="shared" si="35"/>
        <v>5643.4800000000005</v>
      </c>
      <c r="AG37" s="210">
        <f t="shared" si="21"/>
        <v>5643.4800000000005</v>
      </c>
      <c r="AH37" s="420">
        <v>0</v>
      </c>
      <c r="AI37" s="188">
        <f t="shared" si="22"/>
        <v>0</v>
      </c>
      <c r="AJ37" s="189"/>
      <c r="AK37" s="149">
        <f>0.75*B37</f>
        <v>468.75</v>
      </c>
      <c r="AL37" s="149">
        <f t="shared" si="24"/>
        <v>125</v>
      </c>
      <c r="AM37" s="149">
        <f t="shared" si="25"/>
        <v>625</v>
      </c>
      <c r="AN37" s="149">
        <f t="shared" si="26"/>
        <v>131.25</v>
      </c>
      <c r="AO37" s="149">
        <f t="shared" si="27"/>
        <v>1262.5</v>
      </c>
      <c r="AP37" s="149">
        <f t="shared" si="28"/>
        <v>643.75</v>
      </c>
      <c r="AQ37" s="149">
        <f t="shared" si="29"/>
        <v>468.75</v>
      </c>
      <c r="AR37" s="149">
        <f t="shared" si="30"/>
        <v>468.75</v>
      </c>
      <c r="AS37" s="220">
        <f>B37*1.15</f>
        <v>718.75</v>
      </c>
      <c r="AT37" s="190"/>
      <c r="AU37" s="191"/>
      <c r="AV37" s="191"/>
      <c r="AW37" s="191"/>
      <c r="AX37" s="191"/>
      <c r="AY37" s="191"/>
      <c r="AZ37" s="191"/>
      <c r="BA37" s="112"/>
      <c r="BB37" s="190"/>
      <c r="BC37" s="205">
        <f>SUM(AK37:BB37)</f>
        <v>4912.5</v>
      </c>
      <c r="BD37" s="192"/>
      <c r="BE37" s="155">
        <f t="shared" si="31"/>
        <v>4912.5</v>
      </c>
      <c r="BF37" s="155">
        <f t="shared" si="32"/>
        <v>730.9800000000005</v>
      </c>
      <c r="BG37" s="155">
        <f t="shared" si="33"/>
        <v>-472.3099999999995</v>
      </c>
    </row>
    <row r="38" spans="1:59" s="20" customFormat="1" ht="13.5" thickBot="1">
      <c r="A38" s="225" t="s">
        <v>5</v>
      </c>
      <c r="B38" s="226"/>
      <c r="C38" s="227">
        <f aca="true" t="shared" si="36" ref="C38:AX38">SUM(C26:C37)</f>
        <v>67725</v>
      </c>
      <c r="D38" s="227">
        <f t="shared" si="36"/>
        <v>0</v>
      </c>
      <c r="E38" s="227">
        <f t="shared" si="36"/>
        <v>0</v>
      </c>
      <c r="F38" s="227">
        <f t="shared" si="36"/>
        <v>0</v>
      </c>
      <c r="G38" s="227">
        <f t="shared" si="36"/>
        <v>56591.4</v>
      </c>
      <c r="H38" s="227">
        <f t="shared" si="36"/>
        <v>0</v>
      </c>
      <c r="I38" s="227">
        <f t="shared" si="36"/>
        <v>0</v>
      </c>
      <c r="J38" s="227">
        <f t="shared" si="36"/>
        <v>0</v>
      </c>
      <c r="K38" s="227">
        <f t="shared" si="36"/>
        <v>0</v>
      </c>
      <c r="L38" s="227">
        <f t="shared" si="36"/>
        <v>0</v>
      </c>
      <c r="M38" s="227">
        <f t="shared" si="36"/>
        <v>9662.609999999999</v>
      </c>
      <c r="N38" s="227">
        <f t="shared" si="36"/>
        <v>0</v>
      </c>
      <c r="O38" s="227">
        <f t="shared" si="36"/>
        <v>3351.8100000000004</v>
      </c>
      <c r="P38" s="227">
        <f t="shared" si="36"/>
        <v>0</v>
      </c>
      <c r="Q38" s="227">
        <f t="shared" si="36"/>
        <v>0</v>
      </c>
      <c r="R38" s="227">
        <f t="shared" si="36"/>
        <v>0</v>
      </c>
      <c r="S38" s="227">
        <f t="shared" si="36"/>
        <v>0</v>
      </c>
      <c r="T38" s="227">
        <f t="shared" si="36"/>
        <v>0</v>
      </c>
      <c r="U38" s="227">
        <f t="shared" si="36"/>
        <v>69605.82</v>
      </c>
      <c r="V38" s="227">
        <f t="shared" si="36"/>
        <v>0</v>
      </c>
      <c r="W38" s="227">
        <f t="shared" si="36"/>
        <v>0</v>
      </c>
      <c r="X38" s="227">
        <f t="shared" si="36"/>
        <v>51257.58</v>
      </c>
      <c r="Y38" s="227">
        <f t="shared" si="36"/>
        <v>0</v>
      </c>
      <c r="Z38" s="227">
        <f t="shared" si="36"/>
        <v>0</v>
      </c>
      <c r="AA38" s="227">
        <f t="shared" si="36"/>
        <v>10717.920000000002</v>
      </c>
      <c r="AB38" s="227">
        <f t="shared" si="36"/>
        <v>3718.0899999999992</v>
      </c>
      <c r="AC38" s="227">
        <f t="shared" si="36"/>
        <v>0</v>
      </c>
      <c r="AD38" s="227">
        <f t="shared" si="36"/>
        <v>0</v>
      </c>
      <c r="AE38" s="227">
        <f t="shared" si="36"/>
        <v>0</v>
      </c>
      <c r="AF38" s="227">
        <f t="shared" si="36"/>
        <v>65693.59000000001</v>
      </c>
      <c r="AG38" s="227">
        <f t="shared" si="36"/>
        <v>65693.59000000001</v>
      </c>
      <c r="AH38" s="227">
        <f t="shared" si="36"/>
        <v>0</v>
      </c>
      <c r="AI38" s="227">
        <f t="shared" si="36"/>
        <v>0</v>
      </c>
      <c r="AJ38" s="227">
        <f t="shared" si="36"/>
        <v>0</v>
      </c>
      <c r="AK38" s="227">
        <f t="shared" si="36"/>
        <v>5325</v>
      </c>
      <c r="AL38" s="227">
        <f t="shared" si="36"/>
        <v>1500</v>
      </c>
      <c r="AM38" s="227">
        <f t="shared" si="36"/>
        <v>7500</v>
      </c>
      <c r="AN38" s="227">
        <f t="shared" si="36"/>
        <v>1575</v>
      </c>
      <c r="AO38" s="227">
        <f t="shared" si="36"/>
        <v>15150</v>
      </c>
      <c r="AP38" s="227">
        <f t="shared" si="36"/>
        <v>7725</v>
      </c>
      <c r="AQ38" s="227">
        <f t="shared" si="36"/>
        <v>5625</v>
      </c>
      <c r="AR38" s="227">
        <f t="shared" si="36"/>
        <v>5625</v>
      </c>
      <c r="AS38" s="227">
        <f t="shared" si="36"/>
        <v>4312.5</v>
      </c>
      <c r="AT38" s="227">
        <f t="shared" si="36"/>
        <v>0</v>
      </c>
      <c r="AU38" s="227">
        <f t="shared" si="36"/>
        <v>2994</v>
      </c>
      <c r="AV38" s="227">
        <f t="shared" si="36"/>
        <v>0</v>
      </c>
      <c r="AW38" s="227">
        <f t="shared" si="36"/>
        <v>93</v>
      </c>
      <c r="AX38" s="227">
        <f t="shared" si="36"/>
        <v>1958.01</v>
      </c>
      <c r="AY38" s="227">
        <f>SUM(BA26:BA37)</f>
        <v>0</v>
      </c>
      <c r="AZ38" s="227">
        <f>SUM(BB26:BB37)</f>
        <v>0</v>
      </c>
      <c r="BA38" s="227">
        <f aca="true" t="shared" si="37" ref="BA38:BF38">SUM(BA26:BA37)</f>
        <v>0</v>
      </c>
      <c r="BB38" s="227">
        <f t="shared" si="37"/>
        <v>0</v>
      </c>
      <c r="BC38" s="227">
        <f t="shared" si="37"/>
        <v>59382.51</v>
      </c>
      <c r="BD38" s="227">
        <f t="shared" si="37"/>
        <v>0</v>
      </c>
      <c r="BE38" s="227">
        <f t="shared" si="37"/>
        <v>59382.51</v>
      </c>
      <c r="BF38" s="227">
        <f t="shared" si="37"/>
        <v>6311.079999999999</v>
      </c>
      <c r="BG38" s="227">
        <f>SUM(BG26:BG37)</f>
        <v>-3912.2299999999987</v>
      </c>
    </row>
    <row r="39" spans="1:59" s="20" customFormat="1" ht="13.5" thickBot="1">
      <c r="A39" s="228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30"/>
      <c r="BF39" s="229"/>
      <c r="BG39" s="231"/>
    </row>
    <row r="40" spans="1:59" s="20" customFormat="1" ht="13.5" thickBot="1">
      <c r="A40" s="22" t="s">
        <v>54</v>
      </c>
      <c r="B40" s="229"/>
      <c r="C40" s="232">
        <f aca="true" t="shared" si="38" ref="C40:AD40">C38+C24</f>
        <v>277852.485</v>
      </c>
      <c r="D40" s="232">
        <f t="shared" si="38"/>
        <v>214159.36556295003</v>
      </c>
      <c r="E40" s="232">
        <f t="shared" si="38"/>
        <v>11998.69</v>
      </c>
      <c r="F40" s="232">
        <f t="shared" si="38"/>
        <v>3021.34</v>
      </c>
      <c r="G40" s="232">
        <f t="shared" si="38"/>
        <v>96575.62</v>
      </c>
      <c r="H40" s="232">
        <f t="shared" si="38"/>
        <v>0</v>
      </c>
      <c r="I40" s="232">
        <f t="shared" si="38"/>
        <v>16233.3</v>
      </c>
      <c r="J40" s="232">
        <f t="shared" si="38"/>
        <v>4090.45</v>
      </c>
      <c r="K40" s="232">
        <f t="shared" si="38"/>
        <v>27039.61</v>
      </c>
      <c r="L40" s="232">
        <f t="shared" si="38"/>
        <v>6809.250000000002</v>
      </c>
      <c r="M40" s="232">
        <f t="shared" si="38"/>
        <v>68119.9</v>
      </c>
      <c r="N40" s="232">
        <f t="shared" si="38"/>
        <v>9830.59</v>
      </c>
      <c r="O40" s="232">
        <f t="shared" si="38"/>
        <v>19688.08</v>
      </c>
      <c r="P40" s="232">
        <f t="shared" si="38"/>
        <v>2416.96</v>
      </c>
      <c r="Q40" s="232">
        <f t="shared" si="38"/>
        <v>0</v>
      </c>
      <c r="R40" s="232">
        <f t="shared" si="38"/>
        <v>0</v>
      </c>
      <c r="S40" s="232">
        <f t="shared" si="38"/>
        <v>0</v>
      </c>
      <c r="T40" s="232">
        <f t="shared" si="38"/>
        <v>0</v>
      </c>
      <c r="U40" s="232">
        <f t="shared" si="38"/>
        <v>239655.2</v>
      </c>
      <c r="V40" s="232">
        <f t="shared" si="38"/>
        <v>26168.589999999997</v>
      </c>
      <c r="W40" s="232">
        <f t="shared" si="38"/>
        <v>11943.710000000001</v>
      </c>
      <c r="X40" s="232">
        <f t="shared" si="38"/>
        <v>88776.04000000001</v>
      </c>
      <c r="Y40" s="232">
        <f t="shared" si="38"/>
        <v>16163.970000000001</v>
      </c>
      <c r="Z40" s="232">
        <f t="shared" si="38"/>
        <v>26913.739999999998</v>
      </c>
      <c r="AA40" s="232">
        <f t="shared" si="38"/>
        <v>67796.20999999999</v>
      </c>
      <c r="AB40" s="232">
        <f t="shared" si="38"/>
        <v>19594.65</v>
      </c>
      <c r="AC40" s="232">
        <f t="shared" si="38"/>
        <v>0</v>
      </c>
      <c r="AD40" s="232">
        <f t="shared" si="38"/>
        <v>0</v>
      </c>
      <c r="AE40" s="232" t="e">
        <f>AE38+AF24</f>
        <v>#REF!</v>
      </c>
      <c r="AF40" s="232" t="e">
        <f>AF38+#REF!</f>
        <v>#REF!</v>
      </c>
      <c r="AG40" s="232">
        <f aca="true" t="shared" si="39" ref="AG40:BF40">AG38+AG24</f>
        <v>471516.27556295006</v>
      </c>
      <c r="AH40" s="232">
        <f t="shared" si="39"/>
        <v>0</v>
      </c>
      <c r="AI40" s="232">
        <f t="shared" si="39"/>
        <v>0</v>
      </c>
      <c r="AJ40" s="232">
        <f t="shared" si="39"/>
        <v>0</v>
      </c>
      <c r="AK40" s="232">
        <f t="shared" si="39"/>
        <v>20327.268</v>
      </c>
      <c r="AL40" s="232">
        <f t="shared" si="39"/>
        <v>6343.1868676</v>
      </c>
      <c r="AM40" s="232">
        <f t="shared" si="39"/>
        <v>31561.787071597002</v>
      </c>
      <c r="AN40" s="232">
        <f t="shared" si="39"/>
        <v>3150</v>
      </c>
      <c r="AO40" s="232">
        <f t="shared" si="39"/>
        <v>46820.063591936996</v>
      </c>
      <c r="AP40" s="232">
        <f t="shared" si="39"/>
        <v>52405.8422186416</v>
      </c>
      <c r="AQ40" s="232">
        <f t="shared" si="39"/>
        <v>11250</v>
      </c>
      <c r="AR40" s="232">
        <f t="shared" si="39"/>
        <v>11250</v>
      </c>
      <c r="AS40" s="232">
        <f t="shared" si="39"/>
        <v>8625</v>
      </c>
      <c r="AT40" s="232">
        <f t="shared" si="39"/>
        <v>0</v>
      </c>
      <c r="AU40" s="232">
        <f t="shared" si="39"/>
        <v>30263.091399999998</v>
      </c>
      <c r="AV40" s="232">
        <f t="shared" si="39"/>
        <v>0</v>
      </c>
      <c r="AW40" s="232">
        <f t="shared" si="39"/>
        <v>232378.03999999998</v>
      </c>
      <c r="AX40" s="232">
        <f t="shared" si="39"/>
        <v>41542.318600000006</v>
      </c>
      <c r="AY40" s="232">
        <f t="shared" si="39"/>
        <v>5332.552000000001</v>
      </c>
      <c r="AZ40" s="227">
        <f t="shared" si="39"/>
        <v>0</v>
      </c>
      <c r="BA40" s="227">
        <f t="shared" si="39"/>
        <v>0</v>
      </c>
      <c r="BB40" s="227">
        <f t="shared" si="39"/>
        <v>0</v>
      </c>
      <c r="BC40" s="227">
        <f t="shared" si="39"/>
        <v>501249.1497497756</v>
      </c>
      <c r="BD40" s="227">
        <f t="shared" si="39"/>
        <v>0</v>
      </c>
      <c r="BE40" s="227">
        <f t="shared" si="39"/>
        <v>501249.1497497756</v>
      </c>
      <c r="BF40" s="227">
        <f t="shared" si="39"/>
        <v>-29732.874186825593</v>
      </c>
      <c r="BG40" s="227">
        <f>BG38+BG24</f>
        <v>-8466.880000000001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4">
      <selection activeCell="E67" sqref="E67"/>
    </sheetView>
  </sheetViews>
  <sheetFormatPr defaultColWidth="9.00390625" defaultRowHeight="12.75"/>
  <cols>
    <col min="1" max="1" width="10.00390625" style="160" customWidth="1"/>
    <col min="2" max="2" width="9.125" style="160" customWidth="1"/>
    <col min="3" max="3" width="12.00390625" style="160" customWidth="1"/>
    <col min="4" max="4" width="10.375" style="160" customWidth="1"/>
    <col min="5" max="5" width="10.125" style="160" bestFit="1" customWidth="1"/>
    <col min="6" max="6" width="9.875" style="160" customWidth="1"/>
    <col min="7" max="7" width="10.00390625" style="160" customWidth="1"/>
    <col min="8" max="8" width="11.625" style="160" customWidth="1"/>
    <col min="9" max="9" width="9.25390625" style="160" customWidth="1"/>
    <col min="10" max="10" width="9.875" style="160" customWidth="1"/>
    <col min="11" max="11" width="10.875" style="160" customWidth="1"/>
    <col min="12" max="12" width="10.125" style="160" customWidth="1"/>
    <col min="13" max="13" width="12.625" style="160" customWidth="1"/>
    <col min="14" max="14" width="10.75390625" style="160" customWidth="1"/>
    <col min="15" max="15" width="10.25390625" style="160" customWidth="1"/>
    <col min="16" max="16384" width="9.125" style="160" customWidth="1"/>
  </cols>
  <sheetData>
    <row r="1" spans="2:8" ht="20.25" customHeight="1">
      <c r="B1" s="343" t="s">
        <v>55</v>
      </c>
      <c r="C1" s="343"/>
      <c r="D1" s="343"/>
      <c r="E1" s="343"/>
      <c r="F1" s="343"/>
      <c r="G1" s="343"/>
      <c r="H1" s="343"/>
    </row>
    <row r="2" spans="2:8" ht="21" customHeight="1">
      <c r="B2" s="343" t="s">
        <v>56</v>
      </c>
      <c r="C2" s="343"/>
      <c r="D2" s="343"/>
      <c r="E2" s="343"/>
      <c r="F2" s="343"/>
      <c r="G2" s="343"/>
      <c r="H2" s="343"/>
    </row>
    <row r="5" spans="1:14" ht="12.75">
      <c r="A5" s="345" t="s">
        <v>89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</row>
    <row r="6" spans="1:14" ht="12.75">
      <c r="A6" s="346" t="s">
        <v>118</v>
      </c>
      <c r="B6" s="346"/>
      <c r="C6" s="346"/>
      <c r="D6" s="346"/>
      <c r="E6" s="346"/>
      <c r="F6" s="346"/>
      <c r="G6" s="346"/>
      <c r="H6" s="96"/>
      <c r="I6" s="96"/>
      <c r="J6" s="96"/>
      <c r="K6" s="96"/>
      <c r="L6" s="96"/>
      <c r="M6" s="96"/>
      <c r="N6" s="96"/>
    </row>
    <row r="7" spans="1:6" ht="13.5" thickBot="1">
      <c r="A7" s="415" t="s">
        <v>57</v>
      </c>
      <c r="B7" s="415"/>
      <c r="C7" s="415"/>
      <c r="D7" s="415"/>
      <c r="E7" s="415">
        <v>9.51</v>
      </c>
      <c r="F7" s="415"/>
    </row>
    <row r="8" spans="1:15" ht="12.75" customHeight="1">
      <c r="A8" s="298" t="s">
        <v>58</v>
      </c>
      <c r="B8" s="316" t="s">
        <v>1</v>
      </c>
      <c r="C8" s="319" t="s">
        <v>123</v>
      </c>
      <c r="D8" s="322" t="s">
        <v>124</v>
      </c>
      <c r="E8" s="335" t="s">
        <v>60</v>
      </c>
      <c r="F8" s="336"/>
      <c r="G8" s="339" t="s">
        <v>61</v>
      </c>
      <c r="H8" s="340"/>
      <c r="I8" s="325" t="s">
        <v>10</v>
      </c>
      <c r="J8" s="278"/>
      <c r="K8" s="278"/>
      <c r="L8" s="278"/>
      <c r="M8" s="326"/>
      <c r="N8" s="312" t="s">
        <v>62</v>
      </c>
      <c r="O8" s="312" t="s">
        <v>12</v>
      </c>
    </row>
    <row r="9" spans="1:15" ht="12.75">
      <c r="A9" s="299"/>
      <c r="B9" s="317"/>
      <c r="C9" s="320"/>
      <c r="D9" s="323"/>
      <c r="E9" s="337"/>
      <c r="F9" s="338"/>
      <c r="G9" s="341"/>
      <c r="H9" s="342"/>
      <c r="I9" s="327"/>
      <c r="J9" s="261"/>
      <c r="K9" s="261"/>
      <c r="L9" s="261"/>
      <c r="M9" s="328"/>
      <c r="N9" s="313"/>
      <c r="O9" s="313"/>
    </row>
    <row r="10" spans="1:15" ht="26.25" customHeight="1">
      <c r="A10" s="299"/>
      <c r="B10" s="317"/>
      <c r="C10" s="320"/>
      <c r="D10" s="323"/>
      <c r="E10" s="329" t="s">
        <v>63</v>
      </c>
      <c r="F10" s="330"/>
      <c r="G10" s="84" t="s">
        <v>64</v>
      </c>
      <c r="H10" s="307" t="s">
        <v>7</v>
      </c>
      <c r="I10" s="331" t="s">
        <v>65</v>
      </c>
      <c r="J10" s="333" t="s">
        <v>119</v>
      </c>
      <c r="K10" s="333" t="s">
        <v>66</v>
      </c>
      <c r="L10" s="333" t="s">
        <v>37</v>
      </c>
      <c r="M10" s="307" t="s">
        <v>39</v>
      </c>
      <c r="N10" s="313"/>
      <c r="O10" s="313"/>
    </row>
    <row r="11" spans="1:15" ht="66.75" customHeight="1" thickBot="1">
      <c r="A11" s="315"/>
      <c r="B11" s="318"/>
      <c r="C11" s="321"/>
      <c r="D11" s="324"/>
      <c r="E11" s="63" t="s">
        <v>68</v>
      </c>
      <c r="F11" s="66" t="s">
        <v>21</v>
      </c>
      <c r="G11" s="81" t="s">
        <v>69</v>
      </c>
      <c r="H11" s="308"/>
      <c r="I11" s="332"/>
      <c r="J11" s="334"/>
      <c r="K11" s="334"/>
      <c r="L11" s="334"/>
      <c r="M11" s="308"/>
      <c r="N11" s="314"/>
      <c r="O11" s="314"/>
    </row>
    <row r="12" spans="1:15" ht="13.5" thickBot="1">
      <c r="A12" s="64">
        <v>1</v>
      </c>
      <c r="B12" s="65">
        <v>2</v>
      </c>
      <c r="C12" s="64">
        <v>3</v>
      </c>
      <c r="D12" s="65">
        <v>4</v>
      </c>
      <c r="E12" s="64">
        <v>5</v>
      </c>
      <c r="F12" s="65">
        <v>6</v>
      </c>
      <c r="G12" s="64">
        <v>7</v>
      </c>
      <c r="H12" s="65">
        <v>8</v>
      </c>
      <c r="I12" s="64">
        <v>9</v>
      </c>
      <c r="J12" s="65">
        <v>10</v>
      </c>
      <c r="K12" s="64">
        <v>11</v>
      </c>
      <c r="L12" s="65">
        <v>12</v>
      </c>
      <c r="M12" s="65">
        <v>13</v>
      </c>
      <c r="N12" s="64">
        <v>14</v>
      </c>
      <c r="O12" s="65">
        <v>15</v>
      </c>
    </row>
    <row r="13" spans="1:17" ht="13.5" hidden="1" thickBot="1">
      <c r="A13" s="7" t="s">
        <v>44</v>
      </c>
      <c r="B13" s="234"/>
      <c r="C13" s="41"/>
      <c r="D13" s="42"/>
      <c r="E13" s="235"/>
      <c r="F13" s="236"/>
      <c r="G13" s="237"/>
      <c r="H13" s="236"/>
      <c r="I13" s="237"/>
      <c r="J13" s="238"/>
      <c r="K13" s="238"/>
      <c r="L13" s="239"/>
      <c r="M13" s="240"/>
      <c r="N13" s="241"/>
      <c r="O13" s="241"/>
      <c r="P13" s="159"/>
      <c r="Q13" s="159"/>
    </row>
    <row r="14" spans="1:17" ht="13.5" hidden="1" thickBot="1">
      <c r="A14" s="172" t="s">
        <v>45</v>
      </c>
      <c r="B14" s="82">
        <f>'[4]Лист1'!B8</f>
        <v>0</v>
      </c>
      <c r="C14" s="27">
        <f aca="true" t="shared" si="0" ref="C14:C25">B14*8.65</f>
        <v>0</v>
      </c>
      <c r="D14" s="28">
        <f>'[4]Лист1'!D8</f>
        <v>0</v>
      </c>
      <c r="E14" s="238">
        <f>'[4]Лист1'!S8</f>
        <v>0</v>
      </c>
      <c r="F14" s="240">
        <f>'[4]Лист1'!T8</f>
        <v>0</v>
      </c>
      <c r="G14" s="242">
        <f>'[4]Лист1'!AB8</f>
        <v>0</v>
      </c>
      <c r="H14" s="240">
        <f>'[4]Лист1'!AC8</f>
        <v>0</v>
      </c>
      <c r="I14" s="242">
        <f>'[4]Лист1'!AG8</f>
        <v>0</v>
      </c>
      <c r="J14" s="238">
        <f>'[4]Лист1'!AI8+'[4]Лист1'!AJ8</f>
        <v>0</v>
      </c>
      <c r="K14" s="238">
        <f>'[4]Лист1'!AH8+'[4]Лист1'!AK8+'[4]Лист1'!AL8+'[4]Лист1'!AM8+'[4]Лист1'!AN8+'[4]Лист1'!AO8+'[4]Лист1'!AP8+'[4]Лист1'!AQ8+'[4]Лист1'!AR8</f>
        <v>0</v>
      </c>
      <c r="L14" s="239">
        <f>'[4]Лист1'!AS8+'[4]Лист1'!AT8+'[4]Лист1'!AU8+'[4]Лист1'!AZ8+'[4]Лист1'!BA8</f>
        <v>0</v>
      </c>
      <c r="M14" s="240">
        <f>'[4]Лист1'!BB8</f>
        <v>0</v>
      </c>
      <c r="N14" s="241">
        <f>'[4]Лист1'!BD8</f>
        <v>0</v>
      </c>
      <c r="O14" s="241">
        <f>'[4]Лист1'!BE8</f>
        <v>0</v>
      </c>
      <c r="P14" s="159"/>
      <c r="Q14" s="159"/>
    </row>
    <row r="15" spans="1:17" ht="13.5" hidden="1" thickBot="1">
      <c r="A15" s="172" t="s">
        <v>46</v>
      </c>
      <c r="B15" s="82">
        <f>'[4]Лист1'!B9</f>
        <v>347</v>
      </c>
      <c r="C15" s="27">
        <f t="shared" si="0"/>
        <v>3001.55</v>
      </c>
      <c r="D15" s="28">
        <f>'[4]Лист1'!D9</f>
        <v>375.19375</v>
      </c>
      <c r="E15" s="238">
        <f>'[4]Лист1'!S9</f>
        <v>1402.63</v>
      </c>
      <c r="F15" s="240">
        <f>'[4]Лист1'!T9</f>
        <v>770.85</v>
      </c>
      <c r="G15" s="242">
        <f>'[4]Лист1'!AB9</f>
        <v>1205.52</v>
      </c>
      <c r="H15" s="240">
        <f>'[4]Лист1'!AC9</f>
        <v>2351.5637500000003</v>
      </c>
      <c r="I15" s="242">
        <f>'[4]Лист1'!AG9</f>
        <v>187.38</v>
      </c>
      <c r="J15" s="238">
        <f>'[4]Лист1'!AI9+'[4]Лист1'!AJ9</f>
        <v>301.727947</v>
      </c>
      <c r="K15" s="238">
        <f>'[4]Лист1'!AH9+'[4]Лист1'!AK9+'[4]Лист1'!AL9+'[4]Лист1'!AM9+'[4]Лист1'!AN9+'[4]Лист1'!AO9+'[4]Лист1'!AP9+'[4]Лист1'!AQ9+'[4]Лист1'!AR9</f>
        <v>1036.33545944</v>
      </c>
      <c r="L15" s="239">
        <f>'[4]Лист1'!AS9+'[4]Лист1'!AT9+'[4]Лист1'!AU9+'[4]Лист1'!AZ9+'[4]Лист1'!BA9</f>
        <v>0</v>
      </c>
      <c r="M15" s="240">
        <f>'[4]Лист1'!BB9</f>
        <v>1525.4434064399998</v>
      </c>
      <c r="N15" s="241">
        <f>'[4]Лист1'!BD9</f>
        <v>826.1203435600005</v>
      </c>
      <c r="O15" s="241">
        <f>'[4]Лист1'!BE9</f>
        <v>-197.11000000000013</v>
      </c>
      <c r="P15" s="159"/>
      <c r="Q15" s="159"/>
    </row>
    <row r="16" spans="1:17" ht="13.5" hidden="1" thickBot="1">
      <c r="A16" s="172" t="s">
        <v>47</v>
      </c>
      <c r="B16" s="82">
        <f>'[4]Лист1'!B10</f>
        <v>347</v>
      </c>
      <c r="C16" s="27">
        <f t="shared" si="0"/>
        <v>3001.55</v>
      </c>
      <c r="D16" s="28">
        <f>'[4]Лист1'!D10</f>
        <v>375.19375</v>
      </c>
      <c r="E16" s="238">
        <f>'[4]Лист1'!S10</f>
        <v>1402.63</v>
      </c>
      <c r="F16" s="240">
        <f>'[4]Лист1'!T10</f>
        <v>770.85</v>
      </c>
      <c r="G16" s="242">
        <f>'[4]Лист1'!AB10</f>
        <v>1141.3000000000002</v>
      </c>
      <c r="H16" s="240">
        <f>'[4]Лист1'!AC10</f>
        <v>2287.34375</v>
      </c>
      <c r="I16" s="242">
        <f>'[4]Лист1'!AG10</f>
        <v>187.38</v>
      </c>
      <c r="J16" s="238">
        <f>'[4]Лист1'!AI10+'[4]Лист1'!AJ10</f>
        <v>301.403506</v>
      </c>
      <c r="K16" s="238">
        <f>'[4]Лист1'!AH10+'[4]Лист1'!AK10+'[4]Лист1'!AL10+'[4]Лист1'!AM10+'[4]Лист1'!AN10+'[4]Лист1'!AO10+'[4]Лист1'!AP10+'[4]Лист1'!AQ10+'[4]Лист1'!AR10</f>
        <v>1037.8314805399998</v>
      </c>
      <c r="L16" s="239">
        <f>'[4]Лист1'!AS10+'[4]Лист1'!AT10+'[4]Лист1'!AU10+'[4]Лист1'!AZ10+'[4]Лист1'!BA10</f>
        <v>1569.4</v>
      </c>
      <c r="M16" s="240">
        <f>'[4]Лист1'!BB10</f>
        <v>3096.0149865399994</v>
      </c>
      <c r="N16" s="241">
        <f>'[4]Лист1'!BD10</f>
        <v>-808.6712365399994</v>
      </c>
      <c r="O16" s="241">
        <f>'[4]Лист1'!BE10</f>
        <v>-261.3299999999999</v>
      </c>
      <c r="P16" s="159"/>
      <c r="Q16" s="159"/>
    </row>
    <row r="17" spans="1:17" ht="13.5" hidden="1" thickBot="1">
      <c r="A17" s="172" t="s">
        <v>48</v>
      </c>
      <c r="B17" s="82">
        <f>'[4]Лист1'!B11</f>
        <v>347</v>
      </c>
      <c r="C17" s="27">
        <f t="shared" si="0"/>
        <v>3001.55</v>
      </c>
      <c r="D17" s="28">
        <f>'[4]Лист1'!D11</f>
        <v>375.19375</v>
      </c>
      <c r="E17" s="238">
        <f>'[4]Лист1'!S11</f>
        <v>1402.63</v>
      </c>
      <c r="F17" s="240">
        <f>'[4]Лист1'!T11</f>
        <v>770.85</v>
      </c>
      <c r="G17" s="242">
        <f>'[4]Лист1'!AB11</f>
        <v>1864.7600000000002</v>
      </c>
      <c r="H17" s="240">
        <f>'[4]Лист1'!AC11</f>
        <v>3010.80375</v>
      </c>
      <c r="I17" s="242">
        <f>'[4]Лист1'!AG11</f>
        <v>187.38</v>
      </c>
      <c r="J17" s="238">
        <f>'[4]Лист1'!AI11+'[4]Лист1'!AJ11</f>
        <v>301.9373675</v>
      </c>
      <c r="K17" s="238">
        <f>'[4]Лист1'!AH11+'[4]Лист1'!AK11+'[4]Лист1'!AL11+'[4]Лист1'!AM11+'[4]Лист1'!AN11+'[4]Лист1'!AO11+'[4]Лист1'!AP11+'[4]Лист1'!AQ11+'[4]Лист1'!AR11</f>
        <v>1003.1883752000001</v>
      </c>
      <c r="L17" s="239">
        <f>'[4]Лист1'!AS11+'[4]Лист1'!AT11+'[4]Лист1'!AU11+'[4]Лист1'!AY11+'[4]Лист1'!AZ11</f>
        <v>0</v>
      </c>
      <c r="M17" s="240">
        <f>'[4]Лист1'!BB11</f>
        <v>1492.5057427</v>
      </c>
      <c r="N17" s="241">
        <f>'[4]Лист1'!BD11</f>
        <v>1518.2980073</v>
      </c>
      <c r="O17" s="241">
        <f>'[4]Лист1'!BE11</f>
        <v>462.1300000000001</v>
      </c>
      <c r="P17" s="159"/>
      <c r="Q17" s="159"/>
    </row>
    <row r="18" spans="1:17" ht="13.5" hidden="1" thickBot="1">
      <c r="A18" s="172" t="s">
        <v>49</v>
      </c>
      <c r="B18" s="82">
        <f>'[4]Лист1'!B12</f>
        <v>347</v>
      </c>
      <c r="C18" s="27">
        <f t="shared" si="0"/>
        <v>3001.55</v>
      </c>
      <c r="D18" s="28">
        <f>'[4]Лист1'!D12</f>
        <v>375.19375</v>
      </c>
      <c r="E18" s="238">
        <f>'[4]Лист1'!S12</f>
        <v>1401.9099999999999</v>
      </c>
      <c r="F18" s="240">
        <f>'[4]Лист1'!T12</f>
        <v>770.85</v>
      </c>
      <c r="G18" s="242">
        <f>'[4]Лист1'!AB12</f>
        <v>1402.6</v>
      </c>
      <c r="H18" s="240">
        <f>'[4]Лист1'!AC12</f>
        <v>2548.64375</v>
      </c>
      <c r="I18" s="242">
        <f>'[4]Лист1'!AG12</f>
        <v>187.38</v>
      </c>
      <c r="J18" s="238">
        <f>'[4]Лист1'!AI12+'[4]Лист1'!AJ12</f>
        <v>310.800613</v>
      </c>
      <c r="K18" s="238">
        <f>'[4]Лист1'!AH12+'[4]Лист1'!AK12+'[4]Лист1'!AL12+'[4]Лист1'!AM12+'[4]Лист1'!AN12+'[4]Лист1'!AO12+'[4]Лист1'!AP12+'[4]Лист1'!AQ12+'[4]Лист1'!AR12</f>
        <v>1017.49191592</v>
      </c>
      <c r="L18" s="239">
        <f>'[4]Лист1'!AS12+'[4]Лист1'!AT12+'[4]Лист1'!AU12+'[4]Лист1'!AZ12+'[4]Лист1'!BA12</f>
        <v>0</v>
      </c>
      <c r="M18" s="240">
        <f>'[4]Лист1'!BB12</f>
        <v>1833.8477289200002</v>
      </c>
      <c r="N18" s="241">
        <f>'[4]Лист1'!BD12</f>
        <v>714.79602108</v>
      </c>
      <c r="O18" s="241">
        <f>'[4]Лист1'!BE12</f>
        <v>0.6900000000000546</v>
      </c>
      <c r="P18" s="159"/>
      <c r="Q18" s="159"/>
    </row>
    <row r="19" spans="1:17" ht="13.5" hidden="1" thickBot="1">
      <c r="A19" s="172" t="s">
        <v>50</v>
      </c>
      <c r="B19" s="82">
        <f>'[4]Лист1'!B13</f>
        <v>347</v>
      </c>
      <c r="C19" s="27">
        <f t="shared" si="0"/>
        <v>3001.55</v>
      </c>
      <c r="D19" s="28">
        <f>'[4]Лист1'!D13</f>
        <v>577.8599999999997</v>
      </c>
      <c r="E19" s="238">
        <f>'[4]Лист1'!S13</f>
        <v>1563.57</v>
      </c>
      <c r="F19" s="240">
        <f>'[4]Лист1'!T13</f>
        <v>860.12</v>
      </c>
      <c r="G19" s="242">
        <f>'[4]Лист1'!AB13</f>
        <v>1101.03</v>
      </c>
      <c r="H19" s="240">
        <f>'[4]Лист1'!AC13</f>
        <v>2539.0099999999993</v>
      </c>
      <c r="I19" s="242">
        <f>'[4]Лист1'!AG13</f>
        <v>208.2</v>
      </c>
      <c r="J19" s="238">
        <f>'[4]Лист1'!AI13+'[4]Лист1'!AJ13</f>
        <v>348.041</v>
      </c>
      <c r="K19" s="238">
        <f>'[4]Лист1'!AH13+'[4]Лист1'!AK13+'[4]Лист1'!AL13+'[4]Лист1'!AM13+'[4]Лист1'!AN13+'[4]Лист1'!AO13+'[4]Лист1'!AP13+'[4]Лист1'!AQ13+'[4]Лист1'!AR13</f>
        <v>1192.0144</v>
      </c>
      <c r="L19" s="239">
        <f>'[4]Лист1'!AS13+'[4]Лист1'!AT13+'[4]Лист1'!AU13+'[4]Лист1'!AZ13+'[4]Лист1'!BA13</f>
        <v>0</v>
      </c>
      <c r="M19" s="240">
        <f>'[4]Лист1'!BB13</f>
        <v>1800.3925199999999</v>
      </c>
      <c r="N19" s="241">
        <f>'[4]Лист1'!BD13</f>
        <v>738.6174799999994</v>
      </c>
      <c r="O19" s="241">
        <f>'[4]Лист1'!BE13</f>
        <v>-462.53999999999996</v>
      </c>
      <c r="P19" s="159"/>
      <c r="Q19" s="159"/>
    </row>
    <row r="20" spans="1:17" ht="13.5" hidden="1" thickBot="1">
      <c r="A20" s="172" t="s">
        <v>51</v>
      </c>
      <c r="B20" s="82">
        <f>'[4]Лист1'!B14</f>
        <v>347</v>
      </c>
      <c r="C20" s="27">
        <f t="shared" si="0"/>
        <v>3001.55</v>
      </c>
      <c r="D20" s="28">
        <f>'[4]Лист1'!D14</f>
        <v>577.73</v>
      </c>
      <c r="E20" s="238">
        <f>'[4]Лист1'!S14</f>
        <v>1563.7</v>
      </c>
      <c r="F20" s="240">
        <f>'[4]Лист1'!T14</f>
        <v>860.12</v>
      </c>
      <c r="G20" s="242">
        <f>'[4]Лист1'!AB14</f>
        <v>1864.8400000000001</v>
      </c>
      <c r="H20" s="240">
        <f>'[4]Лист1'!AC14</f>
        <v>3302.69</v>
      </c>
      <c r="I20" s="242">
        <f>'[4]Лист1'!AG14</f>
        <v>208.2</v>
      </c>
      <c r="J20" s="238">
        <f>'[4]Лист1'!AI14+'[4]Лист1'!AJ14</f>
        <v>348.041</v>
      </c>
      <c r="K20" s="238">
        <f>'[4]Лист1'!AH14+'[4]Лист1'!AK14+'[4]Лист1'!AL14+'[4]Лист1'!AM14+'[4]Лист1'!AN14+'[4]Лист1'!AO14+'[4]Лист1'!AP14+'[4]Лист1'!AQ14+'[4]Лист1'!AR14</f>
        <v>1192.04563</v>
      </c>
      <c r="L20" s="239">
        <f>'[4]Лист1'!AS14+'[4]Лист1'!AT14+'[4]Лист1'!AU14+'[4]Лист1'!AZ14+'[4]Лист1'!BA14</f>
        <v>0</v>
      </c>
      <c r="M20" s="240">
        <f>'[4]Лист1'!BB14</f>
        <v>1794.47655</v>
      </c>
      <c r="N20" s="241">
        <f>'[4]Лист1'!BD14</f>
        <v>1508.21345</v>
      </c>
      <c r="O20" s="241">
        <f>'[4]Лист1'!BE14</f>
        <v>301.1400000000001</v>
      </c>
      <c r="P20" s="159"/>
      <c r="Q20" s="159"/>
    </row>
    <row r="21" spans="1:17" ht="13.5" hidden="1" thickBot="1">
      <c r="A21" s="172" t="s">
        <v>52</v>
      </c>
      <c r="B21" s="82">
        <f>'[4]Лист1'!B15</f>
        <v>347</v>
      </c>
      <c r="C21" s="27">
        <f t="shared" si="0"/>
        <v>3001.55</v>
      </c>
      <c r="D21" s="28">
        <f>'[4]Лист1'!D15</f>
        <v>595.9700000000003</v>
      </c>
      <c r="E21" s="238">
        <f>'[4]Лист1'!S15</f>
        <v>1553.6399999999999</v>
      </c>
      <c r="F21" s="240">
        <f>'[4]Лист1'!T15</f>
        <v>851.9399999999999</v>
      </c>
      <c r="G21" s="242">
        <f>'[4]Лист1'!AB15</f>
        <v>1230.87</v>
      </c>
      <c r="H21" s="240">
        <f>'[4]Лист1'!AC15</f>
        <v>2678.78</v>
      </c>
      <c r="I21" s="242">
        <f>'[4]Лист1'!AG15</f>
        <v>208.2</v>
      </c>
      <c r="J21" s="238">
        <f>'[4]Лист1'!AI15+'[4]Лист1'!AJ15</f>
        <v>343.0988178</v>
      </c>
      <c r="K21" s="238">
        <f>'[4]Лист1'!AH15+'[4]Лист1'!AK15+'[4]Лист1'!AL15+'[4]Лист1'!AM15+'[4]Лист1'!AN15+'[4]Лист1'!AO15+'[4]Лист1'!AP15+'[4]Лист1'!AQ15+'[4]Лист1'!AR15</f>
        <v>1180.18489934</v>
      </c>
      <c r="L21" s="239">
        <f>'[4]Лист1'!AS15+'[4]Лист1'!AT15+'[4]Лист1'!AU15+'[4]Лист1'!AZ15+'[4]Лист1'!BA15</f>
        <v>0</v>
      </c>
      <c r="M21" s="240">
        <f>'[4]Лист1'!BB15</f>
        <v>1780.64723714</v>
      </c>
      <c r="N21" s="241">
        <f>'[4]Лист1'!BD15</f>
        <v>898.1327628600002</v>
      </c>
      <c r="O21" s="241">
        <f>'[4]Лист1'!BE15</f>
        <v>-322.77</v>
      </c>
      <c r="P21" s="159"/>
      <c r="Q21" s="159"/>
    </row>
    <row r="22" spans="1:17" ht="13.5" hidden="1" thickBot="1">
      <c r="A22" s="172" t="s">
        <v>53</v>
      </c>
      <c r="B22" s="82">
        <f>'[4]Лист1'!B16</f>
        <v>347</v>
      </c>
      <c r="C22" s="27">
        <f t="shared" si="0"/>
        <v>3001.55</v>
      </c>
      <c r="D22" s="28">
        <f>'[4]Лист1'!D16</f>
        <v>577.73</v>
      </c>
      <c r="E22" s="238">
        <f>'[4]Лист1'!S16</f>
        <v>1563.7</v>
      </c>
      <c r="F22" s="240">
        <f>'[4]Лист1'!T16</f>
        <v>860.12</v>
      </c>
      <c r="G22" s="242">
        <f>'[4]Лист1'!AB16</f>
        <v>1843.1499999999999</v>
      </c>
      <c r="H22" s="240">
        <f>'[4]Лист1'!AC16</f>
        <v>3281</v>
      </c>
      <c r="I22" s="242">
        <f>'[4]Лист1'!AG16</f>
        <v>208.2</v>
      </c>
      <c r="J22" s="238">
        <f>'[4]Лист1'!AI16+'[4]Лист1'!AJ16</f>
        <v>342.9073952499999</v>
      </c>
      <c r="K22" s="238">
        <f>'[4]Лист1'!AH16+'[4]Лист1'!AK16+'[4]Лист1'!AL16+'[4]Лист1'!AM16+'[4]Лист1'!AN16+'[4]Лист1'!AO16+'[4]Лист1'!AP16+'[4]Лист1'!AQ16+'[4]Лист1'!AR16</f>
        <v>1179.93693314</v>
      </c>
      <c r="L22" s="239">
        <f>'[4]Лист1'!AS16+'[4]Лист1'!AT16+'[4]Лист1'!AU16+'[4]Лист1'!AZ16+'[4]Лист1'!BA16</f>
        <v>0</v>
      </c>
      <c r="M22" s="240">
        <f>'[4]Лист1'!BB16</f>
        <v>1789.1286483900003</v>
      </c>
      <c r="N22" s="241">
        <f>'[4]Лист1'!BD16</f>
        <v>1491.8713516099997</v>
      </c>
      <c r="O22" s="241">
        <f>'[4]Лист1'!BE16</f>
        <v>279.4499999999998</v>
      </c>
      <c r="P22" s="159"/>
      <c r="Q22" s="159"/>
    </row>
    <row r="23" spans="1:17" ht="13.5" hidden="1" thickBot="1">
      <c r="A23" s="172" t="s">
        <v>41</v>
      </c>
      <c r="B23" s="82">
        <f>'[4]Лист1'!B17</f>
        <v>347</v>
      </c>
      <c r="C23" s="27">
        <f t="shared" si="0"/>
        <v>3001.55</v>
      </c>
      <c r="D23" s="28">
        <f>'[4]Лист1'!D17</f>
        <v>577.73</v>
      </c>
      <c r="E23" s="238">
        <f>'[4]Лист1'!S17</f>
        <v>1563.7</v>
      </c>
      <c r="F23" s="240">
        <f>'[4]Лист1'!T17</f>
        <v>860.12</v>
      </c>
      <c r="G23" s="242">
        <f>'[4]Лист1'!AB17</f>
        <v>1231.0300000000002</v>
      </c>
      <c r="H23" s="240">
        <f>'[4]Лист1'!AC17</f>
        <v>2668.88</v>
      </c>
      <c r="I23" s="242">
        <f>'[4]Лист1'!AG17</f>
        <v>208.2</v>
      </c>
      <c r="J23" s="238">
        <f>'[4]Лист1'!AI17+'[4]Лист1'!AJ17</f>
        <v>342.84822827999994</v>
      </c>
      <c r="K23" s="238">
        <f>'[4]Лист1'!AH17+'[4]Лист1'!AK17+'[4]Лист1'!AL17+'[4]Лист1'!AM17+'[4]Лист1'!AN17+'[4]Лист1'!AO17+'[4]Лист1'!AP17+'[4]Лист1'!AQ17+'[4]Лист1'!AR17</f>
        <v>1179.8602711239998</v>
      </c>
      <c r="L23" s="239">
        <f>'[4]Лист1'!AS17+'[4]Лист1'!AT17+'[4]Лист1'!AU17+'[4]Лист1'!AZ17+'[4]Лист1'!BA17</f>
        <v>0</v>
      </c>
      <c r="M23" s="240">
        <f>'[4]Лист1'!BB17</f>
        <v>1800.0942594039993</v>
      </c>
      <c r="N23" s="241">
        <f>'[4]Лист1'!BD17</f>
        <v>868.7857405960008</v>
      </c>
      <c r="O23" s="241">
        <f>'[4]Лист1'!BE17</f>
        <v>-332.66999999999985</v>
      </c>
      <c r="P23" s="159"/>
      <c r="Q23" s="159"/>
    </row>
    <row r="24" spans="1:17" ht="13.5" hidden="1" thickBot="1">
      <c r="A24" s="172" t="s">
        <v>42</v>
      </c>
      <c r="B24" s="82">
        <f>'[4]Лист1'!B18</f>
        <v>347</v>
      </c>
      <c r="C24" s="27">
        <f t="shared" si="0"/>
        <v>3001.55</v>
      </c>
      <c r="D24" s="28">
        <f>'[4]Лист1'!D18</f>
        <v>577.73</v>
      </c>
      <c r="E24" s="238">
        <f>'[4]Лист1'!S18</f>
        <v>1563.7</v>
      </c>
      <c r="F24" s="240">
        <f>'[4]Лист1'!T18</f>
        <v>860.12</v>
      </c>
      <c r="G24" s="242">
        <f>'[4]Лист1'!AB18</f>
        <v>1939.5499999999997</v>
      </c>
      <c r="H24" s="240">
        <f>'[4]Лист1'!AC18</f>
        <v>3377.3999999999996</v>
      </c>
      <c r="I24" s="242">
        <f>'[4]Лист1'!AG18</f>
        <v>208.2</v>
      </c>
      <c r="J24" s="238">
        <f>'[4]Лист1'!AI18+'[4]Лист1'!AJ18</f>
        <v>346.81262</v>
      </c>
      <c r="K24" s="238">
        <f>'[4]Лист1'!AH18+'[4]Лист1'!AK18+'[4]Лист1'!AL18+'[4]Лист1'!AM18+'[4]Лист1'!AN18+'[4]Лист1'!AO18+'[4]Лист1'!AP18+'[4]Лист1'!AQ18+'[4]Лист1'!AR18</f>
        <v>1190.0018</v>
      </c>
      <c r="L24" s="239">
        <f>'[4]Лист1'!AS18+'[4]Лист1'!AT18+'[4]Лист1'!AU18+'[4]Лист1'!AZ18+'[4]Лист1'!BA18</f>
        <v>0</v>
      </c>
      <c r="M24" s="240">
        <f>'[4]Лист1'!BB18</f>
        <v>1829.2664200000002</v>
      </c>
      <c r="N24" s="241">
        <f>'[4]Лист1'!BD18</f>
        <v>1548.1335799999995</v>
      </c>
      <c r="O24" s="241">
        <f>'[4]Лист1'!BE18</f>
        <v>375.8499999999997</v>
      </c>
      <c r="P24" s="159"/>
      <c r="Q24" s="159"/>
    </row>
    <row r="25" spans="1:17" ht="13.5" hidden="1" thickBot="1">
      <c r="A25" s="243" t="s">
        <v>43</v>
      </c>
      <c r="B25" s="82">
        <f>'[4]Лист1'!B19</f>
        <v>347</v>
      </c>
      <c r="C25" s="33">
        <f t="shared" si="0"/>
        <v>3001.55</v>
      </c>
      <c r="D25" s="28">
        <f>'[4]Лист1'!D19</f>
        <v>577.73</v>
      </c>
      <c r="E25" s="238">
        <f>'[4]Лист1'!S19</f>
        <v>1563.7</v>
      </c>
      <c r="F25" s="240">
        <f>'[4]Лист1'!T19</f>
        <v>860.12</v>
      </c>
      <c r="G25" s="242">
        <f>'[4]Лист1'!AB19</f>
        <v>1230.9</v>
      </c>
      <c r="H25" s="240">
        <f>'[4]Лист1'!AC19</f>
        <v>2668.75</v>
      </c>
      <c r="I25" s="242">
        <f>'[4]Лист1'!AG19</f>
        <v>208.2</v>
      </c>
      <c r="J25" s="238">
        <f>'[4]Лист1'!AI19+'[4]Лист1'!AJ19</f>
        <v>348.041</v>
      </c>
      <c r="K25" s="238">
        <f>'[4]Лист1'!AH19+'[4]Лист1'!AK19+'[4]Лист1'!AL19+'[4]Лист1'!AM19+'[4]Лист1'!AN19+'[4]Лист1'!AO19+'[4]Лист1'!AP19+'[4]Лист1'!AQ19+'[4]Лист1'!AR19</f>
        <v>1191.3204</v>
      </c>
      <c r="L25" s="239">
        <f>'[4]Лист1'!AS19+'[4]Лист1'!AT19+'[4]Лист1'!AU19+'[4]Лист1'!AZ19+'[4]Лист1'!BA19</f>
        <v>0</v>
      </c>
      <c r="M25" s="240">
        <f>'[4]Лист1'!BB19</f>
        <v>1840.7342</v>
      </c>
      <c r="N25" s="241">
        <f>'[4]Лист1'!BD19</f>
        <v>828.0157999999999</v>
      </c>
      <c r="O25" s="241">
        <f>'[4]Лист1'!BE19</f>
        <v>-332.79999999999995</v>
      </c>
      <c r="P25" s="159"/>
      <c r="Q25" s="159"/>
    </row>
    <row r="26" spans="1:17" s="20" customFormat="1" ht="13.5" hidden="1" thickBot="1">
      <c r="A26" s="34" t="s">
        <v>5</v>
      </c>
      <c r="B26" s="35"/>
      <c r="C26" s="36">
        <f aca="true" t="shared" si="1" ref="C26:O26">SUM(C14:C25)</f>
        <v>33017.049999999996</v>
      </c>
      <c r="D26" s="67">
        <f t="shared" si="1"/>
        <v>5563.254999999999</v>
      </c>
      <c r="E26" s="36">
        <f t="shared" si="1"/>
        <v>16545.510000000002</v>
      </c>
      <c r="F26" s="68">
        <f t="shared" si="1"/>
        <v>9096.060000000001</v>
      </c>
      <c r="G26" s="67">
        <f t="shared" si="1"/>
        <v>16055.549999999997</v>
      </c>
      <c r="H26" s="68">
        <f t="shared" si="1"/>
        <v>30714.864999999998</v>
      </c>
      <c r="I26" s="67">
        <f t="shared" si="1"/>
        <v>2206.92</v>
      </c>
      <c r="J26" s="36">
        <f t="shared" si="1"/>
        <v>3635.6594948300003</v>
      </c>
      <c r="K26" s="36">
        <f t="shared" si="1"/>
        <v>12400.211564704</v>
      </c>
      <c r="L26" s="36">
        <f t="shared" si="1"/>
        <v>1569.4</v>
      </c>
      <c r="M26" s="68">
        <f t="shared" si="1"/>
        <v>20582.551699533997</v>
      </c>
      <c r="N26" s="75">
        <f t="shared" si="1"/>
        <v>10132.313300466</v>
      </c>
      <c r="O26" s="75">
        <f t="shared" si="1"/>
        <v>-489.96000000000004</v>
      </c>
      <c r="P26" s="71"/>
      <c r="Q26" s="71"/>
    </row>
    <row r="27" spans="1:17" ht="13.5" thickBot="1">
      <c r="A27" s="309" t="s">
        <v>94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244"/>
      <c r="P27" s="159"/>
      <c r="Q27" s="159"/>
    </row>
    <row r="28" spans="1:17" s="20" customFormat="1" ht="13.5" hidden="1" thickBot="1">
      <c r="A28" s="80" t="s">
        <v>54</v>
      </c>
      <c r="B28" s="38"/>
      <c r="C28" s="39">
        <f>'2012 полн'!C8</f>
        <v>146002.485</v>
      </c>
      <c r="D28" s="39">
        <f>'2012 полн'!D8</f>
        <v>138741.57356295</v>
      </c>
      <c r="E28" s="39">
        <f>'2012 полн'!U8</f>
        <v>103909.24000000002</v>
      </c>
      <c r="F28" s="39">
        <f>'2012 полн'!V8</f>
        <v>26168.589999999997</v>
      </c>
      <c r="G28" s="39">
        <f>'2012 полн'!AF8</f>
        <v>97850.18</v>
      </c>
      <c r="H28" s="39">
        <f>'2012 полн'!AG8</f>
        <v>262760.34356295003</v>
      </c>
      <c r="I28" s="39">
        <f>'2012 полн'!AK8</f>
        <v>9977.268</v>
      </c>
      <c r="J28" s="39">
        <f>'2012 полн'!AL8</f>
        <v>3343.1868676000004</v>
      </c>
      <c r="K28" s="39">
        <f>'2012 полн'!AM8+'2012 полн'!AO8+'2012 полн'!AP8+'2012 полн'!AS8+'2012 полн'!AX8+'2012 полн'!AY8</f>
        <v>114741.2634821756</v>
      </c>
      <c r="L28" s="39">
        <f>'2012 полн'!AU8+'2012 полн'!AW8</f>
        <v>184554.13139999998</v>
      </c>
      <c r="M28" s="39">
        <f>I28+J28+K28+L28</f>
        <v>312615.8497497756</v>
      </c>
      <c r="N28" s="39">
        <f>H28-M28</f>
        <v>-49855.50618682557</v>
      </c>
      <c r="O28" s="39">
        <f>'2012 полн'!BG8</f>
        <v>-6059.060000000005</v>
      </c>
      <c r="P28" s="72"/>
      <c r="Q28" s="71"/>
    </row>
    <row r="29" spans="1:17" ht="13.5" hidden="1" thickBot="1">
      <c r="A29" s="64" t="s">
        <v>117</v>
      </c>
      <c r="B29" s="2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77"/>
      <c r="N29" s="39"/>
      <c r="O29" s="39"/>
      <c r="P29" s="159"/>
      <c r="Q29" s="159"/>
    </row>
    <row r="30" spans="1:17" ht="12.75" hidden="1">
      <c r="A30" s="246" t="s">
        <v>45</v>
      </c>
      <c r="B30" s="247">
        <f>'2012 полн'!B10</f>
        <v>625</v>
      </c>
      <c r="C30" s="235">
        <f>'2012 полн'!C10</f>
        <v>5343.75</v>
      </c>
      <c r="D30" s="235">
        <f>'2012 полн'!D10</f>
        <v>52.224</v>
      </c>
      <c r="E30" s="235">
        <f>'2012 полн'!U10</f>
        <v>5483.95</v>
      </c>
      <c r="F30" s="235">
        <f>'2012 полн'!V10</f>
        <v>0</v>
      </c>
      <c r="G30" s="235">
        <f>'2012 полн'!AF10</f>
        <v>3804.6</v>
      </c>
      <c r="H30" s="235">
        <f>'2012 полн'!AG10</f>
        <v>3856.824</v>
      </c>
      <c r="I30" s="235">
        <f>'2012 полн'!AK10</f>
        <v>418.75</v>
      </c>
      <c r="J30" s="235">
        <f>'2012 полн'!AL10</f>
        <v>125</v>
      </c>
      <c r="K30" s="235">
        <f>'2012 полн'!AM10+'2012 полн'!AN10+'2012 полн'!AO10+'2012 полн'!AP10+'2012 полн'!AQ10+'2012 полн'!AR10+'2012 полн'!AS10+'2012 полн'!AX10</f>
        <v>4318.75</v>
      </c>
      <c r="L30" s="235">
        <f>'2012 полн'!AU10+'2012 полн'!AV10+'2012 полн'!AW10</f>
        <v>0</v>
      </c>
      <c r="M30" s="235">
        <f>I30+J30+K30+L30</f>
        <v>4862.5</v>
      </c>
      <c r="N30" s="235">
        <f>H30-M30</f>
        <v>-1005.6759999999999</v>
      </c>
      <c r="O30" s="235">
        <f>'2012 полн'!BG10</f>
        <v>-1679.35</v>
      </c>
      <c r="P30" s="159"/>
      <c r="Q30" s="159"/>
    </row>
    <row r="31" spans="1:17" ht="12.75" hidden="1">
      <c r="A31" s="172" t="s">
        <v>46</v>
      </c>
      <c r="B31" s="247">
        <f>'2012 полн'!B11</f>
        <v>625</v>
      </c>
      <c r="C31" s="235">
        <f>'2012 полн'!C11</f>
        <v>5343.75</v>
      </c>
      <c r="D31" s="235">
        <f>'2012 полн'!D11</f>
        <v>52.224</v>
      </c>
      <c r="E31" s="235">
        <f>'2012 полн'!U11</f>
        <v>5483.95</v>
      </c>
      <c r="F31" s="235">
        <f>'2012 полн'!V11</f>
        <v>0</v>
      </c>
      <c r="G31" s="235">
        <f>'2012 полн'!AF11</f>
        <v>7755.15</v>
      </c>
      <c r="H31" s="235">
        <f>'2012 полн'!AG11</f>
        <v>7807.374</v>
      </c>
      <c r="I31" s="235">
        <f>'2012 полн'!AK11</f>
        <v>418.75</v>
      </c>
      <c r="J31" s="235">
        <f>'2012 полн'!AL11</f>
        <v>125</v>
      </c>
      <c r="K31" s="235">
        <f>'2012 полн'!AM11+'2012 полн'!AN11+'2012 полн'!AO11+'2012 полн'!AP11+'2012 полн'!AQ11+'2012 полн'!AR11+'2012 полн'!AS11+'2012 полн'!AX11</f>
        <v>4398.75</v>
      </c>
      <c r="L31" s="235">
        <f>'2012 полн'!AU11+'2012 полн'!AV11+'2012 полн'!AW11</f>
        <v>0</v>
      </c>
      <c r="M31" s="235">
        <f aca="true" t="shared" si="2" ref="M31:M41">I31+J31+K31+L31</f>
        <v>4942.5</v>
      </c>
      <c r="N31" s="235">
        <f aca="true" t="shared" si="3" ref="N31:N41">H31-M31</f>
        <v>2864.874</v>
      </c>
      <c r="O31" s="235">
        <f>'2012 полн'!BG11</f>
        <v>2271.2</v>
      </c>
      <c r="P31" s="159"/>
      <c r="Q31" s="159"/>
    </row>
    <row r="32" spans="1:17" ht="12.75" hidden="1">
      <c r="A32" s="172" t="s">
        <v>47</v>
      </c>
      <c r="B32" s="247">
        <f>'2012 полн'!B12</f>
        <v>625</v>
      </c>
      <c r="C32" s="235">
        <f>'2012 полн'!C12</f>
        <v>5343.75</v>
      </c>
      <c r="D32" s="235">
        <f>'2012 полн'!D12</f>
        <v>52.224</v>
      </c>
      <c r="E32" s="235">
        <f>'2012 полн'!U12</f>
        <v>5483.95</v>
      </c>
      <c r="F32" s="235">
        <f>'2012 полн'!V12</f>
        <v>0</v>
      </c>
      <c r="G32" s="235">
        <f>'2012 полн'!AF12</f>
        <v>6708.27</v>
      </c>
      <c r="H32" s="235">
        <f>'2012 полн'!AG12</f>
        <v>6760.494000000001</v>
      </c>
      <c r="I32" s="235">
        <f>'2012 полн'!AK12</f>
        <v>418.75</v>
      </c>
      <c r="J32" s="235">
        <f>'2012 полн'!AL12</f>
        <v>125</v>
      </c>
      <c r="K32" s="235">
        <f>'2012 полн'!AM12+'2012 полн'!AN12+'2012 полн'!AO12+'2012 полн'!AP12+'2012 полн'!AQ12+'2012 полн'!AR12+'2012 полн'!AS12+'2012 полн'!AX12</f>
        <v>4318.75</v>
      </c>
      <c r="L32" s="235">
        <f>'2012 полн'!AU12+'2012 полн'!AV12+'2012 полн'!AW12</f>
        <v>0</v>
      </c>
      <c r="M32" s="235">
        <f t="shared" si="2"/>
        <v>4862.5</v>
      </c>
      <c r="N32" s="235">
        <f t="shared" si="3"/>
        <v>1897.9940000000006</v>
      </c>
      <c r="O32" s="235">
        <f>'2012 полн'!BG12</f>
        <v>1224.3200000000006</v>
      </c>
      <c r="P32" s="159"/>
      <c r="Q32" s="159"/>
    </row>
    <row r="33" spans="1:17" ht="12.75" hidden="1">
      <c r="A33" s="172" t="s">
        <v>48</v>
      </c>
      <c r="B33" s="247">
        <f>'2012 полн'!B13</f>
        <v>625</v>
      </c>
      <c r="C33" s="235">
        <f>'2012 полн'!C13</f>
        <v>5343.75</v>
      </c>
      <c r="D33" s="235">
        <f>'2012 полн'!D13</f>
        <v>52.224</v>
      </c>
      <c r="E33" s="235">
        <f>'2012 полн'!U13</f>
        <v>5515.3099999999995</v>
      </c>
      <c r="F33" s="235">
        <f>'2012 полн'!V13</f>
        <v>0</v>
      </c>
      <c r="G33" s="235">
        <f>'2012 полн'!AF13</f>
        <v>3473.0600000000004</v>
      </c>
      <c r="H33" s="235">
        <f>'2012 полн'!AG13</f>
        <v>3525.2840000000006</v>
      </c>
      <c r="I33" s="235">
        <f>'2012 полн'!AK13</f>
        <v>418.75</v>
      </c>
      <c r="J33" s="235">
        <f>'2012 полн'!AL13</f>
        <v>125</v>
      </c>
      <c r="K33" s="235">
        <f>'2012 полн'!AM13+'2012 полн'!AN13+'2012 полн'!AO13+'2012 полн'!AP13+'2012 полн'!AQ13+'2012 полн'!AR13+'2012 полн'!AS13+'2012 полн'!AX13</f>
        <v>3630</v>
      </c>
      <c r="L33" s="235">
        <f>'2012 полн'!AU13+'2012 полн'!AV13+'2012 полн'!AW13</f>
        <v>0</v>
      </c>
      <c r="M33" s="235">
        <f t="shared" si="2"/>
        <v>4173.75</v>
      </c>
      <c r="N33" s="235">
        <f t="shared" si="3"/>
        <v>-648.4659999999994</v>
      </c>
      <c r="O33" s="235">
        <f>'2012 полн'!BG13</f>
        <v>-2042.249999999999</v>
      </c>
      <c r="P33" s="159"/>
      <c r="Q33" s="159"/>
    </row>
    <row r="34" spans="1:17" ht="12.75" hidden="1">
      <c r="A34" s="172" t="s">
        <v>49</v>
      </c>
      <c r="B34" s="247">
        <f>'2012 полн'!B14</f>
        <v>625</v>
      </c>
      <c r="C34" s="235">
        <f>'2012 полн'!C14</f>
        <v>5343.75</v>
      </c>
      <c r="D34" s="235">
        <f>'2012 полн'!D14</f>
        <v>52.224</v>
      </c>
      <c r="E34" s="235">
        <f>'2012 полн'!U14</f>
        <v>5515.3099999999995</v>
      </c>
      <c r="F34" s="235">
        <f>'2012 полн'!V14</f>
        <v>0</v>
      </c>
      <c r="G34" s="235">
        <f>'2012 полн'!AF14</f>
        <v>8239.1</v>
      </c>
      <c r="H34" s="235">
        <f>'2012 полн'!AG14</f>
        <v>8291.324</v>
      </c>
      <c r="I34" s="235">
        <f>'2012 полн'!AK14</f>
        <v>418.75</v>
      </c>
      <c r="J34" s="235">
        <f>'2012 полн'!AL14</f>
        <v>125</v>
      </c>
      <c r="K34" s="235">
        <f>'2012 полн'!AM14+'2012 полн'!AN14+'2012 полн'!AO14+'2012 полн'!AP14+'2012 полн'!AQ14+'2012 полн'!AR14+'2012 полн'!AS14+'2012 полн'!AX14</f>
        <v>3610</v>
      </c>
      <c r="L34" s="235">
        <f>'2012 полн'!AU14+'2012 полн'!AV14+'2012 полн'!AW14</f>
        <v>0</v>
      </c>
      <c r="M34" s="235">
        <f t="shared" si="2"/>
        <v>4153.75</v>
      </c>
      <c r="N34" s="235">
        <f t="shared" si="3"/>
        <v>4137.5740000000005</v>
      </c>
      <c r="O34" s="235">
        <f>'2012 полн'!BG14</f>
        <v>2723.790000000001</v>
      </c>
      <c r="P34" s="159"/>
      <c r="Q34" s="159"/>
    </row>
    <row r="35" spans="1:17" ht="12.75" hidden="1">
      <c r="A35" s="172" t="s">
        <v>50</v>
      </c>
      <c r="B35" s="247">
        <f>'2012 полн'!B15</f>
        <v>625</v>
      </c>
      <c r="C35" s="235">
        <f>'2012 полн'!C15</f>
        <v>5343.75</v>
      </c>
      <c r="D35" s="235">
        <f>'2012 полн'!D15</f>
        <v>75052.224</v>
      </c>
      <c r="E35" s="235">
        <f>'2012 полн'!U15</f>
        <v>5546.67</v>
      </c>
      <c r="F35" s="235">
        <f>'2012 полн'!V15</f>
        <v>0</v>
      </c>
      <c r="G35" s="235">
        <f>'2012 полн'!AF15</f>
        <v>6303.08</v>
      </c>
      <c r="H35" s="235">
        <f>'2012 полн'!AG15</f>
        <v>81355.304</v>
      </c>
      <c r="I35" s="235">
        <f>'2012 полн'!AK15</f>
        <v>418.75</v>
      </c>
      <c r="J35" s="235">
        <f>'2012 полн'!AL15</f>
        <v>125</v>
      </c>
      <c r="K35" s="235">
        <f>'2012 полн'!AM15+'2012 полн'!AN15+'2012 полн'!AO15+'2012 полн'!AP15+'2012 полн'!AQ15+'2012 полн'!AR15+'2012 полн'!AS15+'2012 полн'!AX15</f>
        <v>3600</v>
      </c>
      <c r="L35" s="235">
        <f>'2012 полн'!AU15+'2012 полн'!AV15+'2012 полн'!AW15</f>
        <v>75000</v>
      </c>
      <c r="M35" s="235">
        <f t="shared" si="2"/>
        <v>79143.75</v>
      </c>
      <c r="N35" s="235">
        <f t="shared" si="3"/>
        <v>2211.5540000000037</v>
      </c>
      <c r="O35" s="235">
        <f>'2012 полн'!BG15</f>
        <v>756.4099999999999</v>
      </c>
      <c r="P35" s="159"/>
      <c r="Q35" s="159"/>
    </row>
    <row r="36" spans="1:15" ht="12.75" hidden="1">
      <c r="A36" s="172" t="s">
        <v>51</v>
      </c>
      <c r="B36" s="247">
        <f>'2012 полн'!B16</f>
        <v>625</v>
      </c>
      <c r="C36" s="235">
        <f>'2012 полн'!C16</f>
        <v>5343.75</v>
      </c>
      <c r="D36" s="235">
        <f>'2012 полн'!D16</f>
        <v>52.224</v>
      </c>
      <c r="E36" s="235">
        <f>'2012 полн'!U16</f>
        <v>5506.76</v>
      </c>
      <c r="F36" s="235">
        <f>'2012 полн'!V16</f>
        <v>0</v>
      </c>
      <c r="G36" s="235">
        <f>'2012 полн'!AF16</f>
        <v>4101.13</v>
      </c>
      <c r="H36" s="235">
        <f>'2012 полн'!AG16</f>
        <v>4153.354</v>
      </c>
      <c r="I36" s="235">
        <f>'2012 полн'!AK16</f>
        <v>418.75</v>
      </c>
      <c r="J36" s="235">
        <f>'2012 полн'!AL16</f>
        <v>125</v>
      </c>
      <c r="K36" s="235">
        <f>'2012 полн'!AM16+'2012 полн'!AN16+'2012 полн'!AO16+'2012 полн'!AP16+'2012 полн'!AQ16+'2012 полн'!AR16+'2012 полн'!AS16+'2012 полн'!AX16</f>
        <v>3693.29</v>
      </c>
      <c r="L36" s="235">
        <f>'2012 полн'!AU16+'2012 полн'!AV16+'2012 полн'!AW16</f>
        <v>0</v>
      </c>
      <c r="M36" s="235">
        <f t="shared" si="2"/>
        <v>4237.04</v>
      </c>
      <c r="N36" s="235">
        <f t="shared" si="3"/>
        <v>-83.6859999999997</v>
      </c>
      <c r="O36" s="235">
        <f>'2012 полн'!BG16</f>
        <v>-1405.63</v>
      </c>
    </row>
    <row r="37" spans="1:15" ht="12.75" hidden="1">
      <c r="A37" s="172" t="s">
        <v>52</v>
      </c>
      <c r="B37" s="247">
        <f>'2012 полн'!B17</f>
        <v>625</v>
      </c>
      <c r="C37" s="235">
        <f>'2012 полн'!C17</f>
        <v>5343.75</v>
      </c>
      <c r="D37" s="235">
        <f>'2012 полн'!D17</f>
        <v>52.224</v>
      </c>
      <c r="E37" s="235">
        <f>'2012 полн'!U17</f>
        <v>5506.76</v>
      </c>
      <c r="F37" s="235">
        <f>'2012 полн'!V17</f>
        <v>0</v>
      </c>
      <c r="G37" s="235">
        <f>'2012 полн'!AF17</f>
        <v>5151.150000000001</v>
      </c>
      <c r="H37" s="235">
        <f>'2012 полн'!AG17</f>
        <v>5203.374000000001</v>
      </c>
      <c r="I37" s="235">
        <f>'2012 полн'!AK17</f>
        <v>418.75</v>
      </c>
      <c r="J37" s="235">
        <f>'2012 полн'!AL17</f>
        <v>125</v>
      </c>
      <c r="K37" s="235">
        <f>'2012 полн'!AM17+'2012 полн'!AN17+'2012 полн'!AO17+'2012 полн'!AP17+'2012 полн'!AQ17+'2012 полн'!AR17+'2012 полн'!AS17+'2012 полн'!AX17</f>
        <v>3600</v>
      </c>
      <c r="L37" s="235">
        <f>'2012 полн'!AU17+'2012 полн'!AV17+'2012 полн'!AW17</f>
        <v>0</v>
      </c>
      <c r="M37" s="235">
        <f t="shared" si="2"/>
        <v>4143.75</v>
      </c>
      <c r="N37" s="235">
        <f t="shared" si="3"/>
        <v>1059.6240000000007</v>
      </c>
      <c r="O37" s="235">
        <f>'2012 полн'!BG17</f>
        <v>-355.6099999999997</v>
      </c>
    </row>
    <row r="38" spans="1:15" ht="12.75" hidden="1">
      <c r="A38" s="172" t="s">
        <v>53</v>
      </c>
      <c r="B38" s="247">
        <f>'2012 полн'!B18</f>
        <v>625</v>
      </c>
      <c r="C38" s="235">
        <f>'2012 полн'!C18</f>
        <v>5343.75</v>
      </c>
      <c r="D38" s="235">
        <f>'2012 полн'!D18</f>
        <v>0</v>
      </c>
      <c r="E38" s="235">
        <f>'2012 полн'!U18</f>
        <v>5506.79</v>
      </c>
      <c r="F38" s="235">
        <f>'2012 полн'!V18</f>
        <v>0</v>
      </c>
      <c r="G38" s="235">
        <f>'2012 полн'!AF18</f>
        <v>5099.95</v>
      </c>
      <c r="H38" s="235">
        <f>'2012 полн'!AG18</f>
        <v>5099.95</v>
      </c>
      <c r="I38" s="235">
        <f>'2012 полн'!AK18</f>
        <v>418.75</v>
      </c>
      <c r="J38" s="235">
        <f>'2012 полн'!AL18</f>
        <v>125</v>
      </c>
      <c r="K38" s="235">
        <f>'2012 полн'!AM18+'2012 полн'!AN18+'2012 полн'!AO18+'2012 полн'!AP18+'2012 полн'!AQ18+'2012 полн'!AR18+'2012 полн'!AS18+'2012 полн'!AX18</f>
        <v>3600</v>
      </c>
      <c r="L38" s="235">
        <f>'2012 полн'!AU18+'2012 полн'!AV18+'2012 полн'!AW18</f>
        <v>0</v>
      </c>
      <c r="M38" s="235">
        <f t="shared" si="2"/>
        <v>4143.75</v>
      </c>
      <c r="N38" s="235">
        <f t="shared" si="3"/>
        <v>956.1999999999998</v>
      </c>
      <c r="O38" s="235">
        <f>'2012 полн'!BG18</f>
        <v>-406.84000000000015</v>
      </c>
    </row>
    <row r="39" spans="1:15" ht="12.75" hidden="1">
      <c r="A39" s="172" t="s">
        <v>41</v>
      </c>
      <c r="B39" s="247">
        <f>'2012 полн'!B19</f>
        <v>625</v>
      </c>
      <c r="C39" s="235">
        <f>'2012 полн'!C19</f>
        <v>5343.75</v>
      </c>
      <c r="D39" s="235">
        <f>'2012 полн'!D19</f>
        <v>0</v>
      </c>
      <c r="E39" s="235">
        <f>'2012 полн'!U19</f>
        <v>5519.9</v>
      </c>
      <c r="F39" s="235">
        <f>'2012 полн'!V19</f>
        <v>0</v>
      </c>
      <c r="G39" s="235">
        <f>'2012 полн'!AF19</f>
        <v>4097.5199999999995</v>
      </c>
      <c r="H39" s="235">
        <f>'2012 полн'!AG19</f>
        <v>4097.5199999999995</v>
      </c>
      <c r="I39" s="235">
        <f>'2012 полн'!AK19</f>
        <v>418.75</v>
      </c>
      <c r="J39" s="235">
        <f>'2012 полн'!AL19</f>
        <v>125</v>
      </c>
      <c r="K39" s="235">
        <f>'2012 полн'!AM19+'2012 полн'!AN19+'2012 полн'!AO19+'2012 полн'!AP19+'2012 полн'!AQ19+'2012 полн'!AR19+'2012 полн'!AS19+'2012 полн'!AX19</f>
        <v>4318.75</v>
      </c>
      <c r="L39" s="235">
        <f>'2012 полн'!AU19+'2012 полн'!AV19+'2012 полн'!AW19</f>
        <v>0</v>
      </c>
      <c r="M39" s="235">
        <f t="shared" si="2"/>
        <v>4862.5</v>
      </c>
      <c r="N39" s="235">
        <f t="shared" si="3"/>
        <v>-764.9800000000005</v>
      </c>
      <c r="O39" s="235">
        <f>'2012 полн'!BG19</f>
        <v>-1422.38</v>
      </c>
    </row>
    <row r="40" spans="1:15" ht="12.75" hidden="1">
      <c r="A40" s="172" t="s">
        <v>42</v>
      </c>
      <c r="B40" s="247">
        <f>'2012 полн'!B20</f>
        <v>625</v>
      </c>
      <c r="C40" s="235">
        <f>'2012 полн'!C20</f>
        <v>5343.75</v>
      </c>
      <c r="D40" s="235">
        <f>'2012 полн'!D20</f>
        <v>0</v>
      </c>
      <c r="E40" s="235">
        <f>'2012 полн'!U20</f>
        <v>5533.75</v>
      </c>
      <c r="F40" s="235">
        <f>'2012 полн'!V20</f>
        <v>0</v>
      </c>
      <c r="G40" s="235">
        <f>'2012 полн'!AF20</f>
        <v>4018.02</v>
      </c>
      <c r="H40" s="235">
        <f>'2012 полн'!AG20</f>
        <v>4018.02</v>
      </c>
      <c r="I40" s="235">
        <f>'2012 полн'!AK20</f>
        <v>418.75</v>
      </c>
      <c r="J40" s="235">
        <f>'2012 полн'!AL20</f>
        <v>125</v>
      </c>
      <c r="K40" s="235">
        <f>'2012 полн'!AM20+'2012 полн'!AN20+'2012 полн'!AO20+'2012 полн'!AP20+'2012 полн'!AQ20+'2012 полн'!AR20+'2012 полн'!AS20+'2012 полн'!AX20</f>
        <v>4318.75</v>
      </c>
      <c r="L40" s="235">
        <f>'2012 полн'!AU20+'2012 полн'!AV20+'2012 полн'!AW20</f>
        <v>0</v>
      </c>
      <c r="M40" s="235">
        <f t="shared" si="2"/>
        <v>4862.5</v>
      </c>
      <c r="N40" s="235">
        <f t="shared" si="3"/>
        <v>-844.48</v>
      </c>
      <c r="O40" s="235">
        <f>'2012 полн'!BG20</f>
        <v>-1515.73</v>
      </c>
    </row>
    <row r="41" spans="1:15" ht="13.5" hidden="1" thickBot="1">
      <c r="A41" s="172" t="s">
        <v>43</v>
      </c>
      <c r="B41" s="247">
        <f>'2012 полн'!B21</f>
        <v>625</v>
      </c>
      <c r="C41" s="235">
        <f>'2012 полн'!C21</f>
        <v>5343.75</v>
      </c>
      <c r="D41" s="235">
        <f>'2012 полн'!D21</f>
        <v>0</v>
      </c>
      <c r="E41" s="235">
        <f>'2012 полн'!U21</f>
        <v>5537.04</v>
      </c>
      <c r="F41" s="235">
        <f>'2012 полн'!V21</f>
        <v>0</v>
      </c>
      <c r="G41" s="235">
        <f>'2012 полн'!AF21</f>
        <v>8893.52</v>
      </c>
      <c r="H41" s="235">
        <f>'2012 полн'!AG21</f>
        <v>8893.52</v>
      </c>
      <c r="I41" s="235">
        <f>'2012 полн'!AK21</f>
        <v>418.75</v>
      </c>
      <c r="J41" s="235">
        <f>'2012 полн'!AL21</f>
        <v>125</v>
      </c>
      <c r="K41" s="235">
        <f>'2012 полн'!AM21+'2012 полн'!AN21+'2012 полн'!AO21+'2012 полн'!AP21+'2012 полн'!AQ21+'2012 полн'!AR21+'2012 полн'!AS21+'2012 полн'!AX21</f>
        <v>4318.75</v>
      </c>
      <c r="L41" s="235">
        <f>'2012 полн'!AU21+'2012 полн'!AV21+'2012 полн'!AW21</f>
        <v>0</v>
      </c>
      <c r="M41" s="235">
        <f t="shared" si="2"/>
        <v>4862.5</v>
      </c>
      <c r="N41" s="235">
        <f t="shared" si="3"/>
        <v>4031.0200000000004</v>
      </c>
      <c r="O41" s="235">
        <f>'2012 полн'!BG21</f>
        <v>3356.4800000000005</v>
      </c>
    </row>
    <row r="42" spans="1:17" s="20" customFormat="1" ht="13.5" hidden="1" thickBot="1">
      <c r="A42" s="34" t="s">
        <v>5</v>
      </c>
      <c r="B42" s="35"/>
      <c r="C42" s="248">
        <f aca="true" t="shared" si="4" ref="C42:N42">SUM(C30:C41)</f>
        <v>64125</v>
      </c>
      <c r="D42" s="248">
        <f t="shared" si="4"/>
        <v>75417.792</v>
      </c>
      <c r="E42" s="248">
        <f t="shared" si="4"/>
        <v>66140.14</v>
      </c>
      <c r="F42" s="248">
        <f t="shared" si="4"/>
        <v>0</v>
      </c>
      <c r="G42" s="248">
        <f t="shared" si="4"/>
        <v>67644.54999999999</v>
      </c>
      <c r="H42" s="248">
        <f t="shared" si="4"/>
        <v>143062.342</v>
      </c>
      <c r="I42" s="248">
        <f t="shared" si="4"/>
        <v>5025</v>
      </c>
      <c r="J42" s="248">
        <f t="shared" si="4"/>
        <v>1500</v>
      </c>
      <c r="K42" s="248">
        <f t="shared" si="4"/>
        <v>47725.79</v>
      </c>
      <c r="L42" s="248">
        <f t="shared" si="4"/>
        <v>75000</v>
      </c>
      <c r="M42" s="248">
        <f t="shared" si="4"/>
        <v>129250.79</v>
      </c>
      <c r="N42" s="248">
        <f t="shared" si="4"/>
        <v>13811.552000000007</v>
      </c>
      <c r="O42" s="248">
        <f>SUM(O30:O41)</f>
        <v>1504.4100000000026</v>
      </c>
      <c r="P42" s="71"/>
      <c r="Q42" s="71"/>
    </row>
    <row r="43" spans="1:17" ht="13.5" hidden="1" thickBot="1">
      <c r="A43" s="309" t="s">
        <v>70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45"/>
      <c r="N43" s="345"/>
      <c r="O43" s="249"/>
      <c r="P43" s="159"/>
      <c r="Q43" s="159"/>
    </row>
    <row r="44" spans="1:17" s="20" customFormat="1" ht="13.5" thickBot="1">
      <c r="A44" s="80" t="s">
        <v>54</v>
      </c>
      <c r="B44" s="38"/>
      <c r="C44" s="39">
        <f aca="true" t="shared" si="5" ref="C44:N44">C42+C28</f>
        <v>210127.485</v>
      </c>
      <c r="D44" s="39">
        <f t="shared" si="5"/>
        <v>214159.36556295003</v>
      </c>
      <c r="E44" s="39">
        <f t="shared" si="5"/>
        <v>170049.38</v>
      </c>
      <c r="F44" s="39">
        <f t="shared" si="5"/>
        <v>26168.589999999997</v>
      </c>
      <c r="G44" s="39">
        <f t="shared" si="5"/>
        <v>165494.72999999998</v>
      </c>
      <c r="H44" s="39">
        <f t="shared" si="5"/>
        <v>405822.68556295004</v>
      </c>
      <c r="I44" s="39">
        <f t="shared" si="5"/>
        <v>15002.268</v>
      </c>
      <c r="J44" s="39">
        <f t="shared" si="5"/>
        <v>4843.1868676</v>
      </c>
      <c r="K44" s="39">
        <f t="shared" si="5"/>
        <v>162467.0534821756</v>
      </c>
      <c r="L44" s="39">
        <f t="shared" si="5"/>
        <v>259554.13139999998</v>
      </c>
      <c r="M44" s="39">
        <f t="shared" si="5"/>
        <v>441866.6397497756</v>
      </c>
      <c r="N44" s="39">
        <f t="shared" si="5"/>
        <v>-36043.95418682556</v>
      </c>
      <c r="O44" s="39">
        <f>O42+O28</f>
        <v>-4554.650000000002</v>
      </c>
      <c r="P44" s="72"/>
      <c r="Q44" s="71"/>
    </row>
    <row r="45" spans="1:17" ht="13.5" thickBot="1">
      <c r="A45" s="64" t="s">
        <v>122</v>
      </c>
      <c r="B45" s="24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77"/>
      <c r="N45" s="39"/>
      <c r="O45" s="39"/>
      <c r="P45" s="159"/>
      <c r="Q45" s="159"/>
    </row>
    <row r="46" spans="1:17" ht="12.75">
      <c r="A46" s="246" t="s">
        <v>45</v>
      </c>
      <c r="B46" s="247">
        <f>'2012 полн'!B26</f>
        <v>625</v>
      </c>
      <c r="C46" s="235">
        <f>'2012 полн'!C26</f>
        <v>5343.75</v>
      </c>
      <c r="D46" s="235">
        <f>'2012 полн'!D26</f>
        <v>0</v>
      </c>
      <c r="E46" s="235">
        <f>'2012 полн'!U26</f>
        <v>5538.41</v>
      </c>
      <c r="F46" s="235">
        <f>'2012 полн'!V26</f>
        <v>0</v>
      </c>
      <c r="G46" s="235">
        <f>'2012 полн'!AF26</f>
        <v>3259.4300000000003</v>
      </c>
      <c r="H46" s="235">
        <f>'2012 полн'!AG26</f>
        <v>3259.4300000000003</v>
      </c>
      <c r="I46" s="235">
        <f>'2012 полн'!AK26</f>
        <v>418.75</v>
      </c>
      <c r="J46" s="235">
        <f>'2012 полн'!AL26</f>
        <v>125</v>
      </c>
      <c r="K46" s="235">
        <f>'2012 полн'!AM26+'2012 полн'!AN26+'2012 полн'!AO26+'2012 полн'!AP26+'2012 полн'!AQ26+'2012 полн'!AR26+'2012 полн'!AS26</f>
        <v>4318.75</v>
      </c>
      <c r="L46" s="235">
        <f>'2012 полн'!AU26+'2012 полн'!AV26+'2012 полн'!AW26+'2012 полн'!AX26</f>
        <v>0</v>
      </c>
      <c r="M46" s="235">
        <f>I46+J46+K46+L46</f>
        <v>4862.5</v>
      </c>
      <c r="N46" s="235">
        <f>H46-M46</f>
        <v>-1603.0699999999997</v>
      </c>
      <c r="O46" s="235">
        <f>'2012 полн'!BG26</f>
        <v>-2278.9799999999996</v>
      </c>
      <c r="P46" s="159"/>
      <c r="Q46" s="159"/>
    </row>
    <row r="47" spans="1:17" ht="12.75">
      <c r="A47" s="172" t="s">
        <v>46</v>
      </c>
      <c r="B47" s="247">
        <f>'2012 полн'!B27</f>
        <v>625</v>
      </c>
      <c r="C47" s="235">
        <f>'2012 полн'!C27</f>
        <v>5343.75</v>
      </c>
      <c r="D47" s="235">
        <f>'2012 полн'!D27</f>
        <v>0</v>
      </c>
      <c r="E47" s="235">
        <f>'2012 полн'!U27</f>
        <v>5503.24</v>
      </c>
      <c r="F47" s="235">
        <f>'2012 полн'!V27</f>
        <v>0</v>
      </c>
      <c r="G47" s="235">
        <f>'2012 полн'!AF27</f>
        <v>5611.36</v>
      </c>
      <c r="H47" s="235">
        <f>'2012 полн'!AG27</f>
        <v>5611.36</v>
      </c>
      <c r="I47" s="235">
        <f>'2012 полн'!AK27</f>
        <v>418.75</v>
      </c>
      <c r="J47" s="235">
        <f>'2012 полн'!AL27</f>
        <v>125</v>
      </c>
      <c r="K47" s="235">
        <f>'2012 полн'!AM27+'2012 полн'!AN27+'2012 полн'!AO27+'2012 полн'!AP27+'2012 полн'!AQ27+'2012 полн'!AR27+'2012 полн'!AS27</f>
        <v>4318.75</v>
      </c>
      <c r="L47" s="235">
        <f>'2012 полн'!AU27+'2012 полн'!AV27+'2012 полн'!AW27+'2012 полн'!AX27</f>
        <v>0</v>
      </c>
      <c r="M47" s="235">
        <f aca="true" t="shared" si="6" ref="M47:M57">I47+J47+K47+L47</f>
        <v>4862.5</v>
      </c>
      <c r="N47" s="235">
        <f aca="true" t="shared" si="7" ref="N47:N57">H47-M47</f>
        <v>748.8599999999997</v>
      </c>
      <c r="O47" s="235">
        <f>'2012 полн'!BG27</f>
        <v>108.11999999999989</v>
      </c>
      <c r="P47" s="159"/>
      <c r="Q47" s="159"/>
    </row>
    <row r="48" spans="1:17" ht="12.75">
      <c r="A48" s="172" t="s">
        <v>47</v>
      </c>
      <c r="B48" s="247">
        <f>'2012 полн'!B28</f>
        <v>625</v>
      </c>
      <c r="C48" s="235">
        <f>'2012 полн'!C28</f>
        <v>5343.75</v>
      </c>
      <c r="D48" s="235">
        <f>'2012 полн'!D28</f>
        <v>0</v>
      </c>
      <c r="E48" s="235">
        <f>'2012 полн'!U28</f>
        <v>5487.4</v>
      </c>
      <c r="F48" s="235">
        <f>'2012 полн'!V28</f>
        <v>0</v>
      </c>
      <c r="G48" s="235">
        <f>'2012 полн'!AF28</f>
        <v>6029.29</v>
      </c>
      <c r="H48" s="235">
        <f>'2012 полн'!AG28</f>
        <v>6029.29</v>
      </c>
      <c r="I48" s="235">
        <f>'2012 полн'!AK28</f>
        <v>418.75</v>
      </c>
      <c r="J48" s="235">
        <f>'2012 полн'!AL28</f>
        <v>125</v>
      </c>
      <c r="K48" s="235">
        <f>'2012 полн'!AM28+'2012 полн'!AN28+'2012 полн'!AO28+'2012 полн'!AP28+'2012 полн'!AQ28+'2012 полн'!AR28+'2012 полн'!AS28</f>
        <v>4318.75</v>
      </c>
      <c r="L48" s="235">
        <f>'2012 полн'!AU28+'2012 полн'!AV28+'2012 полн'!AW28+'2012 полн'!AX28</f>
        <v>473</v>
      </c>
      <c r="M48" s="235">
        <f t="shared" si="6"/>
        <v>5335.5</v>
      </c>
      <c r="N48" s="235">
        <f t="shared" si="7"/>
        <v>693.79</v>
      </c>
      <c r="O48" s="235">
        <f>'2012 полн'!BG28</f>
        <v>541.8900000000003</v>
      </c>
      <c r="P48" s="159"/>
      <c r="Q48" s="159"/>
    </row>
    <row r="49" spans="1:17" ht="12.75">
      <c r="A49" s="172" t="s">
        <v>48</v>
      </c>
      <c r="B49" s="247">
        <f>'2012 полн'!B29</f>
        <v>625</v>
      </c>
      <c r="C49" s="235">
        <f>'2012 полн'!C29</f>
        <v>5343.75</v>
      </c>
      <c r="D49" s="235">
        <f>'2012 полн'!D29</f>
        <v>0</v>
      </c>
      <c r="E49" s="235">
        <f>'2012 полн'!U29</f>
        <v>5467.540000000001</v>
      </c>
      <c r="F49" s="235">
        <f>'2012 полн'!V29</f>
        <v>0</v>
      </c>
      <c r="G49" s="235">
        <f>'2012 полн'!AF29</f>
        <v>5152.15</v>
      </c>
      <c r="H49" s="235">
        <f>'2012 полн'!AG29</f>
        <v>5152.15</v>
      </c>
      <c r="I49" s="235">
        <f>'2012 полн'!AK29</f>
        <v>418.75</v>
      </c>
      <c r="J49" s="235">
        <f>'2012 полн'!AL29</f>
        <v>125</v>
      </c>
      <c r="K49" s="235">
        <f>'2012 полн'!AM29+'2012 полн'!AN29+'2012 полн'!AO29+'2012 полн'!AP29+'2012 полн'!AQ29+'2012 полн'!AR29+'2012 полн'!AS29</f>
        <v>3600</v>
      </c>
      <c r="L49" s="235">
        <f>'2012 полн'!AU29+'2012 полн'!AV29+'2012 полн'!AW29+'2012 полн'!AX29</f>
        <v>0</v>
      </c>
      <c r="M49" s="235">
        <f t="shared" si="6"/>
        <v>4143.75</v>
      </c>
      <c r="N49" s="235">
        <f t="shared" si="7"/>
        <v>1008.3999999999996</v>
      </c>
      <c r="O49" s="235">
        <f>'2012 полн'!BG29</f>
        <v>-315.39000000000124</v>
      </c>
      <c r="P49" s="159"/>
      <c r="Q49" s="159"/>
    </row>
    <row r="50" spans="1:17" ht="12.75">
      <c r="A50" s="172" t="s">
        <v>49</v>
      </c>
      <c r="B50" s="247">
        <f>'2012 полн'!B30</f>
        <v>625</v>
      </c>
      <c r="C50" s="235">
        <f>'2012 полн'!C30</f>
        <v>5343.75</v>
      </c>
      <c r="D50" s="235">
        <f>'2012 полн'!D30</f>
        <v>0</v>
      </c>
      <c r="E50" s="235">
        <f>'2012 полн'!U30</f>
        <v>5456.049999999999</v>
      </c>
      <c r="F50" s="235">
        <f>'2012 полн'!V30</f>
        <v>0</v>
      </c>
      <c r="G50" s="235">
        <f>'2012 полн'!AF30</f>
        <v>4958.66</v>
      </c>
      <c r="H50" s="235">
        <f>'2012 полн'!AG30</f>
        <v>4958.66</v>
      </c>
      <c r="I50" s="235">
        <f>'2012 полн'!AK30</f>
        <v>418.75</v>
      </c>
      <c r="J50" s="235">
        <f>'2012 полн'!AL30</f>
        <v>125</v>
      </c>
      <c r="K50" s="235">
        <f>'2012 полн'!AM30+'2012 полн'!AN30+'2012 полн'!AO30+'2012 полн'!AP30+'2012 полн'!AQ30+'2012 полн'!AR30+'2012 полн'!AS30</f>
        <v>3600</v>
      </c>
      <c r="L50" s="235">
        <f>'2012 полн'!AU30+'2012 полн'!AV30+'2012 полн'!AW30+'2012 полн'!AX30</f>
        <v>0</v>
      </c>
      <c r="M50" s="235">
        <f t="shared" si="6"/>
        <v>4143.75</v>
      </c>
      <c r="N50" s="235">
        <f t="shared" si="7"/>
        <v>814.9099999999999</v>
      </c>
      <c r="O50" s="235">
        <f>'2012 полн'!BG30</f>
        <v>-497.3899999999994</v>
      </c>
      <c r="P50" s="159"/>
      <c r="Q50" s="159"/>
    </row>
    <row r="51" spans="1:17" ht="12.75">
      <c r="A51" s="172" t="s">
        <v>50</v>
      </c>
      <c r="B51" s="247">
        <f>'2012 полн'!B31</f>
        <v>625</v>
      </c>
      <c r="C51" s="235">
        <f>'2012 полн'!C31</f>
        <v>5343.75</v>
      </c>
      <c r="D51" s="235">
        <f>'2012 полн'!D31</f>
        <v>0</v>
      </c>
      <c r="E51" s="235">
        <f>'2012 полн'!U31</f>
        <v>5458.44</v>
      </c>
      <c r="F51" s="235">
        <f>'2012 полн'!V31</f>
        <v>0</v>
      </c>
      <c r="G51" s="235">
        <f>'2012 полн'!AF31</f>
        <v>4916.59</v>
      </c>
      <c r="H51" s="235">
        <f>'2012 полн'!AG31</f>
        <v>4916.59</v>
      </c>
      <c r="I51" s="235">
        <f>'2012 полн'!AK31</f>
        <v>418.75</v>
      </c>
      <c r="J51" s="235">
        <f>'2012 полн'!AL31</f>
        <v>125</v>
      </c>
      <c r="K51" s="235">
        <f>'2012 полн'!AM31+'2012 полн'!AN31+'2012 полн'!AO31+'2012 полн'!AP31+'2012 полн'!AQ31+'2012 полн'!AR31+'2012 полн'!AS31</f>
        <v>3600</v>
      </c>
      <c r="L51" s="235">
        <f>'2012 полн'!AU31+'2012 полн'!AV31+'2012 полн'!AW31+'2012 полн'!AX31</f>
        <v>40</v>
      </c>
      <c r="M51" s="235">
        <f t="shared" si="6"/>
        <v>4183.75</v>
      </c>
      <c r="N51" s="235">
        <f t="shared" si="7"/>
        <v>732.8400000000001</v>
      </c>
      <c r="O51" s="235">
        <f>'2012 полн'!BG31</f>
        <v>-541.8499999999995</v>
      </c>
      <c r="P51" s="159"/>
      <c r="Q51" s="159"/>
    </row>
    <row r="52" spans="1:15" ht="12.75">
      <c r="A52" s="172" t="s">
        <v>51</v>
      </c>
      <c r="B52" s="247">
        <f>'2012 полн'!B32</f>
        <v>625</v>
      </c>
      <c r="C52" s="235">
        <f>'2012 полн'!C32</f>
        <v>5943.75</v>
      </c>
      <c r="D52" s="235">
        <f>'2012 полн'!D32</f>
        <v>0</v>
      </c>
      <c r="E52" s="235">
        <f>'2012 полн'!U32</f>
        <v>6115.79</v>
      </c>
      <c r="F52" s="235">
        <f>'2012 полн'!V32</f>
        <v>0</v>
      </c>
      <c r="G52" s="235">
        <f>'2012 полн'!AF32</f>
        <v>4266.87</v>
      </c>
      <c r="H52" s="235">
        <f>'2012 полн'!AG32</f>
        <v>4266.87</v>
      </c>
      <c r="I52" s="235">
        <f>'2012 полн'!AK32</f>
        <v>468.75</v>
      </c>
      <c r="J52" s="235">
        <f>'2012 полн'!AL32</f>
        <v>125</v>
      </c>
      <c r="K52" s="235">
        <f>'2012 полн'!AM32+'2012 полн'!AN32+'2012 полн'!AO32+'2012 полн'!AP32+'2012 полн'!AQ32+'2012 полн'!AR32+'2012 полн'!AS32</f>
        <v>3600</v>
      </c>
      <c r="L52" s="235">
        <f>'2012 полн'!AU32+'2012 полн'!AV32+'2012 полн'!AW32+'2012 полн'!AX32</f>
        <v>3858</v>
      </c>
      <c r="M52" s="235">
        <f t="shared" si="6"/>
        <v>8051.75</v>
      </c>
      <c r="N52" s="235">
        <f t="shared" si="7"/>
        <v>-3784.88</v>
      </c>
      <c r="O52" s="235">
        <f>'2012 полн'!BG32</f>
        <v>-1848.92</v>
      </c>
    </row>
    <row r="53" spans="1:15" ht="12.75">
      <c r="A53" s="172" t="s">
        <v>52</v>
      </c>
      <c r="B53" s="247">
        <f>'2012 полн'!B33</f>
        <v>625</v>
      </c>
      <c r="C53" s="235">
        <f>'2012 полн'!C33</f>
        <v>5943.75</v>
      </c>
      <c r="D53" s="235">
        <f>'2012 полн'!D33</f>
        <v>0</v>
      </c>
      <c r="E53" s="235">
        <f>'2012 полн'!U33</f>
        <v>6115.79</v>
      </c>
      <c r="F53" s="235">
        <f>'2012 полн'!V33</f>
        <v>0</v>
      </c>
      <c r="G53" s="235">
        <f>'2012 полн'!AF33</f>
        <v>6489.12</v>
      </c>
      <c r="H53" s="235">
        <f>'2012 полн'!AG33</f>
        <v>6489.12</v>
      </c>
      <c r="I53" s="235">
        <f>'2012 полн'!AK33</f>
        <v>468.75</v>
      </c>
      <c r="J53" s="235">
        <f>'2012 полн'!AL33</f>
        <v>125</v>
      </c>
      <c r="K53" s="235">
        <f>'2012 полн'!AM33+'2012 полн'!AN33+'2012 полн'!AO33+'2012 полн'!AP33+'2012 полн'!AQ33+'2012 полн'!AR33+'2012 полн'!AS33</f>
        <v>3600</v>
      </c>
      <c r="L53" s="235">
        <f>'2012 полн'!AU33+'2012 полн'!AV33+'2012 полн'!AW33+'2012 полн'!AX33</f>
        <v>60</v>
      </c>
      <c r="M53" s="235">
        <f t="shared" si="6"/>
        <v>4253.75</v>
      </c>
      <c r="N53" s="235">
        <f t="shared" si="7"/>
        <v>2235.37</v>
      </c>
      <c r="O53" s="235">
        <f>'2012 полн'!BG33</f>
        <v>373.3299999999999</v>
      </c>
    </row>
    <row r="54" spans="1:15" ht="12.75">
      <c r="A54" s="172" t="s">
        <v>53</v>
      </c>
      <c r="B54" s="247">
        <f>'2012 полн'!B34</f>
        <v>625</v>
      </c>
      <c r="C54" s="235">
        <f>'2012 полн'!C34</f>
        <v>5943.75</v>
      </c>
      <c r="D54" s="235">
        <f>'2012 полн'!D34</f>
        <v>0</v>
      </c>
      <c r="E54" s="235">
        <f>'2012 полн'!U34</f>
        <v>6115.79</v>
      </c>
      <c r="F54" s="235">
        <f>'2012 полн'!V34</f>
        <v>0</v>
      </c>
      <c r="G54" s="235">
        <f>'2012 полн'!AF34</f>
        <v>3635.5099999999998</v>
      </c>
      <c r="H54" s="235">
        <f>'2012 полн'!AG34</f>
        <v>3635.5099999999998</v>
      </c>
      <c r="I54" s="235">
        <f>'2012 полн'!AK34</f>
        <v>468.75</v>
      </c>
      <c r="J54" s="235">
        <f>'2012 полн'!AL34</f>
        <v>125</v>
      </c>
      <c r="K54" s="235">
        <f>'2012 полн'!AM34+'2012 полн'!AN34+'2012 полн'!AO34+'2012 полн'!AP34+'2012 полн'!AQ34+'2012 полн'!AR34+'2012 полн'!AS34</f>
        <v>3600</v>
      </c>
      <c r="L54" s="235">
        <f>'2012 полн'!AU34+'2012 полн'!AV34+'2012 полн'!AW34+'2012 полн'!AX34</f>
        <v>498</v>
      </c>
      <c r="M54" s="235">
        <f t="shared" si="6"/>
        <v>4691.75</v>
      </c>
      <c r="N54" s="235">
        <f t="shared" si="7"/>
        <v>-1056.2400000000002</v>
      </c>
      <c r="O54" s="235">
        <f>'2012 полн'!BG34</f>
        <v>-2480.28</v>
      </c>
    </row>
    <row r="55" spans="1:15" ht="12.75">
      <c r="A55" s="172" t="s">
        <v>41</v>
      </c>
      <c r="B55" s="247">
        <f>'2012 полн'!B35</f>
        <v>625</v>
      </c>
      <c r="C55" s="235">
        <f>'2012 полн'!C35</f>
        <v>5943.75</v>
      </c>
      <c r="D55" s="235">
        <f>'2012 полн'!D35</f>
        <v>0</v>
      </c>
      <c r="E55" s="235">
        <f>'2012 полн'!U35</f>
        <v>6115.79</v>
      </c>
      <c r="F55" s="235">
        <f>'2012 полн'!V35</f>
        <v>0</v>
      </c>
      <c r="G55" s="235">
        <f>'2012 полн'!AF35</f>
        <v>8616.06</v>
      </c>
      <c r="H55" s="235">
        <f>'2012 полн'!AG35</f>
        <v>8616.06</v>
      </c>
      <c r="I55" s="235">
        <f>'2012 полн'!AK35</f>
        <v>468.75</v>
      </c>
      <c r="J55" s="235">
        <f>'2012 полн'!AL35</f>
        <v>125</v>
      </c>
      <c r="K55" s="235">
        <f>'2012 полн'!AM35+'2012 полн'!AN35+'2012 полн'!AO35+'2012 полн'!AP35+'2012 полн'!AQ35+'2012 полн'!AR35+'2012 полн'!AS35</f>
        <v>4318.75</v>
      </c>
      <c r="L55" s="235">
        <f>'2012 полн'!AU35+'2012 полн'!AV35+'2012 полн'!AW35+'2012 полн'!AX35</f>
        <v>116.01</v>
      </c>
      <c r="M55" s="235">
        <f t="shared" si="6"/>
        <v>5028.51</v>
      </c>
      <c r="N55" s="235">
        <f t="shared" si="7"/>
        <v>3587.5499999999993</v>
      </c>
      <c r="O55" s="235">
        <f>'2012 полн'!BG35</f>
        <v>2500.2699999999995</v>
      </c>
    </row>
    <row r="56" spans="1:15" ht="12.75">
      <c r="A56" s="172" t="s">
        <v>42</v>
      </c>
      <c r="B56" s="247">
        <f>'2012 полн'!B36</f>
        <v>625</v>
      </c>
      <c r="C56" s="235">
        <f>'2012 полн'!C36</f>
        <v>5943.75</v>
      </c>
      <c r="D56" s="235">
        <f>'2012 полн'!D36</f>
        <v>0</v>
      </c>
      <c r="E56" s="235">
        <f>'2012 полн'!U36</f>
        <v>6115.79</v>
      </c>
      <c r="F56" s="235">
        <f>'2012 полн'!V36</f>
        <v>0</v>
      </c>
      <c r="G56" s="235">
        <f>'2012 полн'!AF36</f>
        <v>7115.070000000001</v>
      </c>
      <c r="H56" s="235">
        <f>'2012 полн'!AG36</f>
        <v>7115.070000000001</v>
      </c>
      <c r="I56" s="235">
        <f>'2012 полн'!AK36</f>
        <v>468.75</v>
      </c>
      <c r="J56" s="235">
        <f>'2012 полн'!AL36</f>
        <v>125</v>
      </c>
      <c r="K56" s="235">
        <f>'2012 полн'!AM36+'2012 полн'!AN36+'2012 полн'!AO36+'2012 полн'!AP36+'2012 полн'!AQ36+'2012 полн'!AR36+'2012 полн'!AS36</f>
        <v>4318.75</v>
      </c>
      <c r="L56" s="235">
        <f>'2012 полн'!AU36+'2012 полн'!AV36+'2012 полн'!AW36+'2012 полн'!AX36</f>
        <v>0</v>
      </c>
      <c r="M56" s="235">
        <f t="shared" si="6"/>
        <v>4912.5</v>
      </c>
      <c r="N56" s="235">
        <f t="shared" si="7"/>
        <v>2202.5700000000006</v>
      </c>
      <c r="O56" s="235">
        <f>'2012 полн'!BG36</f>
        <v>999.2800000000007</v>
      </c>
    </row>
    <row r="57" spans="1:15" ht="13.5" thickBot="1">
      <c r="A57" s="172" t="s">
        <v>43</v>
      </c>
      <c r="B57" s="247">
        <f>'2012 полн'!B37</f>
        <v>625</v>
      </c>
      <c r="C57" s="235">
        <f>'2012 полн'!C37</f>
        <v>5943.75</v>
      </c>
      <c r="D57" s="235">
        <f>'2012 полн'!D37</f>
        <v>0</v>
      </c>
      <c r="E57" s="235">
        <f>'2012 полн'!U37</f>
        <v>6115.79</v>
      </c>
      <c r="F57" s="235">
        <f>'2012 полн'!V37</f>
        <v>0</v>
      </c>
      <c r="G57" s="235">
        <f>'2012 полн'!AF37</f>
        <v>5643.4800000000005</v>
      </c>
      <c r="H57" s="235">
        <f>'2012 полн'!AG37</f>
        <v>5643.4800000000005</v>
      </c>
      <c r="I57" s="235">
        <f>'2012 полн'!AK37</f>
        <v>468.75</v>
      </c>
      <c r="J57" s="235">
        <f>'2012 полн'!AL37</f>
        <v>125</v>
      </c>
      <c r="K57" s="235">
        <f>'2012 полн'!AM37+'2012 полн'!AN37+'2012 полн'!AO37+'2012 полн'!AP37+'2012 полн'!AQ37+'2012 полн'!AR37+'2012 полн'!AS37</f>
        <v>4318.75</v>
      </c>
      <c r="L57" s="235">
        <f>'2012 полн'!AU37+'2012 полн'!AV37+'2012 полн'!AW37+'2012 полн'!AX37</f>
        <v>0</v>
      </c>
      <c r="M57" s="235">
        <f t="shared" si="6"/>
        <v>4912.5</v>
      </c>
      <c r="N57" s="235">
        <f t="shared" si="7"/>
        <v>730.9800000000005</v>
      </c>
      <c r="O57" s="235">
        <f>'2012 полн'!BG37</f>
        <v>-472.3099999999995</v>
      </c>
    </row>
    <row r="58" spans="1:17" s="20" customFormat="1" ht="13.5" thickBot="1">
      <c r="A58" s="34" t="s">
        <v>5</v>
      </c>
      <c r="B58" s="35"/>
      <c r="C58" s="248">
        <f aca="true" t="shared" si="8" ref="C58:N58">SUM(C46:C57)</f>
        <v>67725</v>
      </c>
      <c r="D58" s="248">
        <f t="shared" si="8"/>
        <v>0</v>
      </c>
      <c r="E58" s="248">
        <f t="shared" si="8"/>
        <v>69605.82</v>
      </c>
      <c r="F58" s="248">
        <f t="shared" si="8"/>
        <v>0</v>
      </c>
      <c r="G58" s="248">
        <f t="shared" si="8"/>
        <v>65693.59000000001</v>
      </c>
      <c r="H58" s="248">
        <f t="shared" si="8"/>
        <v>65693.59000000001</v>
      </c>
      <c r="I58" s="248">
        <f t="shared" si="8"/>
        <v>5325</v>
      </c>
      <c r="J58" s="248">
        <f t="shared" si="8"/>
        <v>1500</v>
      </c>
      <c r="K58" s="248">
        <f t="shared" si="8"/>
        <v>47512.5</v>
      </c>
      <c r="L58" s="248">
        <f t="shared" si="8"/>
        <v>5045.01</v>
      </c>
      <c r="M58" s="248">
        <f t="shared" si="8"/>
        <v>59382.51</v>
      </c>
      <c r="N58" s="248">
        <f t="shared" si="8"/>
        <v>6311.079999999999</v>
      </c>
      <c r="O58" s="248">
        <f>SUM(O46:O57)</f>
        <v>-3912.2299999999987</v>
      </c>
      <c r="P58" s="71"/>
      <c r="Q58" s="71"/>
    </row>
    <row r="59" spans="1:17" ht="13.5" thickBot="1">
      <c r="A59" s="309" t="s">
        <v>70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45"/>
      <c r="N59" s="345"/>
      <c r="O59" s="249"/>
      <c r="P59" s="159"/>
      <c r="Q59" s="159"/>
    </row>
    <row r="60" spans="1:17" s="20" customFormat="1" ht="13.5" thickBot="1">
      <c r="A60" s="80" t="s">
        <v>54</v>
      </c>
      <c r="B60" s="38"/>
      <c r="C60" s="39">
        <f aca="true" t="shared" si="9" ref="C60:N60">C58+C44</f>
        <v>277852.485</v>
      </c>
      <c r="D60" s="39">
        <f t="shared" si="9"/>
        <v>214159.36556295003</v>
      </c>
      <c r="E60" s="39">
        <f t="shared" si="9"/>
        <v>239655.2</v>
      </c>
      <c r="F60" s="39">
        <f t="shared" si="9"/>
        <v>26168.589999999997</v>
      </c>
      <c r="G60" s="39">
        <f t="shared" si="9"/>
        <v>231188.32</v>
      </c>
      <c r="H60" s="39">
        <f t="shared" si="9"/>
        <v>471516.27556295006</v>
      </c>
      <c r="I60" s="39">
        <f t="shared" si="9"/>
        <v>20327.268</v>
      </c>
      <c r="J60" s="39">
        <f t="shared" si="9"/>
        <v>6343.1868676</v>
      </c>
      <c r="K60" s="39">
        <f t="shared" si="9"/>
        <v>209979.5534821756</v>
      </c>
      <c r="L60" s="39">
        <f t="shared" si="9"/>
        <v>264599.14139999996</v>
      </c>
      <c r="M60" s="39">
        <f t="shared" si="9"/>
        <v>501249.1497497756</v>
      </c>
      <c r="N60" s="39">
        <f t="shared" si="9"/>
        <v>-29732.874186825564</v>
      </c>
      <c r="O60" s="39">
        <f>O58+O44</f>
        <v>-8466.880000000001</v>
      </c>
      <c r="P60" s="72"/>
      <c r="Q60" s="71"/>
    </row>
    <row r="62" spans="1:16" ht="12.75">
      <c r="A62" s="20" t="s">
        <v>88</v>
      </c>
      <c r="D62" s="83" t="s">
        <v>125</v>
      </c>
      <c r="O62" s="159"/>
      <c r="P62" s="159"/>
    </row>
    <row r="63" spans="1:16" ht="12.75">
      <c r="A63" s="169" t="s">
        <v>71</v>
      </c>
      <c r="B63" s="169" t="s">
        <v>72</v>
      </c>
      <c r="C63" s="423" t="s">
        <v>73</v>
      </c>
      <c r="D63" s="423"/>
      <c r="O63" s="159"/>
      <c r="P63" s="159"/>
    </row>
    <row r="64" spans="1:16" ht="12.75">
      <c r="A64" s="124">
        <v>64486.47</v>
      </c>
      <c r="B64" s="124">
        <v>68481</v>
      </c>
      <c r="C64" s="424">
        <f>A64-B64</f>
        <v>-3994.529999999999</v>
      </c>
      <c r="D64" s="425"/>
      <c r="O64" s="159"/>
      <c r="P64" s="159"/>
    </row>
    <row r="65" spans="1:16" ht="12.75">
      <c r="A65" s="46"/>
      <c r="O65" s="159"/>
      <c r="P65" s="159"/>
    </row>
    <row r="66" spans="1:16" ht="12.75">
      <c r="A66" s="160" t="s">
        <v>76</v>
      </c>
      <c r="G66" s="160" t="s">
        <v>77</v>
      </c>
      <c r="O66" s="159"/>
      <c r="P66" s="159"/>
    </row>
    <row r="67" ht="12.75">
      <c r="A67" s="159"/>
    </row>
    <row r="68" ht="12.75">
      <c r="A68" s="83" t="s">
        <v>120</v>
      </c>
    </row>
    <row r="69" ht="12.75">
      <c r="A69" s="160" t="s">
        <v>78</v>
      </c>
    </row>
  </sheetData>
  <sheetProtection/>
  <mergeCells count="27">
    <mergeCell ref="A59:N59"/>
    <mergeCell ref="C63:D63"/>
    <mergeCell ref="C64:D64"/>
    <mergeCell ref="M10:M11"/>
    <mergeCell ref="A27:N27"/>
    <mergeCell ref="A43:N43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1968503937007874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2012-05-11T08:47:39Z</cp:lastPrinted>
  <dcterms:created xsi:type="dcterms:W3CDTF">2010-04-02T05:03:24Z</dcterms:created>
  <dcterms:modified xsi:type="dcterms:W3CDTF">2013-05-18T15:56:13Z</dcterms:modified>
  <cp:category/>
  <cp:version/>
  <cp:contentType/>
  <cp:contentStatus/>
</cp:coreProperties>
</file>