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<sst xmlns="http://schemas.openxmlformats.org/spreadsheetml/2006/main" count="331" uniqueCount="123">
  <si>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</si>
  <si>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</si>
  <si>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</si>
  <si>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</si>
  <si>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</si>
  <si>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</si>
  <si>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</si>
  <si>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</si>
  <si>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</si>
  <si>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</si>
  <si>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</si>
  <si>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</si>
  <si>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</si>
  <si>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</si>
  <si>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</si>
  <si>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</si>
  <si>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</si>
  <si>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</si>
  <si>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</si>
  <si>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</si>
  <si>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</si>
  <si>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</si>
  <si>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</si>
  <si>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</si>
  <si>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</si>
  <si>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</si>
  <si>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</si>
  <si>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</si>
  <si>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</si>
  <si>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</si>
  <si>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</si>
  <si>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</si>
  <si>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</si>
  <si>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</si>
  <si>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</si>
  <si>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</si>
  <si>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</si>
  <si>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</si>
  <si>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</si>
  <si>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</si>
  <si>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</si>
  <si>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</si>
  <si>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</si>
  <si>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</si>
  <si>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</si>
  <si>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</si>
  <si>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</si>
  <si>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</si>
  <si>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</si>
  <si>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</si>
  <si>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</si>
  <si>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</si>
  <si>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</si>
  <si>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</si>
  <si>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</si>
  <si>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</si>
  <si>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</si>
  <si>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</si>
  <si>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</si>
  <si>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</si>
  <si>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</si>
  <si>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</si>
  <si>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</si>
  <si>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</si>
  <si>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</si>
  <si>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</si>
  <si>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</si>
  <si>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</si>
  <si>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</si>
  <si>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</si>
  <si>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</si>
  <si>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</si>
  <si>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</si>
  <si>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</si>
  <si>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</si>
  <si>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</si>
  <si>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</si>
  <si>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</si>
  <si>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</si>
  <si>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</si>
  <si>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</si>
  <si>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</si>
  <si>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</si>
  <si>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</si>
  <si>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</si>
  <si>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</si>
  <si>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</si>
  <si>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</si>
  <si>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</si>
  <si>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Лицевой счет по адресу г. Таштагол, ул. Юбилейная, д. 2</t>
  </si>
  <si>
    <t>Выписка по лицевому счету по адресу г. Таштагол ул. Юбилейная, д. 2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</si>
  <si>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</si>
  <si>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</si>
  <si>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</si>
  <si>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</si>
  <si>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</si>
  <si>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</si>
  <si>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</si>
  <si>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</si>
  <si>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</si>
  <si>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</si>
  <si>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</si>
  <si>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</si>
  <si>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</si>
  <si>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</si>
  <si>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</si>
  <si>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</si>
  <si>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</si>
  <si>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</si>
  <si>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</si>
  <si>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</si>
  <si>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</si>
  <si>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</si>
  <si>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</si>
  <si>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</si>
  <si>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</si>
  <si>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Услуга начисления</t>
  </si>
  <si>
    <t>Исп. В.В. Колмогорова</t>
  </si>
  <si>
    <t>Лицевой счет по адресу г. Таштагол, ул. Юбилейная, д.2</t>
  </si>
  <si>
    <t>Тариф по содержанию и тек.ремонту 100 % (14,05 руб.*площадь)</t>
  </si>
  <si>
    <t>2012 год</t>
  </si>
  <si>
    <t>*по состоянию на 01.05.2013 г.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</si>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</sst>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3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2" fillId="0" borderId="34" xfId="3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horizontal="center" wrapText="1"/>
    </xf>
    <xf numFmtId="4" fontId="0" fillId="0" borderId="40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42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37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3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4" fontId="1" fillId="0" borderId="44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/>
    </xf>
    <xf numFmtId="4" fontId="14" fillId="0" borderId="11" xfId="0" applyNumberFormat="1" applyFont="1" applyFill="1" applyBorder="1" applyAlignment="1">
      <alignment horizontal="center"/>
    </xf>
    <xf numFmtId="4" fontId="14" fillId="0" borderId="20" xfId="0" applyNumberFormat="1" applyFont="1" applyFill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10" fillId="35" borderId="15" xfId="0" applyNumberFormat="1" applyFont="1" applyFill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2" fillId="35" borderId="31" xfId="0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53" xfId="0" applyFont="1" applyBorder="1" applyAlignment="1">
      <alignment wrapText="1"/>
    </xf>
    <xf numFmtId="0" fontId="12" fillId="35" borderId="15" xfId="0" applyFont="1" applyFill="1" applyBorder="1" applyAlignment="1">
      <alignment/>
    </xf>
    <xf numFmtId="0" fontId="12" fillId="0" borderId="3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56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5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58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1" fillId="0" borderId="37" xfId="0" applyNumberFormat="1" applyFont="1" applyFill="1" applyBorder="1" applyAlignment="1">
      <alignment horizontal="center" vertical="center" wrapText="1"/>
    </xf>
    <xf numFmtId="2" fontId="1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47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38" borderId="74" xfId="0" applyFont="1" applyFill="1" applyBorder="1" applyAlignment="1">
      <alignment horizontal="center" vertical="center" wrapText="1"/>
    </xf>
    <xf numFmtId="0" fontId="1" fillId="38" borderId="72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0" fontId="1" fillId="0" borderId="74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4" fontId="1" fillId="34" borderId="5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4" fontId="2" fillId="34" borderId="42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center"/>
    </xf>
    <xf numFmtId="0" fontId="32" fillId="0" borderId="11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right"/>
    </xf>
    <xf numFmtId="4" fontId="0" fillId="39" borderId="15" xfId="0" applyNumberFormat="1" applyFont="1" applyFill="1" applyBorder="1" applyAlignment="1">
      <alignment horizontal="center" wrapText="1"/>
    </xf>
    <xf numFmtId="4" fontId="0" fillId="38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7;&#1091;&#1074;&#1086;&#1088;&#1086;&#1074;&#1072;,%209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9;&#1074;&#1072;&#1083;&#1100;&#1085;&#1072;&#1103;,%204%20&#1089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O44">
            <v>0</v>
          </cell>
          <cell r="AQ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73" t="s">
        <v>89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74" t="s">
        <v>0</v>
      </c>
      <c r="B3" s="277" t="s">
        <v>1</v>
      </c>
      <c r="C3" s="277" t="s">
        <v>2</v>
      </c>
      <c r="D3" s="277" t="s">
        <v>3</v>
      </c>
      <c r="E3" s="280" t="s">
        <v>4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97" t="s">
        <v>5</v>
      </c>
      <c r="T3" s="297"/>
      <c r="U3" s="298" t="s">
        <v>6</v>
      </c>
      <c r="V3" s="298"/>
      <c r="W3" s="298"/>
      <c r="X3" s="298"/>
      <c r="Y3" s="298"/>
      <c r="Z3" s="298"/>
      <c r="AA3" s="298"/>
      <c r="AB3" s="298"/>
      <c r="AC3" s="300" t="s">
        <v>86</v>
      </c>
      <c r="AD3" s="300" t="s">
        <v>8</v>
      </c>
      <c r="AE3" s="303" t="s">
        <v>9</v>
      </c>
      <c r="AF3" s="310" t="s">
        <v>74</v>
      </c>
      <c r="AG3" s="313" t="s">
        <v>10</v>
      </c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289" t="s">
        <v>75</v>
      </c>
      <c r="BD3" s="294" t="s">
        <v>11</v>
      </c>
      <c r="BE3" s="282" t="s">
        <v>12</v>
      </c>
    </row>
    <row r="4" spans="1:57" ht="36" customHeight="1" thickBot="1">
      <c r="A4" s="275"/>
      <c r="B4" s="278"/>
      <c r="C4" s="278"/>
      <c r="D4" s="278"/>
      <c r="E4" s="281" t="s">
        <v>13</v>
      </c>
      <c r="F4" s="281"/>
      <c r="G4" s="281" t="s">
        <v>14</v>
      </c>
      <c r="H4" s="281"/>
      <c r="I4" s="281" t="s">
        <v>15</v>
      </c>
      <c r="J4" s="281"/>
      <c r="K4" s="281" t="s">
        <v>16</v>
      </c>
      <c r="L4" s="281"/>
      <c r="M4" s="281" t="s">
        <v>17</v>
      </c>
      <c r="N4" s="281"/>
      <c r="O4" s="281" t="s">
        <v>18</v>
      </c>
      <c r="P4" s="281"/>
      <c r="Q4" s="281" t="s">
        <v>19</v>
      </c>
      <c r="R4" s="281"/>
      <c r="S4" s="281"/>
      <c r="T4" s="281"/>
      <c r="U4" s="299"/>
      <c r="V4" s="299"/>
      <c r="W4" s="299"/>
      <c r="X4" s="299"/>
      <c r="Y4" s="299"/>
      <c r="Z4" s="299"/>
      <c r="AA4" s="299"/>
      <c r="AB4" s="299"/>
      <c r="AC4" s="301"/>
      <c r="AD4" s="301"/>
      <c r="AE4" s="304"/>
      <c r="AF4" s="311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90"/>
      <c r="BD4" s="295"/>
      <c r="BE4" s="283"/>
    </row>
    <row r="5" spans="1:57" ht="29.25" customHeight="1" thickBot="1">
      <c r="A5" s="275"/>
      <c r="B5" s="278"/>
      <c r="C5" s="278"/>
      <c r="D5" s="278"/>
      <c r="E5" s="292" t="s">
        <v>20</v>
      </c>
      <c r="F5" s="292" t="s">
        <v>21</v>
      </c>
      <c r="G5" s="292" t="s">
        <v>20</v>
      </c>
      <c r="H5" s="292" t="s">
        <v>21</v>
      </c>
      <c r="I5" s="292" t="s">
        <v>20</v>
      </c>
      <c r="J5" s="292" t="s">
        <v>21</v>
      </c>
      <c r="K5" s="292" t="s">
        <v>20</v>
      </c>
      <c r="L5" s="292" t="s">
        <v>21</v>
      </c>
      <c r="M5" s="292" t="s">
        <v>20</v>
      </c>
      <c r="N5" s="292" t="s">
        <v>21</v>
      </c>
      <c r="O5" s="292" t="s">
        <v>20</v>
      </c>
      <c r="P5" s="292" t="s">
        <v>21</v>
      </c>
      <c r="Q5" s="292" t="s">
        <v>20</v>
      </c>
      <c r="R5" s="292" t="s">
        <v>21</v>
      </c>
      <c r="S5" s="292" t="s">
        <v>20</v>
      </c>
      <c r="T5" s="292" t="s">
        <v>21</v>
      </c>
      <c r="U5" s="306" t="s">
        <v>22</v>
      </c>
      <c r="V5" s="306" t="s">
        <v>23</v>
      </c>
      <c r="W5" s="306" t="s">
        <v>24</v>
      </c>
      <c r="X5" s="306" t="s">
        <v>25</v>
      </c>
      <c r="Y5" s="306" t="s">
        <v>26</v>
      </c>
      <c r="Z5" s="306" t="s">
        <v>27</v>
      </c>
      <c r="AA5" s="306" t="s">
        <v>28</v>
      </c>
      <c r="AB5" s="306" t="s">
        <v>29</v>
      </c>
      <c r="AC5" s="301"/>
      <c r="AD5" s="301"/>
      <c r="AE5" s="304"/>
      <c r="AF5" s="311"/>
      <c r="AG5" s="285" t="s">
        <v>30</v>
      </c>
      <c r="AH5" s="285" t="s">
        <v>31</v>
      </c>
      <c r="AI5" s="285" t="s">
        <v>32</v>
      </c>
      <c r="AJ5" s="285" t="s">
        <v>33</v>
      </c>
      <c r="AK5" s="285" t="s">
        <v>34</v>
      </c>
      <c r="AL5" s="285" t="s">
        <v>33</v>
      </c>
      <c r="AM5" s="285" t="s">
        <v>35</v>
      </c>
      <c r="AN5" s="285" t="s">
        <v>33</v>
      </c>
      <c r="AO5" s="285" t="s">
        <v>36</v>
      </c>
      <c r="AP5" s="285" t="s">
        <v>33</v>
      </c>
      <c r="AQ5" s="317" t="s">
        <v>79</v>
      </c>
      <c r="AR5" s="319" t="s">
        <v>33</v>
      </c>
      <c r="AS5" s="287" t="s">
        <v>80</v>
      </c>
      <c r="AT5" s="308" t="s">
        <v>81</v>
      </c>
      <c r="AU5" s="308" t="s">
        <v>33</v>
      </c>
      <c r="AV5" s="314" t="s">
        <v>82</v>
      </c>
      <c r="AW5" s="315"/>
      <c r="AX5" s="316"/>
      <c r="AY5" s="285" t="s">
        <v>19</v>
      </c>
      <c r="AZ5" s="285" t="s">
        <v>38</v>
      </c>
      <c r="BA5" s="285" t="s">
        <v>33</v>
      </c>
      <c r="BB5" s="285" t="s">
        <v>39</v>
      </c>
      <c r="BC5" s="290"/>
      <c r="BD5" s="295"/>
      <c r="BE5" s="283"/>
    </row>
    <row r="6" spans="1:57" ht="54" customHeight="1" thickBot="1">
      <c r="A6" s="276"/>
      <c r="B6" s="279"/>
      <c r="C6" s="279"/>
      <c r="D6" s="279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307"/>
      <c r="V6" s="307"/>
      <c r="W6" s="307"/>
      <c r="X6" s="307"/>
      <c r="Y6" s="307"/>
      <c r="Z6" s="307"/>
      <c r="AA6" s="307"/>
      <c r="AB6" s="307"/>
      <c r="AC6" s="302"/>
      <c r="AD6" s="302"/>
      <c r="AE6" s="305"/>
      <c r="AF6" s="312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318"/>
      <c r="AR6" s="320"/>
      <c r="AS6" s="288"/>
      <c r="AT6" s="309"/>
      <c r="AU6" s="309"/>
      <c r="AV6" s="111" t="s">
        <v>83</v>
      </c>
      <c r="AW6" s="111" t="s">
        <v>84</v>
      </c>
      <c r="AX6" s="111" t="s">
        <v>85</v>
      </c>
      <c r="AY6" s="286"/>
      <c r="AZ6" s="286"/>
      <c r="BA6" s="286"/>
      <c r="BB6" s="286"/>
      <c r="BC6" s="291"/>
      <c r="BD6" s="296"/>
      <c r="BE6" s="284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7">
        <v>650.1</v>
      </c>
      <c r="C9" s="98">
        <f>B9*8.65</f>
        <v>5623.365000000001</v>
      </c>
      <c r="D9" s="99">
        <f>C9*0.24088</f>
        <v>1354.5561612000001</v>
      </c>
      <c r="E9" s="100">
        <v>449.5</v>
      </c>
      <c r="F9" s="100">
        <v>95.96</v>
      </c>
      <c r="G9" s="100">
        <v>606.84</v>
      </c>
      <c r="H9" s="100">
        <v>129.55</v>
      </c>
      <c r="I9" s="100">
        <v>1460.89</v>
      </c>
      <c r="J9" s="100">
        <v>311.87</v>
      </c>
      <c r="K9" s="100">
        <v>1011.4</v>
      </c>
      <c r="L9" s="100">
        <v>215.91</v>
      </c>
      <c r="M9" s="100">
        <v>359.61</v>
      </c>
      <c r="N9" s="100">
        <v>76.77</v>
      </c>
      <c r="O9" s="100">
        <v>0</v>
      </c>
      <c r="P9" s="100">
        <v>0</v>
      </c>
      <c r="Q9" s="100">
        <v>0</v>
      </c>
      <c r="R9" s="100">
        <v>0</v>
      </c>
      <c r="S9" s="85">
        <f>E9+G9+I9+K9+M9+O9+Q9</f>
        <v>3888.2400000000007</v>
      </c>
      <c r="T9" s="101">
        <f>P9+N9+L9+J9+H9+F9+R9</f>
        <v>830.06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2">
        <v>0</v>
      </c>
      <c r="AA9" s="102">
        <v>0</v>
      </c>
      <c r="AB9" s="102">
        <f>SUM(U9:AA9)</f>
        <v>0</v>
      </c>
      <c r="AC9" s="103">
        <f>D9+T9+AB9</f>
        <v>2184.6161612</v>
      </c>
      <c r="AD9" s="104">
        <f>P9+Z9</f>
        <v>0</v>
      </c>
      <c r="AE9" s="95">
        <f>R9+AA9</f>
        <v>0</v>
      </c>
      <c r="AF9" s="95"/>
      <c r="AG9" s="16">
        <f>0.6*B9</f>
        <v>390.06</v>
      </c>
      <c r="AH9" s="16">
        <f>B9*0.2*1.05826</f>
        <v>137.59496520000002</v>
      </c>
      <c r="AI9" s="16">
        <f>0.8518*B9</f>
        <v>553.75518</v>
      </c>
      <c r="AJ9" s="16">
        <f>AI9*0.18</f>
        <v>99.6759324</v>
      </c>
      <c r="AK9" s="16">
        <f>1.04*B9*0.9531</f>
        <v>644.3947224</v>
      </c>
      <c r="AL9" s="16">
        <f>AK9*0.18</f>
        <v>115.99105003199999</v>
      </c>
      <c r="AM9" s="16">
        <f>(1.91)*B9*0.9531</f>
        <v>1183.4556920999999</v>
      </c>
      <c r="AN9" s="16">
        <f>AM9*0.18</f>
        <v>213.02202457799996</v>
      </c>
      <c r="AO9" s="16"/>
      <c r="AP9" s="16">
        <f>AO9*0.18</f>
        <v>0</v>
      </c>
      <c r="AQ9" s="109"/>
      <c r="AR9" s="109"/>
      <c r="AS9" s="90">
        <v>732.73</v>
      </c>
      <c r="AT9" s="90"/>
      <c r="AU9" s="90">
        <f>(AS9+AT9)*0.18</f>
        <v>131.8914</v>
      </c>
      <c r="AV9" s="110"/>
      <c r="AW9" s="125"/>
      <c r="AX9" s="16">
        <f>AV9*AW9*1.12*1.18</f>
        <v>0</v>
      </c>
      <c r="AY9" s="112"/>
      <c r="AZ9" s="113"/>
      <c r="BA9" s="113">
        <f>AZ9*0.18</f>
        <v>0</v>
      </c>
      <c r="BB9" s="113">
        <f>SUM(AG9:BA9)-AV9-AW9</f>
        <v>4202.57096671</v>
      </c>
      <c r="BC9" s="123"/>
      <c r="BD9" s="14">
        <f>AC9-BB9</f>
        <v>-2017.95480551</v>
      </c>
      <c r="BE9" s="30">
        <f>AB9-S9</f>
        <v>-3888.2400000000007</v>
      </c>
    </row>
    <row r="10" spans="1:57" ht="12.75" hidden="1">
      <c r="A10" s="11" t="s">
        <v>42</v>
      </c>
      <c r="B10" s="97">
        <v>650.1</v>
      </c>
      <c r="C10" s="98">
        <f>B10*8.65</f>
        <v>5623.365000000001</v>
      </c>
      <c r="D10" s="99">
        <f>C10*0.24088</f>
        <v>1354.5561612000001</v>
      </c>
      <c r="E10" s="100">
        <v>449.5</v>
      </c>
      <c r="F10" s="100">
        <v>95.96</v>
      </c>
      <c r="G10" s="100">
        <v>606.84</v>
      </c>
      <c r="H10" s="100">
        <v>129.55</v>
      </c>
      <c r="I10" s="100">
        <v>1460.89</v>
      </c>
      <c r="J10" s="100">
        <v>311.87</v>
      </c>
      <c r="K10" s="100">
        <v>1011.4</v>
      </c>
      <c r="L10" s="100">
        <v>215.91</v>
      </c>
      <c r="M10" s="100">
        <v>359.61</v>
      </c>
      <c r="N10" s="100">
        <v>76.77</v>
      </c>
      <c r="O10" s="100">
        <v>0</v>
      </c>
      <c r="P10" s="100">
        <v>0</v>
      </c>
      <c r="Q10" s="100">
        <v>0</v>
      </c>
      <c r="R10" s="100">
        <v>0</v>
      </c>
      <c r="S10" s="85">
        <f>E10+G10+I10+K10+M10+O10+Q10</f>
        <v>3888.2400000000007</v>
      </c>
      <c r="T10" s="101">
        <f>P10+N10+L10+J10+H10+F10+R10</f>
        <v>830.06</v>
      </c>
      <c r="U10" s="85">
        <v>231.31</v>
      </c>
      <c r="V10" s="85">
        <v>312.25</v>
      </c>
      <c r="W10" s="85">
        <v>760.1</v>
      </c>
      <c r="X10" s="85">
        <v>520.44</v>
      </c>
      <c r="Y10" s="85">
        <v>185.04</v>
      </c>
      <c r="Z10" s="102">
        <v>0</v>
      </c>
      <c r="AA10" s="102">
        <v>0</v>
      </c>
      <c r="AB10" s="105">
        <f>SUM(U10:AA10)</f>
        <v>2009.1399999999999</v>
      </c>
      <c r="AC10" s="106">
        <f>D10+T10+AB10</f>
        <v>4193.7561612</v>
      </c>
      <c r="AD10" s="95">
        <f>P10+Z10</f>
        <v>0</v>
      </c>
      <c r="AE10" s="95">
        <f>R10+AA10</f>
        <v>0</v>
      </c>
      <c r="AF10" s="95"/>
      <c r="AG10" s="16">
        <f>0.6*B10</f>
        <v>390.06</v>
      </c>
      <c r="AH10" s="16">
        <f>B10*0.201</f>
        <v>130.67010000000002</v>
      </c>
      <c r="AI10" s="16">
        <f>0.8518*B10</f>
        <v>553.75518</v>
      </c>
      <c r="AJ10" s="16">
        <f>AI10*0.18</f>
        <v>99.6759324</v>
      </c>
      <c r="AK10" s="16">
        <f>1.04*B10*0.9531</f>
        <v>644.3947224</v>
      </c>
      <c r="AL10" s="16">
        <f>AK10*0.18</f>
        <v>115.99105003199999</v>
      </c>
      <c r="AM10" s="16">
        <f>(1.91)*B10*0.9531</f>
        <v>1183.4556920999999</v>
      </c>
      <c r="AN10" s="16">
        <f>AM10*0.18</f>
        <v>213.02202457799996</v>
      </c>
      <c r="AO10" s="16"/>
      <c r="AP10" s="16">
        <f>AO10*0.18</f>
        <v>0</v>
      </c>
      <c r="AQ10" s="109"/>
      <c r="AR10" s="109"/>
      <c r="AS10" s="90">
        <v>2710</v>
      </c>
      <c r="AT10" s="90"/>
      <c r="AU10" s="90">
        <f>(AS10+AT10)*0.18</f>
        <v>487.79999999999995</v>
      </c>
      <c r="AV10" s="110"/>
      <c r="AW10" s="125"/>
      <c r="AX10" s="16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6528.82470151</v>
      </c>
      <c r="BC10" s="123"/>
      <c r="BD10" s="14">
        <f>AC10-BB10</f>
        <v>-2335.0685403099997</v>
      </c>
      <c r="BE10" s="30">
        <f>AB10-S10</f>
        <v>-1879.1000000000008</v>
      </c>
    </row>
    <row r="11" spans="1:57" ht="12.75" hidden="1">
      <c r="A11" s="11" t="s">
        <v>43</v>
      </c>
      <c r="B11" s="97">
        <v>650.1</v>
      </c>
      <c r="C11" s="98">
        <f>B11*8.65</f>
        <v>5623.365000000001</v>
      </c>
      <c r="D11" s="99">
        <f>C11*0.24035</f>
        <v>1351.5757777500003</v>
      </c>
      <c r="E11" s="100">
        <v>423.81</v>
      </c>
      <c r="F11" s="100">
        <v>95.96</v>
      </c>
      <c r="G11" s="100">
        <v>572.15</v>
      </c>
      <c r="H11" s="100">
        <v>129.55</v>
      </c>
      <c r="I11" s="100">
        <v>1377.41</v>
      </c>
      <c r="J11" s="100">
        <v>311.87</v>
      </c>
      <c r="K11" s="100">
        <v>953.59</v>
      </c>
      <c r="L11" s="100">
        <v>215.91</v>
      </c>
      <c r="M11" s="100">
        <v>339.06</v>
      </c>
      <c r="N11" s="100">
        <v>76.77</v>
      </c>
      <c r="O11" s="100">
        <v>0</v>
      </c>
      <c r="P11" s="107">
        <v>0</v>
      </c>
      <c r="Q11" s="100">
        <v>0</v>
      </c>
      <c r="R11" s="107">
        <v>0</v>
      </c>
      <c r="S11" s="85">
        <f>E11+G11+I11+K11+M11+O11+Q11</f>
        <v>3666.02</v>
      </c>
      <c r="T11" s="101">
        <f>P11+N11+L11+J11+H11+F11+R11</f>
        <v>830.06</v>
      </c>
      <c r="U11" s="85">
        <v>532.32</v>
      </c>
      <c r="V11" s="85">
        <v>718.64</v>
      </c>
      <c r="W11" s="85">
        <v>1730.07</v>
      </c>
      <c r="X11" s="85">
        <v>1197.72</v>
      </c>
      <c r="Y11" s="85">
        <v>425.86</v>
      </c>
      <c r="Z11" s="102">
        <v>0</v>
      </c>
      <c r="AA11" s="102">
        <v>0</v>
      </c>
      <c r="AB11" s="105">
        <f>SUM(U11:AA11)</f>
        <v>4604.61</v>
      </c>
      <c r="AC11" s="106">
        <f>D11+T11+AB11</f>
        <v>6786.24577775</v>
      </c>
      <c r="AD11" s="95">
        <f>P11+Z11</f>
        <v>0</v>
      </c>
      <c r="AE11" s="95">
        <f>R11+AA11</f>
        <v>0</v>
      </c>
      <c r="AF11" s="95"/>
      <c r="AG11" s="16">
        <f>0.6*B11</f>
        <v>390.06</v>
      </c>
      <c r="AH11" s="16">
        <f>B11*0.2*1.02524</f>
        <v>133.3017048</v>
      </c>
      <c r="AI11" s="16">
        <f>0.84932*B11</f>
        <v>552.142932</v>
      </c>
      <c r="AJ11" s="16">
        <f>AI11*0.18</f>
        <v>99.38572776</v>
      </c>
      <c r="AK11" s="16">
        <f>1.04*B11*0.95033</f>
        <v>642.5219143200001</v>
      </c>
      <c r="AL11" s="16">
        <f>AK11*0.18</f>
        <v>115.6539445776</v>
      </c>
      <c r="AM11" s="16">
        <f>(1.91)*B11*0.95033</f>
        <v>1180.0162080300001</v>
      </c>
      <c r="AN11" s="16">
        <f>AM11*0.18</f>
        <v>212.40291744540002</v>
      </c>
      <c r="AO11" s="16"/>
      <c r="AP11" s="16">
        <f>AO11*0.18</f>
        <v>0</v>
      </c>
      <c r="AQ11" s="109"/>
      <c r="AR11" s="109"/>
      <c r="AS11" s="90"/>
      <c r="AT11" s="90"/>
      <c r="AU11" s="90">
        <f>(AS11+AT11)*0.18</f>
        <v>0</v>
      </c>
      <c r="AV11" s="110"/>
      <c r="AW11" s="125"/>
      <c r="AX11" s="16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3325.485348933</v>
      </c>
      <c r="BC11" s="123"/>
      <c r="BD11" s="14">
        <f>AC11-BB11</f>
        <v>3460.7604288170005</v>
      </c>
      <c r="BE11" s="30">
        <f>AB11-S11</f>
        <v>938.5899999999997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16870.095</v>
      </c>
      <c r="D12" s="60">
        <f t="shared" si="0"/>
        <v>4060.6881001500005</v>
      </c>
      <c r="E12" s="57">
        <f>SUM(E9:E11)</f>
        <v>1322.81</v>
      </c>
      <c r="F12" s="57">
        <f t="shared" si="0"/>
        <v>287.88</v>
      </c>
      <c r="G12" s="57">
        <f t="shared" si="0"/>
        <v>1785.83</v>
      </c>
      <c r="H12" s="57">
        <f t="shared" si="0"/>
        <v>388.65000000000003</v>
      </c>
      <c r="I12" s="57">
        <f t="shared" si="0"/>
        <v>4299.1900000000005</v>
      </c>
      <c r="J12" s="57">
        <f t="shared" si="0"/>
        <v>935.61</v>
      </c>
      <c r="K12" s="57">
        <f t="shared" si="0"/>
        <v>2976.39</v>
      </c>
      <c r="L12" s="57">
        <f t="shared" si="0"/>
        <v>647.73</v>
      </c>
      <c r="M12" s="57">
        <f t="shared" si="0"/>
        <v>1058.28</v>
      </c>
      <c r="N12" s="57">
        <f t="shared" si="0"/>
        <v>230.31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11442.500000000002</v>
      </c>
      <c r="T12" s="57">
        <f t="shared" si="0"/>
        <v>2490.18</v>
      </c>
      <c r="U12" s="61">
        <f t="shared" si="0"/>
        <v>763.6300000000001</v>
      </c>
      <c r="V12" s="61">
        <f t="shared" si="0"/>
        <v>1030.8899999999999</v>
      </c>
      <c r="W12" s="61">
        <f t="shared" si="0"/>
        <v>2490.17</v>
      </c>
      <c r="X12" s="61">
        <f t="shared" si="0"/>
        <v>1718.16</v>
      </c>
      <c r="Y12" s="61">
        <f t="shared" si="0"/>
        <v>610.9</v>
      </c>
      <c r="Z12" s="61">
        <f t="shared" si="0"/>
        <v>0</v>
      </c>
      <c r="AA12" s="61">
        <f t="shared" si="0"/>
        <v>0</v>
      </c>
      <c r="AB12" s="61">
        <f t="shared" si="0"/>
        <v>6613.75</v>
      </c>
      <c r="AC12" s="61">
        <f t="shared" si="0"/>
        <v>13164.61810015</v>
      </c>
      <c r="AD12" s="61">
        <f>SUM(AD9:AD11)</f>
        <v>0</v>
      </c>
      <c r="AE12" s="93">
        <f t="shared" si="0"/>
        <v>0</v>
      </c>
      <c r="AF12" s="93">
        <f t="shared" si="0"/>
        <v>0</v>
      </c>
      <c r="AG12" s="18">
        <f t="shared" si="0"/>
        <v>1170.18</v>
      </c>
      <c r="AH12" s="18">
        <f t="shared" si="0"/>
        <v>401.56677</v>
      </c>
      <c r="AI12" s="18">
        <f t="shared" si="0"/>
        <v>1659.653292</v>
      </c>
      <c r="AJ12" s="18">
        <f t="shared" si="0"/>
        <v>298.73759256</v>
      </c>
      <c r="AK12" s="18">
        <f t="shared" si="0"/>
        <v>1931.31135912</v>
      </c>
      <c r="AL12" s="18">
        <f t="shared" si="0"/>
        <v>347.6360446416</v>
      </c>
      <c r="AM12" s="18">
        <f>SUM(AM9:AM11)</f>
        <v>3546.92759223</v>
      </c>
      <c r="AN12" s="18">
        <f>SUM(AN9:AN11)</f>
        <v>638.4469666013999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3442.73</v>
      </c>
      <c r="AT12" s="18">
        <f>SUM(AT9:AT11)</f>
        <v>0</v>
      </c>
      <c r="AU12" s="18">
        <f>SUM(AU9:AU11)</f>
        <v>619.6913999999999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14056.881017153</v>
      </c>
      <c r="BC12" s="18">
        <f t="shared" si="0"/>
        <v>0</v>
      </c>
      <c r="BD12" s="18">
        <f t="shared" si="0"/>
        <v>-892.2629170029995</v>
      </c>
      <c r="BE12" s="19">
        <f t="shared" si="0"/>
        <v>-4828.750000000002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1"/>
      <c r="AD13" s="91"/>
      <c r="AE13" s="92"/>
      <c r="AF13" s="92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33">
        <v>650.1</v>
      </c>
      <c r="C14" s="98">
        <f aca="true" t="shared" si="1" ref="C14:C25">B14*8.65</f>
        <v>5623.365000000001</v>
      </c>
      <c r="D14" s="99">
        <f>C14*0.125</f>
        <v>702.9206250000001</v>
      </c>
      <c r="E14" s="100">
        <v>449.5</v>
      </c>
      <c r="F14" s="100">
        <v>95.96</v>
      </c>
      <c r="G14" s="100">
        <v>606.84</v>
      </c>
      <c r="H14" s="100">
        <v>129.55</v>
      </c>
      <c r="I14" s="100">
        <v>1460.89</v>
      </c>
      <c r="J14" s="100">
        <v>311.87</v>
      </c>
      <c r="K14" s="100">
        <v>1011.4</v>
      </c>
      <c r="L14" s="100">
        <v>215.91</v>
      </c>
      <c r="M14" s="100">
        <v>359.61</v>
      </c>
      <c r="N14" s="100">
        <v>76.77</v>
      </c>
      <c r="O14" s="100">
        <v>0</v>
      </c>
      <c r="P14" s="107">
        <v>0</v>
      </c>
      <c r="Q14" s="100">
        <v>0</v>
      </c>
      <c r="R14" s="107">
        <v>0</v>
      </c>
      <c r="S14" s="85">
        <f aca="true" t="shared" si="2" ref="S14:S25">E14+G14+I14+K14+M14+O14+Q14</f>
        <v>3888.2400000000007</v>
      </c>
      <c r="T14" s="101">
        <f aca="true" t="shared" si="3" ref="T14:T25">P14+N14+L14+J14+H14+F14+R14</f>
        <v>830.06</v>
      </c>
      <c r="U14" s="85">
        <v>216.78</v>
      </c>
      <c r="V14" s="85">
        <v>292.68</v>
      </c>
      <c r="W14" s="85">
        <v>704.55</v>
      </c>
      <c r="X14" s="85">
        <v>487.8</v>
      </c>
      <c r="Y14" s="85">
        <v>173.44</v>
      </c>
      <c r="Z14" s="102">
        <v>0</v>
      </c>
      <c r="AA14" s="102">
        <v>0</v>
      </c>
      <c r="AB14" s="108">
        <f aca="true" t="shared" si="4" ref="AB14:AB22">SUM(U14:AA14)</f>
        <v>1875.25</v>
      </c>
      <c r="AC14" s="106">
        <f aca="true" t="shared" si="5" ref="AC14:AC22">D14+T14+AB14</f>
        <v>3408.230625</v>
      </c>
      <c r="AD14" s="95">
        <f aca="true" t="shared" si="6" ref="AD14:AD25">P14+Z14</f>
        <v>0</v>
      </c>
      <c r="AE14" s="95">
        <f aca="true" t="shared" si="7" ref="AE14:AE25">R14+AA14</f>
        <v>0</v>
      </c>
      <c r="AF14" s="95"/>
      <c r="AG14" s="16">
        <f>0.6*B14*0.9</f>
        <v>351.05400000000003</v>
      </c>
      <c r="AH14" s="16">
        <f>B14*0.2*0.891</f>
        <v>115.84782000000001</v>
      </c>
      <c r="AI14" s="16">
        <f>0.85*B14*0.867-0.02</f>
        <v>479.07119500000005</v>
      </c>
      <c r="AJ14" s="16">
        <f aca="true" t="shared" si="8" ref="AJ14:AJ25">AI14*0.18</f>
        <v>86.23281510000001</v>
      </c>
      <c r="AK14" s="16">
        <f>0.83*B14*0.8686</f>
        <v>468.6817938</v>
      </c>
      <c r="AL14" s="16">
        <f aca="true" t="shared" si="9" ref="AL14:AL25">AK14*0.18</f>
        <v>84.362722884</v>
      </c>
      <c r="AM14" s="16">
        <f>1.91*B14*0.8686</f>
        <v>1078.5328026</v>
      </c>
      <c r="AN14" s="16">
        <f aca="true" t="shared" si="10" ref="AN14:AN25">AM14*0.18</f>
        <v>194.13590446799998</v>
      </c>
      <c r="AO14" s="16"/>
      <c r="AP14" s="16">
        <f aca="true" t="shared" si="11" ref="AP14:AR25">AO14*0.18</f>
        <v>0</v>
      </c>
      <c r="AQ14" s="109"/>
      <c r="AR14" s="109">
        <f>AQ14*0.18</f>
        <v>0</v>
      </c>
      <c r="AS14" s="90">
        <v>269</v>
      </c>
      <c r="AT14" s="90"/>
      <c r="AU14" s="90">
        <f>(AS14+AT14)*0.18+0.01</f>
        <v>48.43</v>
      </c>
      <c r="AV14" s="110">
        <v>508</v>
      </c>
      <c r="AW14" s="131">
        <v>0.55</v>
      </c>
      <c r="AX14" s="115">
        <f>AV14*AW14*1.12*1.18</f>
        <v>369.25504000000006</v>
      </c>
      <c r="AY14" s="115"/>
      <c r="AZ14" s="130"/>
      <c r="BA14" s="130">
        <f>AZ14*0.18</f>
        <v>0</v>
      </c>
      <c r="BB14" s="113">
        <f>SUM(AG14:AU14)</f>
        <v>3175.3490538519995</v>
      </c>
      <c r="BC14" s="123"/>
      <c r="BD14" s="14">
        <f>AC14+AF14-BB14-BC14</f>
        <v>232.8815711480006</v>
      </c>
      <c r="BE14" s="30">
        <f>AB14-S14</f>
        <v>-2012.9900000000007</v>
      </c>
    </row>
    <row r="15" spans="1:57" ht="12.75" hidden="1">
      <c r="A15" s="11" t="s">
        <v>46</v>
      </c>
      <c r="B15" s="133">
        <v>650.1</v>
      </c>
      <c r="C15" s="98">
        <f t="shared" si="1"/>
        <v>5623.365000000001</v>
      </c>
      <c r="D15" s="99">
        <f>C15*0.125</f>
        <v>702.9206250000001</v>
      </c>
      <c r="E15" s="100">
        <v>449.5</v>
      </c>
      <c r="F15" s="100">
        <v>95.96</v>
      </c>
      <c r="G15" s="100">
        <v>606.84</v>
      </c>
      <c r="H15" s="100">
        <v>129.55</v>
      </c>
      <c r="I15" s="100">
        <v>1460.89</v>
      </c>
      <c r="J15" s="100">
        <v>311.87</v>
      </c>
      <c r="K15" s="100">
        <v>1011.4</v>
      </c>
      <c r="L15" s="100">
        <v>215.91</v>
      </c>
      <c r="M15" s="100">
        <v>359.61</v>
      </c>
      <c r="N15" s="100">
        <v>76.77</v>
      </c>
      <c r="O15" s="100">
        <v>0</v>
      </c>
      <c r="P15" s="107">
        <v>0</v>
      </c>
      <c r="Q15" s="100">
        <v>0</v>
      </c>
      <c r="R15" s="107">
        <v>0</v>
      </c>
      <c r="S15" s="85">
        <f t="shared" si="2"/>
        <v>3888.2400000000007</v>
      </c>
      <c r="T15" s="101">
        <f t="shared" si="3"/>
        <v>830.06</v>
      </c>
      <c r="U15" s="85">
        <v>340.55</v>
      </c>
      <c r="V15" s="85">
        <v>459.77</v>
      </c>
      <c r="W15" s="85">
        <v>1106.84</v>
      </c>
      <c r="X15" s="85">
        <v>766.28</v>
      </c>
      <c r="Y15" s="85">
        <v>272.45</v>
      </c>
      <c r="Z15" s="102">
        <v>0</v>
      </c>
      <c r="AA15" s="102">
        <v>0</v>
      </c>
      <c r="AB15" s="105">
        <f t="shared" si="4"/>
        <v>2945.8899999999994</v>
      </c>
      <c r="AC15" s="106">
        <f t="shared" si="5"/>
        <v>4478.870625</v>
      </c>
      <c r="AD15" s="95">
        <f t="shared" si="6"/>
        <v>0</v>
      </c>
      <c r="AE15" s="95">
        <f t="shared" si="7"/>
        <v>0</v>
      </c>
      <c r="AF15" s="95"/>
      <c r="AG15" s="16">
        <f>0.6*B15*0.9</f>
        <v>351.05400000000003</v>
      </c>
      <c r="AH15" s="16">
        <f>B15*0.2*0.9153</f>
        <v>119.00730600000001</v>
      </c>
      <c r="AI15" s="16">
        <f>0.85*B15*0.866</f>
        <v>478.53861</v>
      </c>
      <c r="AJ15" s="16">
        <f t="shared" si="8"/>
        <v>86.1369498</v>
      </c>
      <c r="AK15" s="16">
        <f>0.83*B15*0.8685</f>
        <v>468.6278355</v>
      </c>
      <c r="AL15" s="16">
        <f t="shared" si="9"/>
        <v>84.35301039</v>
      </c>
      <c r="AM15" s="16">
        <f>(1.91)*B15*0.8684</f>
        <v>1078.2844644</v>
      </c>
      <c r="AN15" s="16">
        <f t="shared" si="10"/>
        <v>194.09120359199997</v>
      </c>
      <c r="AO15" s="16"/>
      <c r="AP15" s="16">
        <f t="shared" si="11"/>
        <v>0</v>
      </c>
      <c r="AQ15" s="109"/>
      <c r="AR15" s="109">
        <f>AQ15*0.18</f>
        <v>0</v>
      </c>
      <c r="AS15" s="90">
        <v>2900</v>
      </c>
      <c r="AT15" s="90"/>
      <c r="AU15" s="90">
        <f aca="true" t="shared" si="12" ref="AU15:AU25">(AS15+AT15)*0.18</f>
        <v>522</v>
      </c>
      <c r="AV15" s="110">
        <v>407</v>
      </c>
      <c r="AW15" s="125">
        <v>0.55</v>
      </c>
      <c r="AX15" s="16">
        <f aca="true" t="shared" si="13" ref="AX15:AX25">AV15*AW15*1.12*1.18</f>
        <v>295.84016</v>
      </c>
      <c r="AY15" s="112"/>
      <c r="AZ15" s="113"/>
      <c r="BA15" s="113">
        <f>AZ15*0.18</f>
        <v>0</v>
      </c>
      <c r="BB15" s="113">
        <f>SUM(AG15:AU15)+AY15</f>
        <v>6282.093379682</v>
      </c>
      <c r="BC15" s="119"/>
      <c r="BD15" s="14">
        <f aca="true" t="shared" si="14" ref="BD15:BD25">AC15+AF15-BB15-BC15</f>
        <v>-1803.2227546820004</v>
      </c>
      <c r="BE15" s="30">
        <f aca="true" t="shared" si="15" ref="BE15:BE20">AB15-S15</f>
        <v>-942.3500000000013</v>
      </c>
    </row>
    <row r="16" spans="1:57" ht="12.75" hidden="1">
      <c r="A16" s="11" t="s">
        <v>47</v>
      </c>
      <c r="B16" s="120">
        <v>650.1</v>
      </c>
      <c r="C16" s="98">
        <f t="shared" si="1"/>
        <v>5623.365000000001</v>
      </c>
      <c r="D16" s="99">
        <f>C16*0.125</f>
        <v>702.9206250000001</v>
      </c>
      <c r="E16" s="100">
        <v>449.5</v>
      </c>
      <c r="F16" s="100">
        <v>95.96</v>
      </c>
      <c r="G16" s="100">
        <v>606.84</v>
      </c>
      <c r="H16" s="100">
        <v>129.55</v>
      </c>
      <c r="I16" s="100">
        <v>1460.89</v>
      </c>
      <c r="J16" s="100">
        <v>311.87</v>
      </c>
      <c r="K16" s="100">
        <v>1011.4</v>
      </c>
      <c r="L16" s="100">
        <v>215.91</v>
      </c>
      <c r="M16" s="100">
        <v>359.61</v>
      </c>
      <c r="N16" s="100">
        <v>76.77</v>
      </c>
      <c r="O16" s="100">
        <v>0</v>
      </c>
      <c r="P16" s="107">
        <v>0</v>
      </c>
      <c r="Q16" s="100">
        <v>0</v>
      </c>
      <c r="R16" s="107">
        <v>0</v>
      </c>
      <c r="S16" s="86">
        <f t="shared" si="2"/>
        <v>3888.2400000000007</v>
      </c>
      <c r="T16" s="127">
        <f t="shared" si="3"/>
        <v>830.06</v>
      </c>
      <c r="U16" s="86">
        <v>582.45</v>
      </c>
      <c r="V16" s="86">
        <v>786.33</v>
      </c>
      <c r="W16" s="86">
        <v>1892.93</v>
      </c>
      <c r="X16" s="86">
        <v>1310.53</v>
      </c>
      <c r="Y16" s="86">
        <v>465.97</v>
      </c>
      <c r="Z16" s="114">
        <v>0</v>
      </c>
      <c r="AA16" s="114">
        <v>0</v>
      </c>
      <c r="AB16" s="108">
        <f t="shared" si="4"/>
        <v>5038.21</v>
      </c>
      <c r="AC16" s="106">
        <f t="shared" si="5"/>
        <v>6571.190625</v>
      </c>
      <c r="AD16" s="95">
        <f t="shared" si="6"/>
        <v>0</v>
      </c>
      <c r="AE16" s="95">
        <f t="shared" si="7"/>
        <v>0</v>
      </c>
      <c r="AF16" s="95"/>
      <c r="AG16" s="115">
        <f>0.6*B16*0.9</f>
        <v>351.05400000000003</v>
      </c>
      <c r="AH16" s="115">
        <f>B16*0.2*0.9082-0.01</f>
        <v>118.07416400000001</v>
      </c>
      <c r="AI16" s="16">
        <f>0.85*B16*0.8675+0.01</f>
        <v>479.37748750000003</v>
      </c>
      <c r="AJ16" s="16">
        <f t="shared" si="8"/>
        <v>86.28794775</v>
      </c>
      <c r="AK16" s="115">
        <f>0.83*B16*0.838</f>
        <v>452.170554</v>
      </c>
      <c r="AL16" s="16">
        <f t="shared" si="9"/>
        <v>81.39069972</v>
      </c>
      <c r="AM16" s="16">
        <f>1.91*B16*0.838</f>
        <v>1040.537058</v>
      </c>
      <c r="AN16" s="16">
        <f t="shared" si="10"/>
        <v>187.29667043999999</v>
      </c>
      <c r="AO16" s="16"/>
      <c r="AP16" s="16">
        <f t="shared" si="11"/>
        <v>0</v>
      </c>
      <c r="AQ16" s="109"/>
      <c r="AR16" s="109">
        <f>AQ16*0.18</f>
        <v>0</v>
      </c>
      <c r="AS16" s="90"/>
      <c r="AT16" s="90"/>
      <c r="AU16" s="90">
        <f t="shared" si="12"/>
        <v>0</v>
      </c>
      <c r="AV16" s="110">
        <v>383</v>
      </c>
      <c r="AW16" s="125">
        <v>0.55</v>
      </c>
      <c r="AX16" s="115">
        <f t="shared" si="13"/>
        <v>278.39504</v>
      </c>
      <c r="AY16" s="115"/>
      <c r="AZ16" s="130"/>
      <c r="BA16" s="130">
        <f>AZ16*0.18</f>
        <v>0</v>
      </c>
      <c r="BB16" s="113">
        <f>SUM(AG16:AU16)</f>
        <v>2796.18858141</v>
      </c>
      <c r="BC16" s="119"/>
      <c r="BD16" s="14">
        <f t="shared" si="14"/>
        <v>3775.00204359</v>
      </c>
      <c r="BE16" s="30">
        <f t="shared" si="15"/>
        <v>1149.9699999999993</v>
      </c>
    </row>
    <row r="17" spans="1:57" ht="12.75" hidden="1">
      <c r="A17" s="11" t="s">
        <v>48</v>
      </c>
      <c r="B17" s="116">
        <v>650.1</v>
      </c>
      <c r="C17" s="98">
        <f t="shared" si="1"/>
        <v>5623.365000000001</v>
      </c>
      <c r="D17" s="99">
        <f>C17*0.125</f>
        <v>702.9206250000001</v>
      </c>
      <c r="E17" s="117">
        <v>449.34</v>
      </c>
      <c r="F17" s="117">
        <v>95.96</v>
      </c>
      <c r="G17" s="117">
        <v>606.62</v>
      </c>
      <c r="H17" s="117">
        <v>129.55</v>
      </c>
      <c r="I17" s="117">
        <v>1460.39</v>
      </c>
      <c r="J17" s="117">
        <v>311.87</v>
      </c>
      <c r="K17" s="117">
        <v>1011.06</v>
      </c>
      <c r="L17" s="117">
        <v>215.91</v>
      </c>
      <c r="M17" s="117">
        <v>359.48</v>
      </c>
      <c r="N17" s="117">
        <v>76.77</v>
      </c>
      <c r="O17" s="117">
        <v>0</v>
      </c>
      <c r="P17" s="118">
        <v>0</v>
      </c>
      <c r="Q17" s="117">
        <v>0</v>
      </c>
      <c r="R17" s="118">
        <v>0</v>
      </c>
      <c r="S17" s="85">
        <f t="shared" si="2"/>
        <v>3886.8900000000003</v>
      </c>
      <c r="T17" s="101">
        <f t="shared" si="3"/>
        <v>830.06</v>
      </c>
      <c r="U17" s="85">
        <v>272.11</v>
      </c>
      <c r="V17" s="85">
        <v>367.35</v>
      </c>
      <c r="W17" s="85">
        <v>884.38</v>
      </c>
      <c r="X17" s="85">
        <v>612.27</v>
      </c>
      <c r="Y17" s="85">
        <v>217.69</v>
      </c>
      <c r="Z17" s="85">
        <v>0</v>
      </c>
      <c r="AA17" s="85">
        <v>0</v>
      </c>
      <c r="AB17" s="108">
        <f t="shared" si="4"/>
        <v>2353.8</v>
      </c>
      <c r="AC17" s="106">
        <f t="shared" si="5"/>
        <v>3886.7806250000003</v>
      </c>
      <c r="AD17" s="95">
        <f t="shared" si="6"/>
        <v>0</v>
      </c>
      <c r="AE17" s="95">
        <f t="shared" si="7"/>
        <v>0</v>
      </c>
      <c r="AF17" s="95"/>
      <c r="AG17" s="16">
        <f>0.6*B17*0.9</f>
        <v>351.05400000000003</v>
      </c>
      <c r="AH17" s="115">
        <f>B17*0.2*0.9234</f>
        <v>120.06046800000001</v>
      </c>
      <c r="AI17" s="16">
        <f>0.85*B17*0.893</f>
        <v>493.458405</v>
      </c>
      <c r="AJ17" s="16">
        <f t="shared" si="8"/>
        <v>88.8225129</v>
      </c>
      <c r="AK17" s="16">
        <f>0.83*B17*0.8498</f>
        <v>458.53763339999995</v>
      </c>
      <c r="AL17" s="16">
        <f t="shared" si="9"/>
        <v>82.53677401199998</v>
      </c>
      <c r="AM17" s="16">
        <f>(1.91)*B17*0.8498</f>
        <v>1055.1890118000001</v>
      </c>
      <c r="AN17" s="16">
        <f t="shared" si="10"/>
        <v>189.93402212400002</v>
      </c>
      <c r="AO17" s="16"/>
      <c r="AP17" s="16">
        <f t="shared" si="11"/>
        <v>0</v>
      </c>
      <c r="AQ17" s="109"/>
      <c r="AR17" s="109">
        <f t="shared" si="11"/>
        <v>0</v>
      </c>
      <c r="AS17" s="90">
        <v>310</v>
      </c>
      <c r="AT17" s="90"/>
      <c r="AU17" s="90">
        <f t="shared" si="12"/>
        <v>55.8</v>
      </c>
      <c r="AV17" s="110">
        <v>307</v>
      </c>
      <c r="AW17" s="125">
        <v>0.55</v>
      </c>
      <c r="AX17" s="16">
        <f t="shared" si="13"/>
        <v>223.15216000000004</v>
      </c>
      <c r="AY17" s="132"/>
      <c r="AZ17" s="112"/>
      <c r="BA17" s="130">
        <f aca="true" t="shared" si="16" ref="BA17:BA25">AZ17*0.18</f>
        <v>0</v>
      </c>
      <c r="BB17" s="113">
        <f>SUM(AG17:AU17)+AX17+AX14+AX15+AX16</f>
        <v>4372.0352272360005</v>
      </c>
      <c r="BC17" s="119"/>
      <c r="BD17" s="14">
        <f t="shared" si="14"/>
        <v>-485.2546022360002</v>
      </c>
      <c r="BE17" s="30">
        <f t="shared" si="15"/>
        <v>-1533.0900000000001</v>
      </c>
    </row>
    <row r="18" spans="1:57" ht="12.75" hidden="1">
      <c r="A18" s="11" t="s">
        <v>49</v>
      </c>
      <c r="B18" s="120">
        <v>650.1</v>
      </c>
      <c r="C18" s="98">
        <f t="shared" si="1"/>
        <v>5623.365000000001</v>
      </c>
      <c r="D18" s="121">
        <f aca="true" t="shared" si="17" ref="D18:D25">C18-E18-F18-G18-H18-I18-J18-K18-L18-M18-N18</f>
        <v>672.5050000000007</v>
      </c>
      <c r="E18" s="117">
        <v>463.49</v>
      </c>
      <c r="F18" s="117">
        <v>107.95</v>
      </c>
      <c r="G18" s="117">
        <v>627.74</v>
      </c>
      <c r="H18" s="117">
        <v>146.34</v>
      </c>
      <c r="I18" s="117">
        <v>1508.34</v>
      </c>
      <c r="J18" s="117">
        <v>351.47</v>
      </c>
      <c r="K18" s="117">
        <v>1044.88</v>
      </c>
      <c r="L18" s="117">
        <v>243.51</v>
      </c>
      <c r="M18" s="117">
        <v>370.77</v>
      </c>
      <c r="N18" s="117">
        <v>86.37</v>
      </c>
      <c r="O18" s="117">
        <v>0</v>
      </c>
      <c r="P18" s="118">
        <v>0</v>
      </c>
      <c r="Q18" s="117">
        <v>0</v>
      </c>
      <c r="R18" s="118">
        <v>0</v>
      </c>
      <c r="S18" s="86">
        <f t="shared" si="2"/>
        <v>4015.22</v>
      </c>
      <c r="T18" s="127">
        <f t="shared" si="3"/>
        <v>935.6400000000001</v>
      </c>
      <c r="U18" s="86">
        <v>268.62</v>
      </c>
      <c r="V18" s="86">
        <v>362.64</v>
      </c>
      <c r="W18" s="86">
        <v>871.92</v>
      </c>
      <c r="X18" s="86">
        <v>604.43</v>
      </c>
      <c r="Y18" s="86">
        <v>214.9</v>
      </c>
      <c r="Z18" s="114">
        <v>0</v>
      </c>
      <c r="AA18" s="114">
        <v>0</v>
      </c>
      <c r="AB18" s="108">
        <f t="shared" si="4"/>
        <v>2322.5099999999998</v>
      </c>
      <c r="AC18" s="106">
        <f t="shared" si="5"/>
        <v>3930.6550000000007</v>
      </c>
      <c r="AD18" s="95">
        <f t="shared" si="6"/>
        <v>0</v>
      </c>
      <c r="AE18" s="95">
        <f t="shared" si="7"/>
        <v>0</v>
      </c>
      <c r="AF18" s="95"/>
      <c r="AG18" s="16">
        <f aca="true" t="shared" si="18" ref="AG18:AG25">0.6*B18</f>
        <v>390.06</v>
      </c>
      <c r="AH18" s="16">
        <f>B18*0.2*1.01</f>
        <v>131.3202</v>
      </c>
      <c r="AI18" s="16">
        <f>0.85*B18</f>
        <v>552.585</v>
      </c>
      <c r="AJ18" s="16">
        <f t="shared" si="8"/>
        <v>99.4653</v>
      </c>
      <c r="AK18" s="16">
        <f>0.83*B18</f>
        <v>539.583</v>
      </c>
      <c r="AL18" s="16">
        <f t="shared" si="9"/>
        <v>97.12494</v>
      </c>
      <c r="AM18" s="16">
        <f>(1.91)*B18</f>
        <v>1241.691</v>
      </c>
      <c r="AN18" s="16">
        <f t="shared" si="10"/>
        <v>223.50438</v>
      </c>
      <c r="AO18" s="16"/>
      <c r="AP18" s="16">
        <f t="shared" si="11"/>
        <v>0</v>
      </c>
      <c r="AQ18" s="109"/>
      <c r="AR18" s="109">
        <f t="shared" si="11"/>
        <v>0</v>
      </c>
      <c r="AS18" s="90"/>
      <c r="AT18" s="90"/>
      <c r="AU18" s="90">
        <f t="shared" si="12"/>
        <v>0</v>
      </c>
      <c r="AV18" s="110">
        <v>263</v>
      </c>
      <c r="AW18" s="125">
        <v>0.55</v>
      </c>
      <c r="AX18" s="115">
        <f t="shared" si="13"/>
        <v>191.16944</v>
      </c>
      <c r="AY18" s="115"/>
      <c r="AZ18" s="130"/>
      <c r="BA18" s="130">
        <f t="shared" si="16"/>
        <v>0</v>
      </c>
      <c r="BB18" s="130">
        <f>SUM(AG18:BA18)-AV18-AW18</f>
        <v>3466.50326</v>
      </c>
      <c r="BC18" s="119"/>
      <c r="BD18" s="14">
        <f t="shared" si="14"/>
        <v>464.1517400000007</v>
      </c>
      <c r="BE18" s="30">
        <f t="shared" si="15"/>
        <v>-1692.71</v>
      </c>
    </row>
    <row r="19" spans="1:57" ht="12.75" hidden="1">
      <c r="A19" s="11" t="s">
        <v>50</v>
      </c>
      <c r="B19" s="120">
        <v>650.1</v>
      </c>
      <c r="C19" s="98">
        <f t="shared" si="1"/>
        <v>5623.365000000001</v>
      </c>
      <c r="D19" s="121">
        <f t="shared" si="17"/>
        <v>444.64500000000044</v>
      </c>
      <c r="E19" s="117">
        <v>489.83</v>
      </c>
      <c r="F19" s="117">
        <v>107.95</v>
      </c>
      <c r="G19" s="117">
        <v>663.3</v>
      </c>
      <c r="H19" s="117">
        <v>146.34</v>
      </c>
      <c r="I19" s="117">
        <v>1593.95</v>
      </c>
      <c r="J19" s="117">
        <v>351.47</v>
      </c>
      <c r="K19" s="117">
        <v>1104.14</v>
      </c>
      <c r="L19" s="117">
        <v>243.51</v>
      </c>
      <c r="M19" s="117">
        <v>391.86</v>
      </c>
      <c r="N19" s="117">
        <v>86.37</v>
      </c>
      <c r="O19" s="117">
        <v>0</v>
      </c>
      <c r="P19" s="118">
        <v>0</v>
      </c>
      <c r="Q19" s="117">
        <v>0</v>
      </c>
      <c r="R19" s="118">
        <v>0</v>
      </c>
      <c r="S19" s="85">
        <f t="shared" si="2"/>
        <v>4243.08</v>
      </c>
      <c r="T19" s="101">
        <f t="shared" si="3"/>
        <v>935.6400000000001</v>
      </c>
      <c r="U19" s="86">
        <v>677.19</v>
      </c>
      <c r="V19" s="86">
        <v>915.64</v>
      </c>
      <c r="W19" s="86">
        <v>2201.28</v>
      </c>
      <c r="X19" s="86">
        <v>1525.12</v>
      </c>
      <c r="Y19" s="86">
        <v>541.76</v>
      </c>
      <c r="Z19" s="114">
        <v>0</v>
      </c>
      <c r="AA19" s="114">
        <v>0</v>
      </c>
      <c r="AB19" s="108">
        <f t="shared" si="4"/>
        <v>5860.99</v>
      </c>
      <c r="AC19" s="106">
        <f t="shared" si="5"/>
        <v>7241.275000000001</v>
      </c>
      <c r="AD19" s="95">
        <f t="shared" si="6"/>
        <v>0</v>
      </c>
      <c r="AE19" s="95">
        <f t="shared" si="7"/>
        <v>0</v>
      </c>
      <c r="AF19" s="95"/>
      <c r="AG19" s="16">
        <f t="shared" si="18"/>
        <v>390.06</v>
      </c>
      <c r="AH19" s="16">
        <f>B19*0.2*1.01045</f>
        <v>131.37870900000001</v>
      </c>
      <c r="AI19" s="16">
        <f>0.85*B19</f>
        <v>552.585</v>
      </c>
      <c r="AJ19" s="16">
        <f t="shared" si="8"/>
        <v>99.4653</v>
      </c>
      <c r="AK19" s="16">
        <f>0.83*B19</f>
        <v>539.583</v>
      </c>
      <c r="AL19" s="16">
        <f t="shared" si="9"/>
        <v>97.12494</v>
      </c>
      <c r="AM19" s="16">
        <f>(1.91)*B19</f>
        <v>1241.691</v>
      </c>
      <c r="AN19" s="115">
        <f t="shared" si="10"/>
        <v>223.50438</v>
      </c>
      <c r="AO19" s="115"/>
      <c r="AP19" s="115">
        <f t="shared" si="11"/>
        <v>0</v>
      </c>
      <c r="AQ19" s="109"/>
      <c r="AR19" s="109">
        <f t="shared" si="11"/>
        <v>0</v>
      </c>
      <c r="AS19" s="128"/>
      <c r="AT19" s="128"/>
      <c r="AU19" s="90">
        <f t="shared" si="12"/>
        <v>0</v>
      </c>
      <c r="AV19" s="129">
        <v>233</v>
      </c>
      <c r="AW19" s="131">
        <v>0.55</v>
      </c>
      <c r="AX19" s="115">
        <f t="shared" si="13"/>
        <v>169.36304</v>
      </c>
      <c r="AY19" s="112"/>
      <c r="AZ19" s="113"/>
      <c r="BA19" s="113">
        <f t="shared" si="16"/>
        <v>0</v>
      </c>
      <c r="BB19" s="113">
        <f>SUM(AG19:BA19)-AV19-AW19</f>
        <v>3444.755369</v>
      </c>
      <c r="BC19" s="119"/>
      <c r="BD19" s="14">
        <f t="shared" si="14"/>
        <v>3796.5196310000006</v>
      </c>
      <c r="BE19" s="30">
        <f t="shared" si="15"/>
        <v>1617.9099999999999</v>
      </c>
    </row>
    <row r="20" spans="1:57" ht="12.75" hidden="1">
      <c r="A20" s="11" t="s">
        <v>51</v>
      </c>
      <c r="B20" s="133">
        <v>651.3</v>
      </c>
      <c r="C20" s="98">
        <f t="shared" si="1"/>
        <v>5633.745</v>
      </c>
      <c r="D20" s="121">
        <f t="shared" si="17"/>
        <v>448.485</v>
      </c>
      <c r="E20" s="117">
        <v>488.57</v>
      </c>
      <c r="F20" s="117">
        <v>109.96</v>
      </c>
      <c r="G20" s="117">
        <v>661.59</v>
      </c>
      <c r="H20" s="117">
        <v>149.08</v>
      </c>
      <c r="I20" s="117">
        <v>1589.84</v>
      </c>
      <c r="J20" s="117">
        <v>358.04</v>
      </c>
      <c r="K20" s="117">
        <v>1101.29</v>
      </c>
      <c r="L20" s="117">
        <v>248.06</v>
      </c>
      <c r="M20" s="117">
        <v>390.85</v>
      </c>
      <c r="N20" s="117">
        <v>87.98</v>
      </c>
      <c r="O20" s="117">
        <v>0</v>
      </c>
      <c r="P20" s="118">
        <v>0</v>
      </c>
      <c r="Q20" s="117">
        <v>0</v>
      </c>
      <c r="R20" s="118">
        <v>0</v>
      </c>
      <c r="S20" s="85">
        <f t="shared" si="2"/>
        <v>4232.14</v>
      </c>
      <c r="T20" s="101">
        <f t="shared" si="3"/>
        <v>953.1200000000001</v>
      </c>
      <c r="U20" s="86">
        <v>502.04</v>
      </c>
      <c r="V20" s="86">
        <v>679.58</v>
      </c>
      <c r="W20" s="86">
        <v>1632.24</v>
      </c>
      <c r="X20" s="86">
        <v>1131.39</v>
      </c>
      <c r="Y20" s="86">
        <v>401.6</v>
      </c>
      <c r="Z20" s="114">
        <v>0</v>
      </c>
      <c r="AA20" s="114">
        <v>0</v>
      </c>
      <c r="AB20" s="108">
        <f t="shared" si="4"/>
        <v>4346.85</v>
      </c>
      <c r="AC20" s="106">
        <f t="shared" si="5"/>
        <v>5748.455</v>
      </c>
      <c r="AD20" s="95">
        <f t="shared" si="6"/>
        <v>0</v>
      </c>
      <c r="AE20" s="95">
        <f t="shared" si="7"/>
        <v>0</v>
      </c>
      <c r="AF20" s="95"/>
      <c r="AG20" s="16">
        <f t="shared" si="18"/>
        <v>390.78</v>
      </c>
      <c r="AH20" s="16">
        <f>B20*0.2*0.99425</f>
        <v>129.51100499999998</v>
      </c>
      <c r="AI20" s="115">
        <f>0.85*B20*0.9858</f>
        <v>545.7438089999999</v>
      </c>
      <c r="AJ20" s="16">
        <f t="shared" si="8"/>
        <v>98.23388561999998</v>
      </c>
      <c r="AK20" s="115">
        <f>0.83*B20*0.9905</f>
        <v>535.4434995</v>
      </c>
      <c r="AL20" s="16">
        <f t="shared" si="9"/>
        <v>96.37982991</v>
      </c>
      <c r="AM20" s="115">
        <f>(1.91)*B20*0.9904</f>
        <v>1232.0407632</v>
      </c>
      <c r="AN20" s="115">
        <f t="shared" si="10"/>
        <v>221.76733737599997</v>
      </c>
      <c r="AO20" s="115"/>
      <c r="AP20" s="115">
        <f t="shared" si="11"/>
        <v>0</v>
      </c>
      <c r="AQ20" s="109"/>
      <c r="AR20" s="109">
        <f t="shared" si="11"/>
        <v>0</v>
      </c>
      <c r="AS20" s="128">
        <v>3887</v>
      </c>
      <c r="AT20" s="90"/>
      <c r="AU20" s="90">
        <f t="shared" si="12"/>
        <v>699.66</v>
      </c>
      <c r="AV20" s="129">
        <v>248</v>
      </c>
      <c r="AW20" s="131">
        <v>0.55</v>
      </c>
      <c r="AX20" s="115">
        <f t="shared" si="13"/>
        <v>180.26624000000004</v>
      </c>
      <c r="AY20" s="112"/>
      <c r="AZ20" s="113"/>
      <c r="BA20" s="113">
        <f t="shared" si="16"/>
        <v>0</v>
      </c>
      <c r="BB20" s="113">
        <f>SUM(AG20:BA20)-AV20-AW20</f>
        <v>8016.826369605999</v>
      </c>
      <c r="BC20" s="119"/>
      <c r="BD20" s="14">
        <f t="shared" si="14"/>
        <v>-2268.3713696059995</v>
      </c>
      <c r="BE20" s="30">
        <f t="shared" si="15"/>
        <v>114.71000000000004</v>
      </c>
    </row>
    <row r="21" spans="1:57" ht="12.75" hidden="1">
      <c r="A21" s="11" t="s">
        <v>52</v>
      </c>
      <c r="B21" s="133">
        <v>651.3</v>
      </c>
      <c r="C21" s="98">
        <f t="shared" si="1"/>
        <v>5633.745</v>
      </c>
      <c r="D21" s="121">
        <f t="shared" si="17"/>
        <v>456.46500000000003</v>
      </c>
      <c r="E21" s="117">
        <v>483.38</v>
      </c>
      <c r="F21" s="117">
        <v>114.21</v>
      </c>
      <c r="G21" s="117">
        <v>654.63</v>
      </c>
      <c r="H21" s="117">
        <v>154.82</v>
      </c>
      <c r="I21" s="117">
        <v>1573.04</v>
      </c>
      <c r="J21" s="117">
        <v>371.83</v>
      </c>
      <c r="K21" s="117">
        <v>1089.67</v>
      </c>
      <c r="L21" s="117">
        <v>257.62</v>
      </c>
      <c r="M21" s="117">
        <v>386.71</v>
      </c>
      <c r="N21" s="117">
        <v>91.37</v>
      </c>
      <c r="O21" s="117">
        <v>0</v>
      </c>
      <c r="P21" s="118">
        <v>0</v>
      </c>
      <c r="Q21" s="86">
        <v>0</v>
      </c>
      <c r="R21" s="86">
        <v>0</v>
      </c>
      <c r="S21" s="85">
        <f t="shared" si="2"/>
        <v>4187.43</v>
      </c>
      <c r="T21" s="101">
        <f t="shared" si="3"/>
        <v>989.8499999999999</v>
      </c>
      <c r="U21" s="86">
        <v>445.43</v>
      </c>
      <c r="V21" s="86">
        <v>602.93</v>
      </c>
      <c r="W21" s="86">
        <v>1448.42</v>
      </c>
      <c r="X21" s="86">
        <v>1003.75</v>
      </c>
      <c r="Y21" s="86">
        <v>356.37</v>
      </c>
      <c r="Z21" s="114">
        <v>0</v>
      </c>
      <c r="AA21" s="114">
        <v>0</v>
      </c>
      <c r="AB21" s="108">
        <f t="shared" si="4"/>
        <v>3856.8999999999996</v>
      </c>
      <c r="AC21" s="106">
        <f t="shared" si="5"/>
        <v>5303.215</v>
      </c>
      <c r="AD21" s="95">
        <f t="shared" si="6"/>
        <v>0</v>
      </c>
      <c r="AE21" s="95">
        <f t="shared" si="7"/>
        <v>0</v>
      </c>
      <c r="AF21" s="95"/>
      <c r="AG21" s="16">
        <f t="shared" si="18"/>
        <v>390.78</v>
      </c>
      <c r="AH21" s="16">
        <f>B21*0.2*0.99876</f>
        <v>130.0984776</v>
      </c>
      <c r="AI21" s="16">
        <f>0.85*B21*0.98525</f>
        <v>545.4393262499999</v>
      </c>
      <c r="AJ21" s="16">
        <f t="shared" si="8"/>
        <v>98.17907872499998</v>
      </c>
      <c r="AK21" s="16">
        <f>0.83*B21*0.99</f>
        <v>535.1732099999999</v>
      </c>
      <c r="AL21" s="16">
        <f t="shared" si="9"/>
        <v>96.33117779999998</v>
      </c>
      <c r="AM21" s="16">
        <f>(1.91)*B21*0.9899</f>
        <v>1231.4187717</v>
      </c>
      <c r="AN21" s="115">
        <f t="shared" si="10"/>
        <v>221.65537890599998</v>
      </c>
      <c r="AO21" s="115"/>
      <c r="AP21" s="115">
        <f t="shared" si="11"/>
        <v>0</v>
      </c>
      <c r="AQ21" s="109"/>
      <c r="AR21" s="109">
        <f t="shared" si="11"/>
        <v>0</v>
      </c>
      <c r="AS21" s="128">
        <v>7621</v>
      </c>
      <c r="AT21" s="90"/>
      <c r="AU21" s="90">
        <f t="shared" si="12"/>
        <v>1371.78</v>
      </c>
      <c r="AV21" s="129">
        <v>293</v>
      </c>
      <c r="AW21" s="131">
        <v>0.55</v>
      </c>
      <c r="AX21" s="115">
        <f t="shared" si="13"/>
        <v>212.97584000000003</v>
      </c>
      <c r="AY21" s="112"/>
      <c r="AZ21" s="113"/>
      <c r="BA21" s="113">
        <f t="shared" si="16"/>
        <v>0</v>
      </c>
      <c r="BB21" s="113">
        <f>SUM(AG21:BA21)-AV21-AW21</f>
        <v>12454.831260981</v>
      </c>
      <c r="BC21" s="119"/>
      <c r="BD21" s="14">
        <f t="shared" si="14"/>
        <v>-7151.616260981</v>
      </c>
      <c r="BE21" s="30">
        <f>AB21-S21</f>
        <v>-330.53000000000065</v>
      </c>
    </row>
    <row r="22" spans="1:57" ht="12.75" hidden="1">
      <c r="A22" s="11" t="s">
        <v>53</v>
      </c>
      <c r="B22" s="97">
        <v>651.3</v>
      </c>
      <c r="C22" s="98">
        <f t="shared" si="1"/>
        <v>5633.745</v>
      </c>
      <c r="D22" s="121">
        <f t="shared" si="17"/>
        <v>455.1850000000005</v>
      </c>
      <c r="E22" s="100">
        <v>483.52</v>
      </c>
      <c r="F22" s="100">
        <v>114.21</v>
      </c>
      <c r="G22" s="100">
        <v>654.85</v>
      </c>
      <c r="H22" s="100">
        <v>154.82</v>
      </c>
      <c r="I22" s="100">
        <v>1573.53</v>
      </c>
      <c r="J22" s="100">
        <v>371.83</v>
      </c>
      <c r="K22" s="100">
        <v>1089.99</v>
      </c>
      <c r="L22" s="100">
        <v>257.62</v>
      </c>
      <c r="M22" s="100">
        <v>386.82</v>
      </c>
      <c r="N22" s="100">
        <v>91.37</v>
      </c>
      <c r="O22" s="117">
        <v>0</v>
      </c>
      <c r="P22" s="118">
        <v>0</v>
      </c>
      <c r="Q22" s="86">
        <v>0</v>
      </c>
      <c r="R22" s="86">
        <v>0</v>
      </c>
      <c r="S22" s="85">
        <f t="shared" si="2"/>
        <v>4188.709999999999</v>
      </c>
      <c r="T22" s="101">
        <f t="shared" si="3"/>
        <v>989.8499999999999</v>
      </c>
      <c r="U22" s="85">
        <v>447.55</v>
      </c>
      <c r="V22" s="85">
        <v>605.91</v>
      </c>
      <c r="W22" s="85">
        <v>1455.48</v>
      </c>
      <c r="X22" s="85">
        <v>1008.67</v>
      </c>
      <c r="Y22" s="85">
        <v>358.03</v>
      </c>
      <c r="Z22" s="102">
        <v>0</v>
      </c>
      <c r="AA22" s="102">
        <v>0</v>
      </c>
      <c r="AB22" s="108">
        <f t="shared" si="4"/>
        <v>3875.6400000000003</v>
      </c>
      <c r="AC22" s="106">
        <f t="shared" si="5"/>
        <v>5320.675000000001</v>
      </c>
      <c r="AD22" s="95">
        <f t="shared" si="6"/>
        <v>0</v>
      </c>
      <c r="AE22" s="95">
        <f t="shared" si="7"/>
        <v>0</v>
      </c>
      <c r="AF22" s="95"/>
      <c r="AG22" s="16">
        <f t="shared" si="18"/>
        <v>390.78</v>
      </c>
      <c r="AH22" s="16">
        <f>B22*0.2*0.9996</f>
        <v>130.207896</v>
      </c>
      <c r="AI22" s="16">
        <f>0.85*B22*0.98508</f>
        <v>545.3452133999999</v>
      </c>
      <c r="AJ22" s="16">
        <f t="shared" si="8"/>
        <v>98.16213841199998</v>
      </c>
      <c r="AK22" s="16">
        <f>0.83*B22*0.98981</f>
        <v>535.0704999899999</v>
      </c>
      <c r="AL22" s="16">
        <f t="shared" si="9"/>
        <v>96.31268999819999</v>
      </c>
      <c r="AM22" s="16">
        <f>(1.91)*B22*0.98981</f>
        <v>1231.30681323</v>
      </c>
      <c r="AN22" s="115">
        <f t="shared" si="10"/>
        <v>221.6352263814</v>
      </c>
      <c r="AO22" s="115"/>
      <c r="AP22" s="115">
        <f t="shared" si="11"/>
        <v>0</v>
      </c>
      <c r="AQ22" s="109"/>
      <c r="AR22" s="109">
        <f t="shared" si="11"/>
        <v>0</v>
      </c>
      <c r="AS22" s="128"/>
      <c r="AT22" s="90"/>
      <c r="AU22" s="90">
        <f t="shared" si="12"/>
        <v>0</v>
      </c>
      <c r="AV22" s="129">
        <v>349</v>
      </c>
      <c r="AW22" s="131">
        <v>0.55</v>
      </c>
      <c r="AX22" s="115">
        <f t="shared" si="13"/>
        <v>253.68112000000002</v>
      </c>
      <c r="AY22" s="112"/>
      <c r="AZ22" s="113"/>
      <c r="BA22" s="113">
        <f t="shared" si="16"/>
        <v>0</v>
      </c>
      <c r="BB22" s="113">
        <f>SUM(AG22:BA22)-AV22-AW22</f>
        <v>3502.5015974116</v>
      </c>
      <c r="BC22" s="119"/>
      <c r="BD22" s="14">
        <f t="shared" si="14"/>
        <v>1818.1734025884011</v>
      </c>
      <c r="BE22" s="30">
        <f>AB22-S22</f>
        <v>-313.0699999999988</v>
      </c>
    </row>
    <row r="23" spans="1:57" ht="12.75" hidden="1">
      <c r="A23" s="11" t="s">
        <v>41</v>
      </c>
      <c r="B23" s="97">
        <v>651.3</v>
      </c>
      <c r="C23" s="122">
        <f t="shared" si="1"/>
        <v>5633.745</v>
      </c>
      <c r="D23" s="121">
        <f t="shared" si="17"/>
        <v>456.475</v>
      </c>
      <c r="E23" s="87">
        <v>483.39</v>
      </c>
      <c r="F23" s="85">
        <v>114.2</v>
      </c>
      <c r="G23" s="85">
        <v>654.63</v>
      </c>
      <c r="H23" s="85">
        <v>154.82</v>
      </c>
      <c r="I23" s="85">
        <v>1573.03</v>
      </c>
      <c r="J23" s="85">
        <v>371.84</v>
      </c>
      <c r="K23" s="85">
        <v>1089.68</v>
      </c>
      <c r="L23" s="85">
        <v>257.61</v>
      </c>
      <c r="M23" s="85">
        <v>386.69</v>
      </c>
      <c r="N23" s="85">
        <v>91.38</v>
      </c>
      <c r="O23" s="85">
        <v>0</v>
      </c>
      <c r="P23" s="102">
        <v>0</v>
      </c>
      <c r="Q23" s="85">
        <v>0</v>
      </c>
      <c r="R23" s="85">
        <v>0</v>
      </c>
      <c r="S23" s="85">
        <f t="shared" si="2"/>
        <v>4187.42</v>
      </c>
      <c r="T23" s="101">
        <f t="shared" si="3"/>
        <v>989.8499999999999</v>
      </c>
      <c r="U23" s="88">
        <f>217.37+296.68</f>
        <v>514.05</v>
      </c>
      <c r="V23" s="85">
        <f>294.34+401.46</f>
        <v>695.8</v>
      </c>
      <c r="W23" s="85">
        <f>707.37+964.46</f>
        <v>1671.83</v>
      </c>
      <c r="X23" s="85">
        <f>489.99+668.48</f>
        <v>1158.47</v>
      </c>
      <c r="Y23" s="85">
        <f>173.88+237.34</f>
        <v>411.22</v>
      </c>
      <c r="Z23" s="102">
        <v>0</v>
      </c>
      <c r="AA23" s="102">
        <v>0</v>
      </c>
      <c r="AB23" s="102">
        <f>SUM(U23:AA23)</f>
        <v>4451.37</v>
      </c>
      <c r="AC23" s="106">
        <f>AB23+T23+D23</f>
        <v>5897.695</v>
      </c>
      <c r="AD23" s="95">
        <f t="shared" si="6"/>
        <v>0</v>
      </c>
      <c r="AE23" s="95">
        <f t="shared" si="7"/>
        <v>0</v>
      </c>
      <c r="AF23" s="95"/>
      <c r="AG23" s="16">
        <f t="shared" si="18"/>
        <v>390.78</v>
      </c>
      <c r="AH23" s="16">
        <f>B23*0.2</f>
        <v>130.26</v>
      </c>
      <c r="AI23" s="16">
        <f>(0.847*B23)</f>
        <v>551.6510999999999</v>
      </c>
      <c r="AJ23" s="16">
        <f t="shared" si="8"/>
        <v>99.29719799999998</v>
      </c>
      <c r="AK23" s="16">
        <f>0.83*B23</f>
        <v>540.579</v>
      </c>
      <c r="AL23" s="16">
        <f t="shared" si="9"/>
        <v>97.30421999999999</v>
      </c>
      <c r="AM23" s="16">
        <f>(2.25/1.18)*B23</f>
        <v>1241.885593220339</v>
      </c>
      <c r="AN23" s="16">
        <f t="shared" si="10"/>
        <v>223.539406779661</v>
      </c>
      <c r="AO23" s="16"/>
      <c r="AP23" s="16">
        <f t="shared" si="11"/>
        <v>0</v>
      </c>
      <c r="AQ23" s="109"/>
      <c r="AR23" s="109">
        <f t="shared" si="11"/>
        <v>0</v>
      </c>
      <c r="AS23" s="90">
        <v>0</v>
      </c>
      <c r="AT23" s="90"/>
      <c r="AU23" s="90">
        <f t="shared" si="12"/>
        <v>0</v>
      </c>
      <c r="AV23" s="110">
        <v>425</v>
      </c>
      <c r="AW23" s="125">
        <v>0.55</v>
      </c>
      <c r="AX23" s="16">
        <f t="shared" si="13"/>
        <v>308.9240000000001</v>
      </c>
      <c r="AY23" s="112"/>
      <c r="AZ23" s="126"/>
      <c r="BA23" s="113">
        <f t="shared" si="16"/>
        <v>0</v>
      </c>
      <c r="BB23" s="113">
        <f>SUM(AG23:AU23)+AX23+AY23+AZ23+BA23</f>
        <v>3584.2205179999996</v>
      </c>
      <c r="BC23" s="119"/>
      <c r="BD23" s="14">
        <f t="shared" si="14"/>
        <v>2313.474482</v>
      </c>
      <c r="BE23" s="30">
        <f>AB23-S23</f>
        <v>263.9499999999998</v>
      </c>
    </row>
    <row r="24" spans="1:57" ht="12.75" hidden="1">
      <c r="A24" s="11" t="s">
        <v>42</v>
      </c>
      <c r="B24" s="133">
        <v>651.3</v>
      </c>
      <c r="C24" s="122">
        <f t="shared" si="1"/>
        <v>5633.745</v>
      </c>
      <c r="D24" s="121">
        <f t="shared" si="17"/>
        <v>455.46500000000003</v>
      </c>
      <c r="E24" s="100">
        <v>483.38</v>
      </c>
      <c r="F24" s="100">
        <v>114.21</v>
      </c>
      <c r="G24" s="100">
        <v>654.63</v>
      </c>
      <c r="H24" s="100">
        <v>154.82</v>
      </c>
      <c r="I24" s="100">
        <v>1574.04</v>
      </c>
      <c r="J24" s="100">
        <v>371.83</v>
      </c>
      <c r="K24" s="100">
        <v>1089.67</v>
      </c>
      <c r="L24" s="100">
        <v>257.62</v>
      </c>
      <c r="M24" s="100">
        <v>386.71</v>
      </c>
      <c r="N24" s="100">
        <v>91.37</v>
      </c>
      <c r="O24" s="100">
        <v>0</v>
      </c>
      <c r="P24" s="107">
        <v>0</v>
      </c>
      <c r="Q24" s="107">
        <v>0</v>
      </c>
      <c r="R24" s="107">
        <v>0</v>
      </c>
      <c r="S24" s="85">
        <f t="shared" si="2"/>
        <v>4188.43</v>
      </c>
      <c r="T24" s="101">
        <f t="shared" si="3"/>
        <v>989.8499999999999</v>
      </c>
      <c r="U24" s="85">
        <v>412.59</v>
      </c>
      <c r="V24" s="85">
        <v>558.91</v>
      </c>
      <c r="W24" s="85">
        <v>1342.05</v>
      </c>
      <c r="X24" s="85">
        <v>930.25</v>
      </c>
      <c r="Y24" s="85">
        <v>330.08</v>
      </c>
      <c r="Z24" s="102">
        <v>0</v>
      </c>
      <c r="AA24" s="102">
        <v>0</v>
      </c>
      <c r="AB24" s="107">
        <f>SUM(U24:AA24)</f>
        <v>3573.88</v>
      </c>
      <c r="AC24" s="106">
        <f>D24+T24+AB24</f>
        <v>5019.195</v>
      </c>
      <c r="AD24" s="95">
        <f t="shared" si="6"/>
        <v>0</v>
      </c>
      <c r="AE24" s="95">
        <f t="shared" si="7"/>
        <v>0</v>
      </c>
      <c r="AF24" s="95"/>
      <c r="AG24" s="16">
        <f t="shared" si="18"/>
        <v>390.78</v>
      </c>
      <c r="AH24" s="16">
        <f>B24*0.2</f>
        <v>130.26</v>
      </c>
      <c r="AI24" s="16">
        <f>0.85*B24</f>
        <v>553.6049999999999</v>
      </c>
      <c r="AJ24" s="16">
        <f t="shared" si="8"/>
        <v>99.64889999999998</v>
      </c>
      <c r="AK24" s="16">
        <f>0.83*B24</f>
        <v>540.579</v>
      </c>
      <c r="AL24" s="16">
        <f t="shared" si="9"/>
        <v>97.30421999999999</v>
      </c>
      <c r="AM24" s="16">
        <f>(1.91)*B24</f>
        <v>1243.983</v>
      </c>
      <c r="AN24" s="16">
        <f t="shared" si="10"/>
        <v>223.91693999999998</v>
      </c>
      <c r="AO24" s="16"/>
      <c r="AP24" s="16">
        <f t="shared" si="11"/>
        <v>0</v>
      </c>
      <c r="AQ24" s="109"/>
      <c r="AR24" s="109">
        <f t="shared" si="11"/>
        <v>0</v>
      </c>
      <c r="AS24" s="90">
        <v>0</v>
      </c>
      <c r="AT24" s="90"/>
      <c r="AU24" s="90">
        <f t="shared" si="12"/>
        <v>0</v>
      </c>
      <c r="AV24" s="110">
        <v>470</v>
      </c>
      <c r="AW24" s="125">
        <v>0.55</v>
      </c>
      <c r="AX24" s="16">
        <f t="shared" si="13"/>
        <v>341.6336</v>
      </c>
      <c r="AY24" s="112"/>
      <c r="AZ24" s="113"/>
      <c r="BA24" s="113">
        <f t="shared" si="16"/>
        <v>0</v>
      </c>
      <c r="BB24" s="113">
        <f>SUM(AG24:AU24)+AX24+AY24+AZ24+BA24</f>
        <v>3621.7106599999997</v>
      </c>
      <c r="BC24" s="123"/>
      <c r="BD24" s="14">
        <f>AC24+AF24-BB24-BC24</f>
        <v>1397.48434</v>
      </c>
      <c r="BE24" s="30">
        <f>AB24-S24</f>
        <v>-614.5500000000002</v>
      </c>
    </row>
    <row r="25" spans="1:57" ht="12.75" hidden="1">
      <c r="A25" s="11" t="s">
        <v>43</v>
      </c>
      <c r="B25" s="97">
        <v>651.3</v>
      </c>
      <c r="C25" s="122">
        <f t="shared" si="1"/>
        <v>5633.745</v>
      </c>
      <c r="D25" s="121">
        <f t="shared" si="17"/>
        <v>444.64500000000123</v>
      </c>
      <c r="E25" s="100">
        <v>484.77</v>
      </c>
      <c r="F25" s="100">
        <v>114.21</v>
      </c>
      <c r="G25" s="100">
        <v>656.44</v>
      </c>
      <c r="H25" s="100">
        <v>154.82</v>
      </c>
      <c r="I25" s="100">
        <v>1577.49</v>
      </c>
      <c r="J25" s="100">
        <v>371.83</v>
      </c>
      <c r="K25" s="100">
        <v>1092.73</v>
      </c>
      <c r="L25" s="100">
        <v>257.62</v>
      </c>
      <c r="M25" s="100">
        <v>387.82</v>
      </c>
      <c r="N25" s="100">
        <v>91.37</v>
      </c>
      <c r="O25" s="100">
        <v>0</v>
      </c>
      <c r="P25" s="107">
        <v>0</v>
      </c>
      <c r="Q25" s="107"/>
      <c r="R25" s="107"/>
      <c r="S25" s="85">
        <f t="shared" si="2"/>
        <v>4199.25</v>
      </c>
      <c r="T25" s="101">
        <f t="shared" si="3"/>
        <v>989.8499999999999</v>
      </c>
      <c r="U25" s="85">
        <v>531.16</v>
      </c>
      <c r="V25" s="85">
        <v>719.02</v>
      </c>
      <c r="W25" s="85">
        <v>1727.36</v>
      </c>
      <c r="X25" s="85">
        <v>1197.05</v>
      </c>
      <c r="Y25" s="85">
        <v>424.95</v>
      </c>
      <c r="Z25" s="102">
        <v>0</v>
      </c>
      <c r="AA25" s="102">
        <v>0</v>
      </c>
      <c r="AB25" s="107">
        <f>SUM(U25:AA25)</f>
        <v>4599.54</v>
      </c>
      <c r="AC25" s="106">
        <f>D25+T25+AB25</f>
        <v>6034.035000000002</v>
      </c>
      <c r="AD25" s="95">
        <f t="shared" si="6"/>
        <v>0</v>
      </c>
      <c r="AE25" s="95">
        <f t="shared" si="7"/>
        <v>0</v>
      </c>
      <c r="AF25" s="95"/>
      <c r="AG25" s="16">
        <f t="shared" si="18"/>
        <v>390.78</v>
      </c>
      <c r="AH25" s="16">
        <f>B25*0.2</f>
        <v>130.26</v>
      </c>
      <c r="AI25" s="16">
        <f>0.85*B25</f>
        <v>553.6049999999999</v>
      </c>
      <c r="AJ25" s="16">
        <f t="shared" si="8"/>
        <v>99.64889999999998</v>
      </c>
      <c r="AK25" s="16">
        <f>0.83*B25</f>
        <v>540.579</v>
      </c>
      <c r="AL25" s="16">
        <f t="shared" si="9"/>
        <v>97.30421999999999</v>
      </c>
      <c r="AM25" s="16">
        <f>(1.91)*B25</f>
        <v>1243.983</v>
      </c>
      <c r="AN25" s="16">
        <f t="shared" si="10"/>
        <v>223.91693999999998</v>
      </c>
      <c r="AO25" s="16"/>
      <c r="AP25" s="16">
        <f t="shared" si="11"/>
        <v>0</v>
      </c>
      <c r="AQ25" s="109"/>
      <c r="AR25" s="109">
        <f t="shared" si="11"/>
        <v>0</v>
      </c>
      <c r="AS25" s="90">
        <v>0</v>
      </c>
      <c r="AT25" s="90"/>
      <c r="AU25" s="90">
        <f t="shared" si="12"/>
        <v>0</v>
      </c>
      <c r="AV25" s="110">
        <v>514</v>
      </c>
      <c r="AW25" s="125">
        <v>0.55</v>
      </c>
      <c r="AX25" s="16">
        <f t="shared" si="13"/>
        <v>373.6163200000001</v>
      </c>
      <c r="AY25" s="112"/>
      <c r="AZ25" s="113"/>
      <c r="BA25" s="113">
        <f t="shared" si="16"/>
        <v>0</v>
      </c>
      <c r="BB25" s="113">
        <f>SUM(AG25:BA25)-AV25-AW25</f>
        <v>3653.6933799999997</v>
      </c>
      <c r="BC25" s="123"/>
      <c r="BD25" s="14">
        <f t="shared" si="14"/>
        <v>2380.341620000002</v>
      </c>
      <c r="BE25" s="30">
        <f>AB25-S25</f>
        <v>400.28999999999996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67542.66000000002</v>
      </c>
      <c r="D26" s="60">
        <f t="shared" si="19"/>
        <v>6645.552500000003</v>
      </c>
      <c r="E26" s="57">
        <f t="shared" si="19"/>
        <v>5658.17</v>
      </c>
      <c r="F26" s="57">
        <f t="shared" si="19"/>
        <v>1280.7400000000002</v>
      </c>
      <c r="G26" s="57">
        <f t="shared" si="19"/>
        <v>7654.950000000001</v>
      </c>
      <c r="H26" s="57">
        <f t="shared" si="19"/>
        <v>1734.06</v>
      </c>
      <c r="I26" s="57">
        <f t="shared" si="19"/>
        <v>18406.320000000003</v>
      </c>
      <c r="J26" s="57">
        <f t="shared" si="19"/>
        <v>4167.62</v>
      </c>
      <c r="K26" s="57">
        <f t="shared" si="19"/>
        <v>12747.31</v>
      </c>
      <c r="L26" s="57">
        <f t="shared" si="19"/>
        <v>2886.81</v>
      </c>
      <c r="M26" s="57">
        <f t="shared" si="19"/>
        <v>4526.54</v>
      </c>
      <c r="N26" s="57">
        <f t="shared" si="19"/>
        <v>1024.6599999999999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48993.29</v>
      </c>
      <c r="T26" s="57">
        <f t="shared" si="19"/>
        <v>11093.890000000001</v>
      </c>
      <c r="U26" s="61">
        <f t="shared" si="19"/>
        <v>5210.52</v>
      </c>
      <c r="V26" s="61">
        <f t="shared" si="19"/>
        <v>7046.5599999999995</v>
      </c>
      <c r="W26" s="61">
        <f t="shared" si="19"/>
        <v>16939.28</v>
      </c>
      <c r="X26" s="61">
        <f t="shared" si="19"/>
        <v>11736.009999999998</v>
      </c>
      <c r="Y26" s="61">
        <f t="shared" si="19"/>
        <v>4168.46</v>
      </c>
      <c r="Z26" s="61">
        <f t="shared" si="19"/>
        <v>0</v>
      </c>
      <c r="AA26" s="61">
        <f t="shared" si="19"/>
        <v>0</v>
      </c>
      <c r="AB26" s="61">
        <f t="shared" si="19"/>
        <v>45100.83</v>
      </c>
      <c r="AC26" s="61">
        <f t="shared" si="19"/>
        <v>62840.27250000001</v>
      </c>
      <c r="AD26" s="61">
        <f t="shared" si="19"/>
        <v>0</v>
      </c>
      <c r="AE26" s="93">
        <f t="shared" si="19"/>
        <v>0</v>
      </c>
      <c r="AF26" s="93">
        <f t="shared" si="19"/>
        <v>0</v>
      </c>
      <c r="AG26" s="18">
        <f t="shared" si="19"/>
        <v>4529.015999999999</v>
      </c>
      <c r="AH26" s="18">
        <f t="shared" si="19"/>
        <v>1516.2860456</v>
      </c>
      <c r="AI26" s="18">
        <f t="shared" si="19"/>
        <v>6331.00514615</v>
      </c>
      <c r="AJ26" s="18">
        <f t="shared" si="19"/>
        <v>1139.5809263069998</v>
      </c>
      <c r="AK26" s="18">
        <f t="shared" si="19"/>
        <v>6154.608026189999</v>
      </c>
      <c r="AL26" s="18">
        <f t="shared" si="19"/>
        <v>1107.8294447141998</v>
      </c>
      <c r="AM26" s="18">
        <f t="shared" si="19"/>
        <v>14160.543278150337</v>
      </c>
      <c r="AN26" s="18">
        <f t="shared" si="19"/>
        <v>2548.8977900670607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14987</v>
      </c>
      <c r="AT26" s="18">
        <f>SUM(AT14:AT25)</f>
        <v>0</v>
      </c>
      <c r="AU26" s="18">
        <f>SUM(AU14:AU25)</f>
        <v>2697.67</v>
      </c>
      <c r="AV26" s="18"/>
      <c r="AW26" s="18"/>
      <c r="AX26" s="18">
        <f t="shared" si="19"/>
        <v>3198.272000000001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58370.7086571786</v>
      </c>
      <c r="BC26" s="18">
        <f t="shared" si="19"/>
        <v>0</v>
      </c>
      <c r="BD26" s="18">
        <f>SUM(BD14:BD25)</f>
        <v>4469.563842821405</v>
      </c>
      <c r="BE26" s="19">
        <f>SUM(BE14:BE25)</f>
        <v>-3892.4600000000028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4"/>
      <c r="AD27" s="94"/>
      <c r="AE27" s="95"/>
      <c r="AF27" s="95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9"/>
      <c r="AT27" s="89"/>
      <c r="AU27" s="90"/>
      <c r="AV27" s="90"/>
      <c r="AW27" s="90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84412.75500000002</v>
      </c>
      <c r="D28" s="23">
        <f>D12+D26</f>
        <v>10706.240600150004</v>
      </c>
      <c r="E28" s="50">
        <f aca="true" t="shared" si="20" ref="E28:BC28">E12+E26</f>
        <v>6980.98</v>
      </c>
      <c r="F28" s="50">
        <f t="shared" si="20"/>
        <v>1568.6200000000003</v>
      </c>
      <c r="G28" s="50">
        <f t="shared" si="20"/>
        <v>9440.78</v>
      </c>
      <c r="H28" s="50">
        <f t="shared" si="20"/>
        <v>2122.71</v>
      </c>
      <c r="I28" s="50">
        <f t="shared" si="20"/>
        <v>22705.510000000002</v>
      </c>
      <c r="J28" s="50">
        <f t="shared" si="20"/>
        <v>5103.23</v>
      </c>
      <c r="K28" s="50">
        <f t="shared" si="20"/>
        <v>15723.699999999999</v>
      </c>
      <c r="L28" s="50">
        <f t="shared" si="20"/>
        <v>3534.54</v>
      </c>
      <c r="M28" s="50">
        <f t="shared" si="20"/>
        <v>5584.82</v>
      </c>
      <c r="N28" s="50">
        <f>N12+N26</f>
        <v>1254.9699999999998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60435.79</v>
      </c>
      <c r="T28" s="50">
        <f t="shared" si="20"/>
        <v>13584.070000000002</v>
      </c>
      <c r="U28" s="53">
        <f t="shared" si="20"/>
        <v>5974.150000000001</v>
      </c>
      <c r="V28" s="53">
        <f t="shared" si="20"/>
        <v>8077.449999999999</v>
      </c>
      <c r="W28" s="53">
        <f t="shared" si="20"/>
        <v>19429.449999999997</v>
      </c>
      <c r="X28" s="53">
        <f t="shared" si="20"/>
        <v>13454.169999999998</v>
      </c>
      <c r="Y28" s="53">
        <f t="shared" si="20"/>
        <v>4779.36</v>
      </c>
      <c r="Z28" s="53">
        <f t="shared" si="20"/>
        <v>0</v>
      </c>
      <c r="AA28" s="53">
        <f t="shared" si="20"/>
        <v>0</v>
      </c>
      <c r="AB28" s="53">
        <f t="shared" si="20"/>
        <v>51714.58</v>
      </c>
      <c r="AC28" s="53">
        <f t="shared" si="20"/>
        <v>76004.89060015001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5699.195999999999</v>
      </c>
      <c r="AH28" s="23">
        <f t="shared" si="20"/>
        <v>1917.8528156000002</v>
      </c>
      <c r="AI28" s="23">
        <f t="shared" si="20"/>
        <v>7990.65843815</v>
      </c>
      <c r="AJ28" s="23">
        <f t="shared" si="20"/>
        <v>1438.3185188669997</v>
      </c>
      <c r="AK28" s="23">
        <f t="shared" si="20"/>
        <v>8085.919385309999</v>
      </c>
      <c r="AL28" s="23">
        <f t="shared" si="20"/>
        <v>1455.4654893557997</v>
      </c>
      <c r="AM28" s="23">
        <f t="shared" si="20"/>
        <v>17707.470870380337</v>
      </c>
      <c r="AN28" s="23">
        <f t="shared" si="20"/>
        <v>3187.344756668461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18429.73</v>
      </c>
      <c r="AT28" s="23">
        <f t="shared" si="20"/>
        <v>0</v>
      </c>
      <c r="AU28" s="23">
        <f t="shared" si="20"/>
        <v>3317.3614</v>
      </c>
      <c r="AV28" s="23"/>
      <c r="AW28" s="23"/>
      <c r="AX28" s="23">
        <f t="shared" si="20"/>
        <v>3198.272000000001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72427.5896743316</v>
      </c>
      <c r="BC28" s="23">
        <f t="shared" si="20"/>
        <v>0</v>
      </c>
      <c r="BD28" s="23">
        <f>BD12+BD26</f>
        <v>3577.3009258184056</v>
      </c>
      <c r="BE28" s="24">
        <f>BE12+BE26</f>
        <v>-8721.210000000005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1"/>
      <c r="AD29" s="91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7">
        <v>651.3</v>
      </c>
      <c r="C30" s="122">
        <f aca="true" t="shared" si="21" ref="C30:C41">B30*8.65</f>
        <v>5633.745</v>
      </c>
      <c r="D30" s="121">
        <f aca="true" t="shared" si="22" ref="D30:D41">C30-E30-F30-G30-H30-I30-J30-K30-L30-M30-N30</f>
        <v>444.6550000000012</v>
      </c>
      <c r="E30" s="100">
        <v>484.77</v>
      </c>
      <c r="F30" s="100">
        <v>114.21</v>
      </c>
      <c r="G30" s="100">
        <v>656.44</v>
      </c>
      <c r="H30" s="100">
        <v>154.82</v>
      </c>
      <c r="I30" s="100">
        <v>1577.49</v>
      </c>
      <c r="J30" s="100">
        <v>371.83</v>
      </c>
      <c r="K30" s="100">
        <v>1092.72</v>
      </c>
      <c r="L30" s="100">
        <v>257.62</v>
      </c>
      <c r="M30" s="100">
        <v>387.82</v>
      </c>
      <c r="N30" s="100">
        <v>91.37</v>
      </c>
      <c r="O30" s="100">
        <v>0</v>
      </c>
      <c r="P30" s="107">
        <v>0</v>
      </c>
      <c r="Q30" s="107"/>
      <c r="R30" s="107"/>
      <c r="S30" s="85">
        <f aca="true" t="shared" si="23" ref="S30:S41">E30+G30+I30+K30+M30+O30+Q30</f>
        <v>4199.24</v>
      </c>
      <c r="T30" s="101">
        <f aca="true" t="shared" si="24" ref="T30:T41">P30+N30+L30+J30+H30+F30+R30</f>
        <v>989.8499999999999</v>
      </c>
      <c r="U30" s="85">
        <v>310.15</v>
      </c>
      <c r="V30" s="85">
        <v>420.13</v>
      </c>
      <c r="W30" s="85">
        <v>1009.32</v>
      </c>
      <c r="X30" s="85">
        <v>699.22</v>
      </c>
      <c r="Y30" s="85">
        <v>248.13</v>
      </c>
      <c r="Z30" s="102">
        <v>0</v>
      </c>
      <c r="AA30" s="102">
        <v>0</v>
      </c>
      <c r="AB30" s="107">
        <f>SUM(U30:AA30)</f>
        <v>2686.95</v>
      </c>
      <c r="AC30" s="106">
        <f aca="true" t="shared" si="25" ref="AC30:AC41">D30+T30+AB30</f>
        <v>4121.455000000001</v>
      </c>
      <c r="AD30" s="95">
        <f aca="true" t="shared" si="26" ref="AD30:AD41">P30+Z30</f>
        <v>0</v>
      </c>
      <c r="AE30" s="95">
        <f aca="true" t="shared" si="27" ref="AE30:AE41">R30+AA30</f>
        <v>0</v>
      </c>
      <c r="AF30" s="95"/>
      <c r="AG30" s="16">
        <f aca="true" t="shared" si="28" ref="AG30:AG41">0.6*B30</f>
        <v>390.78</v>
      </c>
      <c r="AH30" s="16">
        <f aca="true" t="shared" si="29" ref="AH30:AH41">B30*0.2</f>
        <v>130.26</v>
      </c>
      <c r="AI30" s="16">
        <f aca="true" t="shared" si="30" ref="AI30:AI41">1*B30</f>
        <v>651.3</v>
      </c>
      <c r="AJ30" s="16">
        <v>0</v>
      </c>
      <c r="AK30" s="16">
        <f aca="true" t="shared" si="31" ref="AK30:AK41">0.98*B30</f>
        <v>638.2739999999999</v>
      </c>
      <c r="AL30" s="16">
        <v>0</v>
      </c>
      <c r="AM30" s="16">
        <f aca="true" t="shared" si="32" ref="AM30:AM41">2.25*B30</f>
        <v>1465.425</v>
      </c>
      <c r="AN30" s="16">
        <v>0</v>
      </c>
      <c r="AO30" s="16"/>
      <c r="AP30" s="16">
        <v>0</v>
      </c>
      <c r="AQ30" s="109"/>
      <c r="AR30" s="109"/>
      <c r="AS30" s="90">
        <v>0</v>
      </c>
      <c r="AT30" s="90"/>
      <c r="AU30" s="90">
        <f aca="true" t="shared" si="33" ref="AU30:AU35">AT30*0.18</f>
        <v>0</v>
      </c>
      <c r="AV30" s="110">
        <v>508</v>
      </c>
      <c r="AW30" s="125">
        <v>0.55</v>
      </c>
      <c r="AX30" s="134">
        <f aca="true" t="shared" si="34" ref="AX30:AX41">AV30*AW30*1.4</f>
        <v>391.16</v>
      </c>
      <c r="AY30" s="112"/>
      <c r="AZ30" s="113"/>
      <c r="BA30" s="113">
        <f aca="true" t="shared" si="35" ref="BA30:BA41">AZ30*0.18</f>
        <v>0</v>
      </c>
      <c r="BB30" s="113">
        <f aca="true" t="shared" si="36" ref="BB30:BB41">SUM(AG30:BA30)-AV30-AW30</f>
        <v>3667.1989999999996</v>
      </c>
      <c r="BC30" s="123"/>
      <c r="BD30" s="14">
        <f>AC30+AF30-BB30-BC30</f>
        <v>454.2560000000012</v>
      </c>
      <c r="BE30" s="30">
        <f>AB30-S30</f>
        <v>-1512.29</v>
      </c>
    </row>
    <row r="31" spans="1:57" ht="12.75" hidden="1">
      <c r="A31" s="11" t="s">
        <v>46</v>
      </c>
      <c r="B31" s="133">
        <v>651.3</v>
      </c>
      <c r="C31" s="122">
        <f t="shared" si="21"/>
        <v>5633.745</v>
      </c>
      <c r="D31" s="121">
        <f t="shared" si="22"/>
        <v>444.64500000000123</v>
      </c>
      <c r="E31" s="135">
        <v>484.77</v>
      </c>
      <c r="F31" s="100">
        <v>114.21</v>
      </c>
      <c r="G31" s="100">
        <v>656.44</v>
      </c>
      <c r="H31" s="100">
        <v>154.82</v>
      </c>
      <c r="I31" s="100">
        <v>1577.49</v>
      </c>
      <c r="J31" s="100">
        <v>371.83</v>
      </c>
      <c r="K31" s="100">
        <v>1092.73</v>
      </c>
      <c r="L31" s="100">
        <v>257.62</v>
      </c>
      <c r="M31" s="100">
        <v>387.82</v>
      </c>
      <c r="N31" s="100">
        <v>91.37</v>
      </c>
      <c r="O31" s="100">
        <v>0</v>
      </c>
      <c r="P31" s="107">
        <v>0</v>
      </c>
      <c r="Q31" s="102">
        <v>0</v>
      </c>
      <c r="R31" s="102">
        <v>0</v>
      </c>
      <c r="S31" s="85">
        <f t="shared" si="23"/>
        <v>4199.25</v>
      </c>
      <c r="T31" s="101">
        <f t="shared" si="24"/>
        <v>989.8499999999999</v>
      </c>
      <c r="U31" s="85">
        <v>665.18</v>
      </c>
      <c r="V31" s="85">
        <v>900.61</v>
      </c>
      <c r="W31" s="85">
        <v>2164</v>
      </c>
      <c r="X31" s="85">
        <v>1499.25</v>
      </c>
      <c r="Y31" s="85">
        <v>532.15</v>
      </c>
      <c r="Z31" s="102">
        <v>0</v>
      </c>
      <c r="AA31" s="102">
        <v>0</v>
      </c>
      <c r="AB31" s="107">
        <f>SUM(U31:AA31)</f>
        <v>5761.19</v>
      </c>
      <c r="AC31" s="106">
        <f t="shared" si="25"/>
        <v>7195.685000000001</v>
      </c>
      <c r="AD31" s="95">
        <f t="shared" si="26"/>
        <v>0</v>
      </c>
      <c r="AE31" s="95">
        <f t="shared" si="27"/>
        <v>0</v>
      </c>
      <c r="AF31" s="95"/>
      <c r="AG31" s="16">
        <f t="shared" si="28"/>
        <v>390.78</v>
      </c>
      <c r="AH31" s="16">
        <f t="shared" si="29"/>
        <v>130.26</v>
      </c>
      <c r="AI31" s="16">
        <f t="shared" si="30"/>
        <v>651.3</v>
      </c>
      <c r="AJ31" s="16">
        <v>0</v>
      </c>
      <c r="AK31" s="16">
        <f t="shared" si="31"/>
        <v>638.2739999999999</v>
      </c>
      <c r="AL31" s="16">
        <v>0</v>
      </c>
      <c r="AM31" s="16">
        <f t="shared" si="32"/>
        <v>1465.425</v>
      </c>
      <c r="AN31" s="16">
        <v>0</v>
      </c>
      <c r="AO31" s="16"/>
      <c r="AP31" s="16"/>
      <c r="AQ31" s="109"/>
      <c r="AR31" s="109"/>
      <c r="AS31" s="90">
        <v>351</v>
      </c>
      <c r="AT31" s="90"/>
      <c r="AU31" s="90">
        <f t="shared" si="33"/>
        <v>0</v>
      </c>
      <c r="AV31" s="110">
        <v>407</v>
      </c>
      <c r="AW31" s="125">
        <v>0.55</v>
      </c>
      <c r="AX31" s="16">
        <f t="shared" si="34"/>
        <v>313.39</v>
      </c>
      <c r="AY31" s="112"/>
      <c r="AZ31" s="113"/>
      <c r="BA31" s="113">
        <f t="shared" si="35"/>
        <v>0</v>
      </c>
      <c r="BB31" s="113">
        <f t="shared" si="36"/>
        <v>3940.429</v>
      </c>
      <c r="BC31" s="123"/>
      <c r="BD31" s="14">
        <f aca="true" t="shared" si="37" ref="BD31:BD41">AC31+AF31-BB31-BC31</f>
        <v>3255.256000000001</v>
      </c>
      <c r="BE31" s="30">
        <f aca="true" t="shared" si="38" ref="BE31:BE41">AB31-S31</f>
        <v>1561.9399999999996</v>
      </c>
    </row>
    <row r="32" spans="1:57" ht="12.75" hidden="1">
      <c r="A32" s="11" t="s">
        <v>47</v>
      </c>
      <c r="B32" s="97">
        <v>651.3</v>
      </c>
      <c r="C32" s="122">
        <f t="shared" si="21"/>
        <v>5633.745</v>
      </c>
      <c r="D32" s="121">
        <f t="shared" si="22"/>
        <v>444.64500000000123</v>
      </c>
      <c r="E32" s="100">
        <v>484.77</v>
      </c>
      <c r="F32" s="100">
        <v>114.21</v>
      </c>
      <c r="G32" s="100">
        <v>656.44</v>
      </c>
      <c r="H32" s="100">
        <v>154.82</v>
      </c>
      <c r="I32" s="100">
        <v>1577.49</v>
      </c>
      <c r="J32" s="100">
        <v>371.83</v>
      </c>
      <c r="K32" s="100">
        <v>1092.73</v>
      </c>
      <c r="L32" s="100">
        <v>257.62</v>
      </c>
      <c r="M32" s="100">
        <v>387.82</v>
      </c>
      <c r="N32" s="100">
        <v>91.37</v>
      </c>
      <c r="O32" s="100">
        <v>0</v>
      </c>
      <c r="P32" s="107">
        <v>0</v>
      </c>
      <c r="Q32" s="107">
        <v>0</v>
      </c>
      <c r="R32" s="107">
        <v>0</v>
      </c>
      <c r="S32" s="85">
        <f t="shared" si="23"/>
        <v>4199.25</v>
      </c>
      <c r="T32" s="101">
        <f t="shared" si="24"/>
        <v>989.8499999999999</v>
      </c>
      <c r="U32" s="85">
        <v>437.46</v>
      </c>
      <c r="V32" s="85">
        <v>592.28</v>
      </c>
      <c r="W32" s="85">
        <v>1423.19</v>
      </c>
      <c r="X32" s="85">
        <v>985.99</v>
      </c>
      <c r="Y32" s="85">
        <v>349.96</v>
      </c>
      <c r="Z32" s="102">
        <v>0</v>
      </c>
      <c r="AA32" s="102">
        <v>0</v>
      </c>
      <c r="AB32" s="107">
        <f>SUM(U32:AA32)</f>
        <v>3788.88</v>
      </c>
      <c r="AC32" s="106">
        <f t="shared" si="25"/>
        <v>5223.375000000002</v>
      </c>
      <c r="AD32" s="95">
        <f t="shared" si="26"/>
        <v>0</v>
      </c>
      <c r="AE32" s="95">
        <f t="shared" si="27"/>
        <v>0</v>
      </c>
      <c r="AF32" s="95"/>
      <c r="AG32" s="16">
        <f t="shared" si="28"/>
        <v>390.78</v>
      </c>
      <c r="AH32" s="16">
        <f t="shared" si="29"/>
        <v>130.26</v>
      </c>
      <c r="AI32" s="16">
        <f t="shared" si="30"/>
        <v>651.3</v>
      </c>
      <c r="AJ32" s="16">
        <v>0</v>
      </c>
      <c r="AK32" s="16">
        <f t="shared" si="31"/>
        <v>638.2739999999999</v>
      </c>
      <c r="AL32" s="16">
        <v>0</v>
      </c>
      <c r="AM32" s="16">
        <f t="shared" si="32"/>
        <v>1465.425</v>
      </c>
      <c r="AN32" s="16">
        <v>0</v>
      </c>
      <c r="AO32" s="16"/>
      <c r="AP32" s="16"/>
      <c r="AQ32" s="109"/>
      <c r="AR32" s="109"/>
      <c r="AS32" s="90">
        <v>887</v>
      </c>
      <c r="AT32" s="90"/>
      <c r="AU32" s="90">
        <f t="shared" si="33"/>
        <v>0</v>
      </c>
      <c r="AV32" s="110">
        <v>383</v>
      </c>
      <c r="AW32" s="125">
        <v>0.55</v>
      </c>
      <c r="AX32" s="16">
        <f t="shared" si="34"/>
        <v>294.90999999999997</v>
      </c>
      <c r="AY32" s="112"/>
      <c r="AZ32" s="113"/>
      <c r="BA32" s="113">
        <f t="shared" si="35"/>
        <v>0</v>
      </c>
      <c r="BB32" s="113">
        <f t="shared" si="36"/>
        <v>4457.949</v>
      </c>
      <c r="BC32" s="123"/>
      <c r="BD32" s="14">
        <f t="shared" si="37"/>
        <v>765.4260000000022</v>
      </c>
      <c r="BE32" s="30">
        <f t="shared" si="38"/>
        <v>-410.3699999999999</v>
      </c>
    </row>
    <row r="33" spans="1:57" ht="12.75" hidden="1">
      <c r="A33" s="11" t="s">
        <v>48</v>
      </c>
      <c r="B33" s="97">
        <v>651.3</v>
      </c>
      <c r="C33" s="122">
        <f t="shared" si="21"/>
        <v>5633.745</v>
      </c>
      <c r="D33" s="121">
        <f t="shared" si="22"/>
        <v>444.64500000000123</v>
      </c>
      <c r="E33" s="100">
        <v>484.77</v>
      </c>
      <c r="F33" s="100">
        <v>114.21</v>
      </c>
      <c r="G33" s="100">
        <v>656.44</v>
      </c>
      <c r="H33" s="100">
        <v>154.82</v>
      </c>
      <c r="I33" s="100">
        <v>1577.49</v>
      </c>
      <c r="J33" s="100">
        <v>371.83</v>
      </c>
      <c r="K33" s="100">
        <v>1092.73</v>
      </c>
      <c r="L33" s="100">
        <v>257.62</v>
      </c>
      <c r="M33" s="100">
        <v>387.82</v>
      </c>
      <c r="N33" s="100">
        <v>91.37</v>
      </c>
      <c r="O33" s="100">
        <v>0</v>
      </c>
      <c r="P33" s="107">
        <v>0</v>
      </c>
      <c r="Q33" s="107"/>
      <c r="R33" s="107"/>
      <c r="S33" s="85">
        <f t="shared" si="23"/>
        <v>4199.25</v>
      </c>
      <c r="T33" s="101">
        <f t="shared" si="24"/>
        <v>989.8499999999999</v>
      </c>
      <c r="U33" s="85">
        <v>272.11</v>
      </c>
      <c r="V33" s="85">
        <v>367.35</v>
      </c>
      <c r="W33" s="85">
        <v>884.38</v>
      </c>
      <c r="X33" s="85">
        <v>612.27</v>
      </c>
      <c r="Y33" s="85">
        <v>217.69</v>
      </c>
      <c r="Z33" s="102">
        <v>0</v>
      </c>
      <c r="AA33" s="102">
        <v>0</v>
      </c>
      <c r="AB33" s="107">
        <f>SUM(U33:AA33)</f>
        <v>2353.8</v>
      </c>
      <c r="AC33" s="106">
        <f t="shared" si="25"/>
        <v>3788.2950000000014</v>
      </c>
      <c r="AD33" s="95">
        <f t="shared" si="26"/>
        <v>0</v>
      </c>
      <c r="AE33" s="95">
        <f t="shared" si="27"/>
        <v>0</v>
      </c>
      <c r="AF33" s="95"/>
      <c r="AG33" s="16">
        <f t="shared" si="28"/>
        <v>390.78</v>
      </c>
      <c r="AH33" s="16">
        <f t="shared" si="29"/>
        <v>130.26</v>
      </c>
      <c r="AI33" s="16">
        <f t="shared" si="30"/>
        <v>651.3</v>
      </c>
      <c r="AJ33" s="16">
        <v>0</v>
      </c>
      <c r="AK33" s="16">
        <f t="shared" si="31"/>
        <v>638.2739999999999</v>
      </c>
      <c r="AL33" s="16">
        <v>0</v>
      </c>
      <c r="AM33" s="16">
        <f t="shared" si="32"/>
        <v>1465.425</v>
      </c>
      <c r="AN33" s="16">
        <v>0</v>
      </c>
      <c r="AO33" s="16"/>
      <c r="AP33" s="16"/>
      <c r="AQ33" s="109"/>
      <c r="AR33" s="109"/>
      <c r="AS33" s="90">
        <v>98</v>
      </c>
      <c r="AT33" s="90"/>
      <c r="AU33" s="90">
        <f t="shared" si="33"/>
        <v>0</v>
      </c>
      <c r="AV33" s="110">
        <v>307</v>
      </c>
      <c r="AW33" s="125">
        <v>0.55</v>
      </c>
      <c r="AX33" s="16">
        <f t="shared" si="34"/>
        <v>236.39000000000001</v>
      </c>
      <c r="AY33" s="112"/>
      <c r="AZ33" s="113"/>
      <c r="BA33" s="113">
        <f t="shared" si="35"/>
        <v>0</v>
      </c>
      <c r="BB33" s="113">
        <f t="shared" si="36"/>
        <v>3610.4289999999996</v>
      </c>
      <c r="BC33" s="123"/>
      <c r="BD33" s="14">
        <f t="shared" si="37"/>
        <v>177.8660000000018</v>
      </c>
      <c r="BE33" s="30">
        <f t="shared" si="38"/>
        <v>-1845.4499999999998</v>
      </c>
    </row>
    <row r="34" spans="1:57" ht="12.75" hidden="1">
      <c r="A34" s="11" t="s">
        <v>49</v>
      </c>
      <c r="B34" s="97">
        <v>651.88</v>
      </c>
      <c r="C34" s="122">
        <f t="shared" si="21"/>
        <v>5638.762000000001</v>
      </c>
      <c r="D34" s="121">
        <f t="shared" si="22"/>
        <v>444.7220000000009</v>
      </c>
      <c r="E34" s="100">
        <v>485.35</v>
      </c>
      <c r="F34" s="100">
        <v>114.21</v>
      </c>
      <c r="G34" s="100">
        <v>657.2</v>
      </c>
      <c r="H34" s="100">
        <v>154.82</v>
      </c>
      <c r="I34" s="100">
        <v>1579.37</v>
      </c>
      <c r="J34" s="100">
        <v>371.83</v>
      </c>
      <c r="K34" s="100">
        <v>1093.99</v>
      </c>
      <c r="L34" s="100">
        <v>257.62</v>
      </c>
      <c r="M34" s="100">
        <v>388.28</v>
      </c>
      <c r="N34" s="100">
        <v>91.37</v>
      </c>
      <c r="O34" s="100">
        <v>0</v>
      </c>
      <c r="P34" s="107">
        <v>0</v>
      </c>
      <c r="Q34" s="107"/>
      <c r="R34" s="107"/>
      <c r="S34" s="85">
        <f t="shared" si="23"/>
        <v>4204.19</v>
      </c>
      <c r="T34" s="101">
        <f t="shared" si="24"/>
        <v>989.8499999999999</v>
      </c>
      <c r="U34" s="136">
        <v>361.55</v>
      </c>
      <c r="V34" s="136">
        <v>489.49</v>
      </c>
      <c r="W34" s="136">
        <v>1176.36</v>
      </c>
      <c r="X34" s="136">
        <v>814.88</v>
      </c>
      <c r="Y34" s="136">
        <v>289.24</v>
      </c>
      <c r="Z34" s="137">
        <v>0</v>
      </c>
      <c r="AA34" s="137">
        <v>0</v>
      </c>
      <c r="AB34" s="107">
        <f aca="true" t="shared" si="39" ref="AB34:AB41">SUM(U34:AA34)</f>
        <v>3131.5199999999995</v>
      </c>
      <c r="AC34" s="106">
        <f t="shared" si="25"/>
        <v>4566.092000000001</v>
      </c>
      <c r="AD34" s="95">
        <f t="shared" si="26"/>
        <v>0</v>
      </c>
      <c r="AE34" s="95">
        <f t="shared" si="27"/>
        <v>0</v>
      </c>
      <c r="AF34" s="95"/>
      <c r="AG34" s="16">
        <f t="shared" si="28"/>
        <v>391.128</v>
      </c>
      <c r="AH34" s="16">
        <f t="shared" si="29"/>
        <v>130.376</v>
      </c>
      <c r="AI34" s="16">
        <f t="shared" si="30"/>
        <v>651.88</v>
      </c>
      <c r="AJ34" s="16">
        <v>0</v>
      </c>
      <c r="AK34" s="16">
        <f t="shared" si="31"/>
        <v>638.8424</v>
      </c>
      <c r="AL34" s="16">
        <v>0</v>
      </c>
      <c r="AM34" s="16">
        <f t="shared" si="32"/>
        <v>1466.73</v>
      </c>
      <c r="AN34" s="16">
        <v>0</v>
      </c>
      <c r="AO34" s="16"/>
      <c r="AP34" s="16"/>
      <c r="AQ34" s="109"/>
      <c r="AR34" s="109"/>
      <c r="AS34" s="90"/>
      <c r="AT34" s="90"/>
      <c r="AU34" s="90">
        <f t="shared" si="33"/>
        <v>0</v>
      </c>
      <c r="AV34" s="110">
        <v>263</v>
      </c>
      <c r="AW34" s="125">
        <v>0.55</v>
      </c>
      <c r="AX34" s="16">
        <f t="shared" si="34"/>
        <v>202.51</v>
      </c>
      <c r="AY34" s="112"/>
      <c r="AZ34" s="113"/>
      <c r="BA34" s="113">
        <f t="shared" si="35"/>
        <v>0</v>
      </c>
      <c r="BB34" s="113">
        <f t="shared" si="36"/>
        <v>3481.4664000000002</v>
      </c>
      <c r="BC34" s="123"/>
      <c r="BD34" s="14">
        <f t="shared" si="37"/>
        <v>1084.6256000000003</v>
      </c>
      <c r="BE34" s="30">
        <f t="shared" si="38"/>
        <v>-1072.67</v>
      </c>
    </row>
    <row r="35" spans="1:57" ht="12.75" hidden="1">
      <c r="A35" s="11" t="s">
        <v>50</v>
      </c>
      <c r="B35" s="97">
        <v>651.88</v>
      </c>
      <c r="C35" s="122">
        <f t="shared" si="21"/>
        <v>5638.762000000001</v>
      </c>
      <c r="D35" s="121">
        <f t="shared" si="22"/>
        <v>444.7220000000009</v>
      </c>
      <c r="E35" s="100">
        <v>485.35</v>
      </c>
      <c r="F35" s="100">
        <v>114.21</v>
      </c>
      <c r="G35" s="100">
        <v>657.2</v>
      </c>
      <c r="H35" s="100">
        <v>154.82</v>
      </c>
      <c r="I35" s="100">
        <v>1579.37</v>
      </c>
      <c r="J35" s="100">
        <v>371.83</v>
      </c>
      <c r="K35" s="100">
        <v>1093.99</v>
      </c>
      <c r="L35" s="100">
        <v>257.62</v>
      </c>
      <c r="M35" s="100">
        <v>388.28</v>
      </c>
      <c r="N35" s="100">
        <v>91.37</v>
      </c>
      <c r="O35" s="100">
        <v>0</v>
      </c>
      <c r="P35" s="107">
        <v>0</v>
      </c>
      <c r="Q35" s="100">
        <v>0</v>
      </c>
      <c r="R35" s="107">
        <v>0</v>
      </c>
      <c r="S35" s="85">
        <f t="shared" si="23"/>
        <v>4204.19</v>
      </c>
      <c r="T35" s="101">
        <f t="shared" si="24"/>
        <v>989.8499999999999</v>
      </c>
      <c r="U35" s="85">
        <v>590.35</v>
      </c>
      <c r="V35" s="85">
        <v>799.35</v>
      </c>
      <c r="W35" s="85">
        <v>1920.95</v>
      </c>
      <c r="X35" s="85">
        <v>1330.67</v>
      </c>
      <c r="Y35" s="85">
        <v>472.27</v>
      </c>
      <c r="Z35" s="102">
        <v>0</v>
      </c>
      <c r="AA35" s="102">
        <v>0</v>
      </c>
      <c r="AB35" s="107">
        <f t="shared" si="39"/>
        <v>5113.59</v>
      </c>
      <c r="AC35" s="106">
        <f t="shared" si="25"/>
        <v>6548.162000000001</v>
      </c>
      <c r="AD35" s="95">
        <f t="shared" si="26"/>
        <v>0</v>
      </c>
      <c r="AE35" s="95">
        <f t="shared" si="27"/>
        <v>0</v>
      </c>
      <c r="AF35" s="95"/>
      <c r="AG35" s="16">
        <f t="shared" si="28"/>
        <v>391.128</v>
      </c>
      <c r="AH35" s="16">
        <f t="shared" si="29"/>
        <v>130.376</v>
      </c>
      <c r="AI35" s="16">
        <f t="shared" si="30"/>
        <v>651.88</v>
      </c>
      <c r="AJ35" s="16">
        <v>0</v>
      </c>
      <c r="AK35" s="16">
        <f t="shared" si="31"/>
        <v>638.8424</v>
      </c>
      <c r="AL35" s="16">
        <v>0</v>
      </c>
      <c r="AM35" s="16">
        <f t="shared" si="32"/>
        <v>1466.73</v>
      </c>
      <c r="AN35" s="16">
        <v>0</v>
      </c>
      <c r="AO35" s="16"/>
      <c r="AP35" s="16"/>
      <c r="AQ35" s="109"/>
      <c r="AR35" s="109"/>
      <c r="AS35" s="90"/>
      <c r="AT35" s="90"/>
      <c r="AU35" s="90">
        <f t="shared" si="33"/>
        <v>0</v>
      </c>
      <c r="AV35" s="110">
        <v>233</v>
      </c>
      <c r="AW35" s="125">
        <v>0.55</v>
      </c>
      <c r="AX35" s="16">
        <f t="shared" si="34"/>
        <v>179.41</v>
      </c>
      <c r="AY35" s="112"/>
      <c r="AZ35" s="113"/>
      <c r="BA35" s="113">
        <f t="shared" si="35"/>
        <v>0</v>
      </c>
      <c r="BB35" s="113">
        <f t="shared" si="36"/>
        <v>3458.3664</v>
      </c>
      <c r="BC35" s="123"/>
      <c r="BD35" s="14">
        <f t="shared" si="37"/>
        <v>3089.7956000000013</v>
      </c>
      <c r="BE35" s="30">
        <f t="shared" si="38"/>
        <v>909.4000000000005</v>
      </c>
    </row>
    <row r="36" spans="1:57" ht="12.75" hidden="1">
      <c r="A36" s="11" t="s">
        <v>51</v>
      </c>
      <c r="B36" s="141">
        <v>651.88</v>
      </c>
      <c r="C36" s="122">
        <f t="shared" si="21"/>
        <v>5638.762000000001</v>
      </c>
      <c r="D36" s="121">
        <f t="shared" si="22"/>
        <v>444.722000000001</v>
      </c>
      <c r="E36" s="142">
        <v>599.56</v>
      </c>
      <c r="F36" s="143">
        <v>0</v>
      </c>
      <c r="G36" s="143">
        <v>812.02</v>
      </c>
      <c r="H36" s="143">
        <v>0</v>
      </c>
      <c r="I36" s="143">
        <v>1951.2</v>
      </c>
      <c r="J36" s="143">
        <v>0</v>
      </c>
      <c r="K36" s="143">
        <v>1351.61</v>
      </c>
      <c r="L36" s="143">
        <v>0</v>
      </c>
      <c r="M36" s="143">
        <v>479.65</v>
      </c>
      <c r="N36" s="143">
        <v>0</v>
      </c>
      <c r="O36" s="143">
        <v>0</v>
      </c>
      <c r="P36" s="144">
        <v>0</v>
      </c>
      <c r="Q36" s="144"/>
      <c r="R36" s="144"/>
      <c r="S36" s="145">
        <f t="shared" si="23"/>
        <v>5194.039999999999</v>
      </c>
      <c r="T36" s="146">
        <f t="shared" si="24"/>
        <v>0</v>
      </c>
      <c r="U36" s="147">
        <v>419.16</v>
      </c>
      <c r="V36" s="145">
        <v>567.57</v>
      </c>
      <c r="W36" s="145">
        <v>1364.02</v>
      </c>
      <c r="X36" s="145">
        <v>944.87</v>
      </c>
      <c r="Y36" s="145">
        <v>335.32</v>
      </c>
      <c r="Z36" s="148">
        <v>0</v>
      </c>
      <c r="AA36" s="148">
        <v>0</v>
      </c>
      <c r="AB36" s="144">
        <f t="shared" si="39"/>
        <v>3630.94</v>
      </c>
      <c r="AC36" s="149">
        <f t="shared" si="25"/>
        <v>4075.662000000001</v>
      </c>
      <c r="AD36" s="150">
        <f t="shared" si="26"/>
        <v>0</v>
      </c>
      <c r="AE36" s="150">
        <f t="shared" si="27"/>
        <v>0</v>
      </c>
      <c r="AF36" s="150"/>
      <c r="AG36" s="151">
        <f t="shared" si="28"/>
        <v>391.128</v>
      </c>
      <c r="AH36" s="151">
        <f t="shared" si="29"/>
        <v>130.376</v>
      </c>
      <c r="AI36" s="151">
        <f t="shared" si="30"/>
        <v>651.88</v>
      </c>
      <c r="AJ36" s="151">
        <v>0</v>
      </c>
      <c r="AK36" s="151">
        <f t="shared" si="31"/>
        <v>638.8424</v>
      </c>
      <c r="AL36" s="151">
        <v>0</v>
      </c>
      <c r="AM36" s="151">
        <f t="shared" si="32"/>
        <v>1466.73</v>
      </c>
      <c r="AN36" s="151">
        <v>0</v>
      </c>
      <c r="AO36" s="151"/>
      <c r="AP36" s="151"/>
      <c r="AQ36" s="152"/>
      <c r="AR36" s="152"/>
      <c r="AS36" s="153"/>
      <c r="AT36" s="153">
        <f>2270.5+8000+1228.81</f>
        <v>11499.31</v>
      </c>
      <c r="AU36" s="153">
        <f>(1228.81)*0.18</f>
        <v>221.18579999999997</v>
      </c>
      <c r="AV36" s="154">
        <v>248</v>
      </c>
      <c r="AW36" s="155">
        <v>0.55</v>
      </c>
      <c r="AX36" s="151">
        <f t="shared" si="34"/>
        <v>190.96</v>
      </c>
      <c r="AY36" s="112"/>
      <c r="AZ36" s="156"/>
      <c r="BA36" s="156">
        <f t="shared" si="35"/>
        <v>0</v>
      </c>
      <c r="BB36" s="156">
        <f t="shared" si="36"/>
        <v>15190.412199999999</v>
      </c>
      <c r="BC36" s="157"/>
      <c r="BD36" s="14">
        <f t="shared" si="37"/>
        <v>-11114.750199999999</v>
      </c>
      <c r="BE36" s="30">
        <f t="shared" si="38"/>
        <v>-1563.099999999999</v>
      </c>
    </row>
    <row r="37" spans="1:57" ht="12.75" hidden="1">
      <c r="A37" s="11" t="s">
        <v>52</v>
      </c>
      <c r="B37" s="97">
        <v>651.88</v>
      </c>
      <c r="C37" s="122">
        <f t="shared" si="21"/>
        <v>5638.762000000001</v>
      </c>
      <c r="D37" s="121">
        <f t="shared" si="22"/>
        <v>444.722000000001</v>
      </c>
      <c r="E37" s="135">
        <v>599.56</v>
      </c>
      <c r="F37" s="100">
        <v>0</v>
      </c>
      <c r="G37" s="100">
        <v>812.02</v>
      </c>
      <c r="H37" s="100">
        <v>0</v>
      </c>
      <c r="I37" s="100">
        <v>1951.2</v>
      </c>
      <c r="J37" s="100">
        <v>0</v>
      </c>
      <c r="K37" s="100">
        <v>1351.61</v>
      </c>
      <c r="L37" s="100">
        <v>0</v>
      </c>
      <c r="M37" s="100">
        <v>479.65</v>
      </c>
      <c r="N37" s="100">
        <v>0</v>
      </c>
      <c r="O37" s="100">
        <v>0</v>
      </c>
      <c r="P37" s="107">
        <v>0</v>
      </c>
      <c r="Q37" s="107"/>
      <c r="R37" s="107"/>
      <c r="S37" s="85">
        <f t="shared" si="23"/>
        <v>5194.039999999999</v>
      </c>
      <c r="T37" s="101">
        <f t="shared" si="24"/>
        <v>0</v>
      </c>
      <c r="U37" s="136">
        <v>912.43</v>
      </c>
      <c r="V37" s="136">
        <v>1236.2</v>
      </c>
      <c r="W37" s="136">
        <v>2969.64</v>
      </c>
      <c r="X37" s="136">
        <v>2057.27</v>
      </c>
      <c r="Y37" s="136">
        <v>729.98</v>
      </c>
      <c r="Z37" s="137">
        <v>0</v>
      </c>
      <c r="AA37" s="137">
        <v>0</v>
      </c>
      <c r="AB37" s="107">
        <f t="shared" si="39"/>
        <v>7905.52</v>
      </c>
      <c r="AC37" s="106">
        <f t="shared" si="25"/>
        <v>8350.242000000002</v>
      </c>
      <c r="AD37" s="95">
        <f t="shared" si="26"/>
        <v>0</v>
      </c>
      <c r="AE37" s="95">
        <f t="shared" si="27"/>
        <v>0</v>
      </c>
      <c r="AF37" s="95"/>
      <c r="AG37" s="16">
        <f t="shared" si="28"/>
        <v>391.128</v>
      </c>
      <c r="AH37" s="16">
        <f t="shared" si="29"/>
        <v>130.376</v>
      </c>
      <c r="AI37" s="16">
        <f t="shared" si="30"/>
        <v>651.88</v>
      </c>
      <c r="AJ37" s="16">
        <v>0</v>
      </c>
      <c r="AK37" s="16">
        <f t="shared" si="31"/>
        <v>638.8424</v>
      </c>
      <c r="AL37" s="16">
        <v>0</v>
      </c>
      <c r="AM37" s="16">
        <f t="shared" si="32"/>
        <v>1466.73</v>
      </c>
      <c r="AN37" s="16">
        <v>0</v>
      </c>
      <c r="AO37" s="16"/>
      <c r="AP37" s="16"/>
      <c r="AQ37" s="109"/>
      <c r="AR37" s="109"/>
      <c r="AS37" s="90">
        <v>3772</v>
      </c>
      <c r="AT37" s="90">
        <f>47.8</f>
        <v>47.8</v>
      </c>
      <c r="AU37" s="90"/>
      <c r="AV37" s="110">
        <v>293</v>
      </c>
      <c r="AW37" s="125">
        <v>0.55</v>
      </c>
      <c r="AX37" s="16">
        <f t="shared" si="34"/>
        <v>225.60999999999999</v>
      </c>
      <c r="AY37" s="112"/>
      <c r="AZ37" s="113"/>
      <c r="BA37" s="113">
        <f t="shared" si="35"/>
        <v>0</v>
      </c>
      <c r="BB37" s="113">
        <f t="shared" si="36"/>
        <v>7324.3664</v>
      </c>
      <c r="BC37" s="123"/>
      <c r="BD37" s="14">
        <f t="shared" si="37"/>
        <v>1025.8756000000021</v>
      </c>
      <c r="BE37" s="30">
        <f t="shared" si="38"/>
        <v>2711.4800000000014</v>
      </c>
    </row>
    <row r="38" spans="1:57" ht="12.75" hidden="1">
      <c r="A38" s="11" t="s">
        <v>53</v>
      </c>
      <c r="B38" s="97">
        <v>651.88</v>
      </c>
      <c r="C38" s="122">
        <f t="shared" si="21"/>
        <v>5638.762000000001</v>
      </c>
      <c r="D38" s="121">
        <f t="shared" si="22"/>
        <v>444.722000000001</v>
      </c>
      <c r="E38" s="100">
        <v>599.56</v>
      </c>
      <c r="F38" s="100">
        <v>0</v>
      </c>
      <c r="G38" s="100">
        <v>812.02</v>
      </c>
      <c r="H38" s="100">
        <v>0</v>
      </c>
      <c r="I38" s="100">
        <v>1951.2</v>
      </c>
      <c r="J38" s="100">
        <v>0</v>
      </c>
      <c r="K38" s="100">
        <v>1351.61</v>
      </c>
      <c r="L38" s="100">
        <v>0</v>
      </c>
      <c r="M38" s="100">
        <v>479.65</v>
      </c>
      <c r="N38" s="100">
        <v>0</v>
      </c>
      <c r="O38" s="100">
        <v>0</v>
      </c>
      <c r="P38" s="107">
        <v>0</v>
      </c>
      <c r="Q38" s="107"/>
      <c r="R38" s="107"/>
      <c r="S38" s="85">
        <f t="shared" si="23"/>
        <v>5194.039999999999</v>
      </c>
      <c r="T38" s="101">
        <f t="shared" si="24"/>
        <v>0</v>
      </c>
      <c r="U38" s="85">
        <v>515.69</v>
      </c>
      <c r="V38" s="85">
        <v>698.3</v>
      </c>
      <c r="W38" s="85">
        <v>1678.06</v>
      </c>
      <c r="X38" s="85">
        <v>1162.44</v>
      </c>
      <c r="Y38" s="85">
        <v>412.55</v>
      </c>
      <c r="Z38" s="102">
        <v>0</v>
      </c>
      <c r="AA38" s="102">
        <v>0</v>
      </c>
      <c r="AB38" s="107">
        <f t="shared" si="39"/>
        <v>4467.04</v>
      </c>
      <c r="AC38" s="106">
        <f t="shared" si="25"/>
        <v>4911.762000000001</v>
      </c>
      <c r="AD38" s="95">
        <f t="shared" si="26"/>
        <v>0</v>
      </c>
      <c r="AE38" s="95">
        <f t="shared" si="27"/>
        <v>0</v>
      </c>
      <c r="AF38" s="95"/>
      <c r="AG38" s="16">
        <f t="shared" si="28"/>
        <v>391.128</v>
      </c>
      <c r="AH38" s="16">
        <f t="shared" si="29"/>
        <v>130.376</v>
      </c>
      <c r="AI38" s="16">
        <f t="shared" si="30"/>
        <v>651.88</v>
      </c>
      <c r="AJ38" s="16">
        <v>0</v>
      </c>
      <c r="AK38" s="16">
        <f t="shared" si="31"/>
        <v>638.8424</v>
      </c>
      <c r="AL38" s="16">
        <v>0</v>
      </c>
      <c r="AM38" s="16">
        <f t="shared" si="32"/>
        <v>1466.73</v>
      </c>
      <c r="AN38" s="16">
        <v>0</v>
      </c>
      <c r="AO38" s="16"/>
      <c r="AP38" s="16"/>
      <c r="AQ38" s="109"/>
      <c r="AR38" s="109"/>
      <c r="AS38" s="90">
        <v>3401</v>
      </c>
      <c r="AT38" s="90"/>
      <c r="AU38" s="138">
        <f>AT38*0.18</f>
        <v>0</v>
      </c>
      <c r="AV38" s="110">
        <v>349</v>
      </c>
      <c r="AW38" s="125">
        <v>0.55</v>
      </c>
      <c r="AX38" s="16">
        <f t="shared" si="34"/>
        <v>268.73</v>
      </c>
      <c r="AY38" s="112"/>
      <c r="AZ38" s="113"/>
      <c r="BA38" s="113">
        <f t="shared" si="35"/>
        <v>0</v>
      </c>
      <c r="BB38" s="113">
        <f t="shared" si="36"/>
        <v>6948.6864</v>
      </c>
      <c r="BC38" s="123"/>
      <c r="BD38" s="14">
        <f t="shared" si="37"/>
        <v>-2036.924399999999</v>
      </c>
      <c r="BE38" s="30">
        <f t="shared" si="38"/>
        <v>-726.9999999999991</v>
      </c>
    </row>
    <row r="39" spans="1:57" ht="12.75" hidden="1">
      <c r="A39" s="11" t="s">
        <v>41</v>
      </c>
      <c r="B39" s="97">
        <v>651.88</v>
      </c>
      <c r="C39" s="122">
        <f t="shared" si="21"/>
        <v>5638.762000000001</v>
      </c>
      <c r="D39" s="121">
        <f t="shared" si="22"/>
        <v>397.0220000000003</v>
      </c>
      <c r="E39" s="117">
        <v>605.17</v>
      </c>
      <c r="F39" s="117">
        <v>0</v>
      </c>
      <c r="G39" s="117">
        <v>819.33</v>
      </c>
      <c r="H39" s="117">
        <v>0</v>
      </c>
      <c r="I39" s="117">
        <v>1969.14</v>
      </c>
      <c r="J39" s="117">
        <v>0</v>
      </c>
      <c r="K39" s="117">
        <v>1363.96</v>
      </c>
      <c r="L39" s="117">
        <v>0</v>
      </c>
      <c r="M39" s="117">
        <v>484.14</v>
      </c>
      <c r="N39" s="117">
        <v>0</v>
      </c>
      <c r="O39" s="117">
        <v>0</v>
      </c>
      <c r="P39" s="118">
        <v>0</v>
      </c>
      <c r="Q39" s="118"/>
      <c r="R39" s="118"/>
      <c r="S39" s="85">
        <f t="shared" si="23"/>
        <v>5241.740000000001</v>
      </c>
      <c r="T39" s="101">
        <f t="shared" si="24"/>
        <v>0</v>
      </c>
      <c r="U39" s="85">
        <v>521.2</v>
      </c>
      <c r="V39" s="85">
        <v>705.66</v>
      </c>
      <c r="W39" s="85">
        <v>1695.94</v>
      </c>
      <c r="X39" s="85">
        <v>1174.69</v>
      </c>
      <c r="Y39" s="85">
        <v>416.97</v>
      </c>
      <c r="Z39" s="102">
        <v>0</v>
      </c>
      <c r="AA39" s="102">
        <v>0</v>
      </c>
      <c r="AB39" s="107">
        <f t="shared" si="39"/>
        <v>4514.46</v>
      </c>
      <c r="AC39" s="106">
        <f t="shared" si="25"/>
        <v>4911.482</v>
      </c>
      <c r="AD39" s="95">
        <f t="shared" si="26"/>
        <v>0</v>
      </c>
      <c r="AE39" s="95">
        <f t="shared" si="27"/>
        <v>0</v>
      </c>
      <c r="AF39" s="95"/>
      <c r="AG39" s="16">
        <f t="shared" si="28"/>
        <v>391.128</v>
      </c>
      <c r="AH39" s="16">
        <f t="shared" si="29"/>
        <v>130.376</v>
      </c>
      <c r="AI39" s="16">
        <f t="shared" si="30"/>
        <v>651.88</v>
      </c>
      <c r="AJ39" s="16">
        <v>0</v>
      </c>
      <c r="AK39" s="16">
        <f t="shared" si="31"/>
        <v>638.8424</v>
      </c>
      <c r="AL39" s="16">
        <v>0</v>
      </c>
      <c r="AM39" s="16">
        <f t="shared" si="32"/>
        <v>1466.73</v>
      </c>
      <c r="AN39" s="16">
        <v>0</v>
      </c>
      <c r="AO39" s="16"/>
      <c r="AP39" s="16"/>
      <c r="AQ39" s="109"/>
      <c r="AR39" s="109"/>
      <c r="AS39" s="90"/>
      <c r="AT39" s="90"/>
      <c r="AU39" s="90">
        <f>AT39*0.18</f>
        <v>0</v>
      </c>
      <c r="AV39" s="110">
        <v>425</v>
      </c>
      <c r="AW39" s="125">
        <v>0.55</v>
      </c>
      <c r="AX39" s="16">
        <f t="shared" si="34"/>
        <v>327.25</v>
      </c>
      <c r="AY39" s="112"/>
      <c r="AZ39" s="113"/>
      <c r="BA39" s="113">
        <f t="shared" si="35"/>
        <v>0</v>
      </c>
      <c r="BB39" s="113">
        <f t="shared" si="36"/>
        <v>3606.2064</v>
      </c>
      <c r="BC39" s="123"/>
      <c r="BD39" s="14">
        <f t="shared" si="37"/>
        <v>1305.2756</v>
      </c>
      <c r="BE39" s="30">
        <f t="shared" si="38"/>
        <v>-727.2800000000007</v>
      </c>
    </row>
    <row r="40" spans="1:57" ht="12.75" hidden="1">
      <c r="A40" s="11" t="s">
        <v>42</v>
      </c>
      <c r="B40" s="97">
        <v>651.88</v>
      </c>
      <c r="C40" s="122">
        <f t="shared" si="21"/>
        <v>5638.762000000001</v>
      </c>
      <c r="D40" s="121">
        <f t="shared" si="22"/>
        <v>416.6520000000009</v>
      </c>
      <c r="E40" s="100">
        <v>602.86</v>
      </c>
      <c r="F40" s="100">
        <v>0</v>
      </c>
      <c r="G40" s="100">
        <v>816.32</v>
      </c>
      <c r="H40" s="100">
        <v>0</v>
      </c>
      <c r="I40" s="100">
        <v>1961.76</v>
      </c>
      <c r="J40" s="100">
        <v>0</v>
      </c>
      <c r="K40" s="100">
        <v>1358.88</v>
      </c>
      <c r="L40" s="100">
        <v>0</v>
      </c>
      <c r="M40" s="100">
        <v>482.29</v>
      </c>
      <c r="N40" s="100">
        <v>0</v>
      </c>
      <c r="O40" s="100">
        <v>0</v>
      </c>
      <c r="P40" s="107">
        <v>0</v>
      </c>
      <c r="Q40" s="107"/>
      <c r="R40" s="107"/>
      <c r="S40" s="85">
        <f t="shared" si="23"/>
        <v>5222.11</v>
      </c>
      <c r="T40" s="101">
        <f t="shared" si="24"/>
        <v>0</v>
      </c>
      <c r="U40" s="87">
        <v>460.28</v>
      </c>
      <c r="V40" s="85">
        <v>623.22</v>
      </c>
      <c r="W40" s="85">
        <v>1497.7</v>
      </c>
      <c r="X40" s="85">
        <v>1037.49</v>
      </c>
      <c r="Y40" s="85">
        <v>368.22</v>
      </c>
      <c r="Z40" s="102">
        <v>0</v>
      </c>
      <c r="AA40" s="102">
        <v>0</v>
      </c>
      <c r="AB40" s="107">
        <f t="shared" si="39"/>
        <v>3986.91</v>
      </c>
      <c r="AC40" s="106">
        <f t="shared" si="25"/>
        <v>4403.562000000001</v>
      </c>
      <c r="AD40" s="95">
        <f t="shared" si="26"/>
        <v>0</v>
      </c>
      <c r="AE40" s="95">
        <f t="shared" si="27"/>
        <v>0</v>
      </c>
      <c r="AF40" s="95"/>
      <c r="AG40" s="16">
        <f t="shared" si="28"/>
        <v>391.128</v>
      </c>
      <c r="AH40" s="16">
        <f t="shared" si="29"/>
        <v>130.376</v>
      </c>
      <c r="AI40" s="16">
        <f t="shared" si="30"/>
        <v>651.88</v>
      </c>
      <c r="AJ40" s="16">
        <v>0</v>
      </c>
      <c r="AK40" s="16">
        <f t="shared" si="31"/>
        <v>638.8424</v>
      </c>
      <c r="AL40" s="16">
        <v>0</v>
      </c>
      <c r="AM40" s="16">
        <f t="shared" si="32"/>
        <v>1466.73</v>
      </c>
      <c r="AN40" s="16">
        <v>0</v>
      </c>
      <c r="AO40" s="16"/>
      <c r="AP40" s="16"/>
      <c r="AQ40" s="109"/>
      <c r="AR40" s="109"/>
      <c r="AS40" s="90"/>
      <c r="AT40" s="90"/>
      <c r="AU40" s="90">
        <f>AT40*0.18</f>
        <v>0</v>
      </c>
      <c r="AV40" s="110">
        <v>470</v>
      </c>
      <c r="AW40" s="125">
        <v>0.55</v>
      </c>
      <c r="AX40" s="16">
        <f t="shared" si="34"/>
        <v>361.9</v>
      </c>
      <c r="AY40" s="112"/>
      <c r="AZ40" s="113"/>
      <c r="BA40" s="113">
        <f t="shared" si="35"/>
        <v>0</v>
      </c>
      <c r="BB40" s="113">
        <f t="shared" si="36"/>
        <v>3640.8563999999997</v>
      </c>
      <c r="BC40" s="123"/>
      <c r="BD40" s="14">
        <f t="shared" si="37"/>
        <v>762.7056000000011</v>
      </c>
      <c r="BE40" s="30">
        <f t="shared" si="38"/>
        <v>-1235.1999999999998</v>
      </c>
    </row>
    <row r="41" spans="1:57" ht="12.75" hidden="1">
      <c r="A41" s="11" t="s">
        <v>43</v>
      </c>
      <c r="B41" s="97">
        <v>651.88</v>
      </c>
      <c r="C41" s="122">
        <f t="shared" si="21"/>
        <v>5638.762000000001</v>
      </c>
      <c r="D41" s="121">
        <f t="shared" si="22"/>
        <v>416.6520000000009</v>
      </c>
      <c r="E41" s="100">
        <v>602.86</v>
      </c>
      <c r="F41" s="100">
        <v>0</v>
      </c>
      <c r="G41" s="100">
        <v>816.32</v>
      </c>
      <c r="H41" s="100">
        <v>0</v>
      </c>
      <c r="I41" s="100">
        <v>1961.76</v>
      </c>
      <c r="J41" s="100">
        <v>0</v>
      </c>
      <c r="K41" s="100">
        <v>1358.88</v>
      </c>
      <c r="L41" s="100">
        <v>0</v>
      </c>
      <c r="M41" s="100">
        <v>482.29</v>
      </c>
      <c r="N41" s="100">
        <v>0</v>
      </c>
      <c r="O41" s="100">
        <v>0</v>
      </c>
      <c r="P41" s="107">
        <v>0</v>
      </c>
      <c r="Q41" s="107"/>
      <c r="R41" s="107"/>
      <c r="S41" s="85">
        <f t="shared" si="23"/>
        <v>5222.11</v>
      </c>
      <c r="T41" s="101">
        <f t="shared" si="24"/>
        <v>0</v>
      </c>
      <c r="U41" s="85">
        <v>619.88</v>
      </c>
      <c r="V41" s="85">
        <v>839.52</v>
      </c>
      <c r="W41" s="85">
        <v>2017.28</v>
      </c>
      <c r="X41" s="85">
        <v>1397.37</v>
      </c>
      <c r="Y41" s="85">
        <v>495.91</v>
      </c>
      <c r="Z41" s="102">
        <v>0</v>
      </c>
      <c r="AA41" s="102">
        <v>0</v>
      </c>
      <c r="AB41" s="107">
        <f t="shared" si="39"/>
        <v>5369.96</v>
      </c>
      <c r="AC41" s="106">
        <f t="shared" si="25"/>
        <v>5786.612000000001</v>
      </c>
      <c r="AD41" s="95">
        <f t="shared" si="26"/>
        <v>0</v>
      </c>
      <c r="AE41" s="95">
        <f t="shared" si="27"/>
        <v>0</v>
      </c>
      <c r="AF41" s="95"/>
      <c r="AG41" s="16">
        <f t="shared" si="28"/>
        <v>391.128</v>
      </c>
      <c r="AH41" s="16">
        <f t="shared" si="29"/>
        <v>130.376</v>
      </c>
      <c r="AI41" s="16">
        <f t="shared" si="30"/>
        <v>651.88</v>
      </c>
      <c r="AJ41" s="16">
        <v>0</v>
      </c>
      <c r="AK41" s="16">
        <f t="shared" si="31"/>
        <v>638.8424</v>
      </c>
      <c r="AL41" s="16">
        <v>0</v>
      </c>
      <c r="AM41" s="16">
        <f t="shared" si="32"/>
        <v>1466.73</v>
      </c>
      <c r="AN41" s="16">
        <v>0</v>
      </c>
      <c r="AO41" s="16"/>
      <c r="AP41" s="16"/>
      <c r="AQ41" s="109"/>
      <c r="AR41" s="109"/>
      <c r="AS41" s="90"/>
      <c r="AT41" s="90"/>
      <c r="AU41" s="90">
        <f>AT41*0.18</f>
        <v>0</v>
      </c>
      <c r="AV41" s="110">
        <v>514</v>
      </c>
      <c r="AW41" s="125">
        <v>0.55</v>
      </c>
      <c r="AX41" s="16">
        <f t="shared" si="34"/>
        <v>395.78000000000003</v>
      </c>
      <c r="AY41" s="112"/>
      <c r="AZ41" s="113"/>
      <c r="BA41" s="113">
        <f t="shared" si="35"/>
        <v>0</v>
      </c>
      <c r="BB41" s="113">
        <f t="shared" si="36"/>
        <v>3674.7364</v>
      </c>
      <c r="BC41" s="123"/>
      <c r="BD41" s="14">
        <f t="shared" si="37"/>
        <v>2111.875600000001</v>
      </c>
      <c r="BE41" s="30">
        <f t="shared" si="38"/>
        <v>147.85000000000036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67645.07600000002</v>
      </c>
      <c r="D42" s="60">
        <f t="shared" si="40"/>
        <v>5232.526000000013</v>
      </c>
      <c r="E42" s="57">
        <f t="shared" si="40"/>
        <v>6519.3499999999985</v>
      </c>
      <c r="F42" s="57">
        <f t="shared" si="40"/>
        <v>685.26</v>
      </c>
      <c r="G42" s="57">
        <f t="shared" si="40"/>
        <v>8828.19</v>
      </c>
      <c r="H42" s="57">
        <f t="shared" si="40"/>
        <v>928.9199999999998</v>
      </c>
      <c r="I42" s="57">
        <f t="shared" si="40"/>
        <v>21214.96</v>
      </c>
      <c r="J42" s="57">
        <f t="shared" si="40"/>
        <v>2230.98</v>
      </c>
      <c r="K42" s="57">
        <f t="shared" si="40"/>
        <v>14695.440000000002</v>
      </c>
      <c r="L42" s="57">
        <f t="shared" si="40"/>
        <v>1545.7199999999998</v>
      </c>
      <c r="M42" s="57">
        <f t="shared" si="40"/>
        <v>5215.51</v>
      </c>
      <c r="N42" s="57">
        <f t="shared" si="40"/>
        <v>548.22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56473.45</v>
      </c>
      <c r="T42" s="57">
        <f t="shared" si="40"/>
        <v>5939.1</v>
      </c>
      <c r="U42" s="61">
        <f t="shared" si="40"/>
        <v>6085.44</v>
      </c>
      <c r="V42" s="61">
        <f t="shared" si="40"/>
        <v>8239.68</v>
      </c>
      <c r="W42" s="61">
        <f t="shared" si="40"/>
        <v>19800.84</v>
      </c>
      <c r="X42" s="61">
        <f t="shared" si="40"/>
        <v>13716.41</v>
      </c>
      <c r="Y42" s="61">
        <f t="shared" si="40"/>
        <v>4868.39</v>
      </c>
      <c r="Z42" s="61">
        <f t="shared" si="40"/>
        <v>0</v>
      </c>
      <c r="AA42" s="61">
        <f t="shared" si="40"/>
        <v>0</v>
      </c>
      <c r="AB42" s="61">
        <f t="shared" si="40"/>
        <v>52710.76</v>
      </c>
      <c r="AC42" s="61">
        <f t="shared" si="40"/>
        <v>63882.38600000001</v>
      </c>
      <c r="AD42" s="61">
        <f t="shared" si="40"/>
        <v>0</v>
      </c>
      <c r="AE42" s="93">
        <f t="shared" si="40"/>
        <v>0</v>
      </c>
      <c r="AF42" s="93">
        <f t="shared" si="40"/>
        <v>0</v>
      </c>
      <c r="AG42" s="18">
        <f t="shared" si="40"/>
        <v>4692.144</v>
      </c>
      <c r="AH42" s="18">
        <f t="shared" si="40"/>
        <v>1564.0479999999998</v>
      </c>
      <c r="AI42" s="18">
        <f t="shared" si="40"/>
        <v>7820.240000000001</v>
      </c>
      <c r="AJ42" s="18">
        <f t="shared" si="40"/>
        <v>0</v>
      </c>
      <c r="AK42" s="18">
        <f t="shared" si="40"/>
        <v>7663.835199999998</v>
      </c>
      <c r="AL42" s="18">
        <f t="shared" si="40"/>
        <v>0</v>
      </c>
      <c r="AM42" s="18">
        <f t="shared" si="40"/>
        <v>17595.539999999997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8509</v>
      </c>
      <c r="AT42" s="18">
        <f t="shared" si="40"/>
        <v>11547.109999999999</v>
      </c>
      <c r="AU42" s="18">
        <f t="shared" si="40"/>
        <v>221.18579999999997</v>
      </c>
      <c r="AV42" s="18"/>
      <c r="AW42" s="18"/>
      <c r="AX42" s="18">
        <f aca="true" t="shared" si="41" ref="AX42:BE42">SUM(AX30:AX41)</f>
        <v>3388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63001.102999999996</v>
      </c>
      <c r="BC42" s="18">
        <f t="shared" si="41"/>
        <v>0</v>
      </c>
      <c r="BD42" s="18">
        <f t="shared" si="41"/>
        <v>881.2830000000149</v>
      </c>
      <c r="BE42" s="19">
        <f t="shared" si="41"/>
        <v>-3762.6899999999964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4"/>
      <c r="AD43" s="94"/>
      <c r="AE43" s="95"/>
      <c r="AF43" s="95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9"/>
      <c r="AT43" s="89"/>
      <c r="AU43" s="90"/>
      <c r="AV43" s="90"/>
      <c r="AW43" s="90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152057.83100000003</v>
      </c>
      <c r="D44" s="23">
        <f t="shared" si="42"/>
        <v>15938.766600150017</v>
      </c>
      <c r="E44" s="50">
        <f t="shared" si="42"/>
        <v>13500.329999999998</v>
      </c>
      <c r="F44" s="50">
        <f t="shared" si="42"/>
        <v>2253.88</v>
      </c>
      <c r="G44" s="50">
        <f t="shared" si="42"/>
        <v>18268.97</v>
      </c>
      <c r="H44" s="50">
        <f t="shared" si="42"/>
        <v>3051.63</v>
      </c>
      <c r="I44" s="50">
        <f t="shared" si="42"/>
        <v>43920.47</v>
      </c>
      <c r="J44" s="50">
        <f t="shared" si="42"/>
        <v>7334.209999999999</v>
      </c>
      <c r="K44" s="50">
        <f t="shared" si="42"/>
        <v>30419.14</v>
      </c>
      <c r="L44" s="50">
        <f t="shared" si="42"/>
        <v>5080.26</v>
      </c>
      <c r="M44" s="50">
        <f t="shared" si="42"/>
        <v>10800.33</v>
      </c>
      <c r="N44" s="50">
        <f t="shared" si="42"/>
        <v>1803.1899999999998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116909.23999999999</v>
      </c>
      <c r="T44" s="50">
        <f t="shared" si="42"/>
        <v>19523.170000000002</v>
      </c>
      <c r="U44" s="53">
        <f t="shared" si="42"/>
        <v>12059.59</v>
      </c>
      <c r="V44" s="53">
        <f t="shared" si="42"/>
        <v>16317.13</v>
      </c>
      <c r="W44" s="53">
        <f t="shared" si="42"/>
        <v>39230.28999999999</v>
      </c>
      <c r="X44" s="53">
        <f t="shared" si="42"/>
        <v>27170.579999999998</v>
      </c>
      <c r="Y44" s="53">
        <f t="shared" si="42"/>
        <v>9647.75</v>
      </c>
      <c r="Z44" s="53">
        <f t="shared" si="42"/>
        <v>0</v>
      </c>
      <c r="AA44" s="53">
        <f t="shared" si="42"/>
        <v>0</v>
      </c>
      <c r="AB44" s="53">
        <f t="shared" si="42"/>
        <v>104425.34</v>
      </c>
      <c r="AC44" s="53">
        <f t="shared" si="42"/>
        <v>139887.27660015004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10391.34</v>
      </c>
      <c r="AH44" s="23">
        <f t="shared" si="42"/>
        <v>3481.9008156</v>
      </c>
      <c r="AI44" s="23">
        <f t="shared" si="42"/>
        <v>15810.898438150001</v>
      </c>
      <c r="AJ44" s="23">
        <f t="shared" si="42"/>
        <v>1438.3185188669997</v>
      </c>
      <c r="AK44" s="23">
        <f t="shared" si="42"/>
        <v>15749.754585309996</v>
      </c>
      <c r="AL44" s="23">
        <f t="shared" si="42"/>
        <v>1455.4654893557997</v>
      </c>
      <c r="AM44" s="23">
        <f t="shared" si="42"/>
        <v>35303.010870380334</v>
      </c>
      <c r="AN44" s="23">
        <f t="shared" si="42"/>
        <v>3187.344756668461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26938.73</v>
      </c>
      <c r="AT44" s="23">
        <f t="shared" si="42"/>
        <v>11547.109999999999</v>
      </c>
      <c r="AU44" s="23">
        <f t="shared" si="42"/>
        <v>3538.5472</v>
      </c>
      <c r="AV44" s="23"/>
      <c r="AW44" s="23"/>
      <c r="AX44" s="23">
        <f aca="true" t="shared" si="43" ref="AX44:BE44">AX28+AX42</f>
        <v>6586.272000000001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135428.6926743316</v>
      </c>
      <c r="BC44" s="23">
        <f t="shared" si="43"/>
        <v>0</v>
      </c>
      <c r="BD44" s="23">
        <f t="shared" si="43"/>
        <v>4458.5839258184205</v>
      </c>
      <c r="BE44" s="24">
        <f t="shared" si="43"/>
        <v>-12483.900000000001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7">
      <selection activeCell="A34" sqref="A3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23" t="s">
        <v>55</v>
      </c>
      <c r="C1" s="323"/>
      <c r="D1" s="323"/>
      <c r="E1" s="323"/>
      <c r="F1" s="323"/>
      <c r="G1" s="323"/>
      <c r="H1" s="323"/>
    </row>
    <row r="2" spans="2:8" ht="21" customHeight="1">
      <c r="B2" s="323" t="s">
        <v>56</v>
      </c>
      <c r="C2" s="323"/>
      <c r="D2" s="323"/>
      <c r="E2" s="323"/>
      <c r="F2" s="323"/>
      <c r="G2" s="323"/>
      <c r="H2" s="323"/>
    </row>
    <row r="5" spans="1:15" ht="12.75">
      <c r="A5" s="325" t="s">
        <v>90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ht="12.75">
      <c r="A6" s="326" t="s">
        <v>93</v>
      </c>
      <c r="B6" s="326"/>
      <c r="C6" s="326"/>
      <c r="D6" s="326"/>
      <c r="E6" s="326"/>
      <c r="F6" s="326"/>
      <c r="G6" s="326"/>
      <c r="H6" s="96"/>
      <c r="I6" s="96"/>
      <c r="J6" s="96"/>
      <c r="K6" s="96"/>
      <c r="L6" s="96"/>
      <c r="M6" s="96"/>
      <c r="N6" s="96"/>
      <c r="O6" s="96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324" t="s">
        <v>57</v>
      </c>
      <c r="B8" s="324"/>
      <c r="C8" s="324"/>
      <c r="D8" s="324"/>
      <c r="E8" s="324">
        <v>8.65</v>
      </c>
      <c r="F8" s="324"/>
    </row>
    <row r="9" spans="1:16" ht="12.75" customHeight="1">
      <c r="A9" s="274" t="s">
        <v>58</v>
      </c>
      <c r="B9" s="350" t="s">
        <v>1</v>
      </c>
      <c r="C9" s="353" t="s">
        <v>59</v>
      </c>
      <c r="D9" s="356" t="s">
        <v>3</v>
      </c>
      <c r="E9" s="338" t="s">
        <v>60</v>
      </c>
      <c r="F9" s="339"/>
      <c r="G9" s="342" t="s">
        <v>61</v>
      </c>
      <c r="H9" s="343"/>
      <c r="I9" s="359" t="s">
        <v>10</v>
      </c>
      <c r="J9" s="313"/>
      <c r="K9" s="313"/>
      <c r="L9" s="313"/>
      <c r="M9" s="313"/>
      <c r="N9" s="360"/>
      <c r="O9" s="327" t="s">
        <v>62</v>
      </c>
      <c r="P9" s="327" t="s">
        <v>12</v>
      </c>
    </row>
    <row r="10" spans="1:16" ht="12.75">
      <c r="A10" s="275"/>
      <c r="B10" s="351"/>
      <c r="C10" s="354"/>
      <c r="D10" s="357"/>
      <c r="E10" s="340"/>
      <c r="F10" s="341"/>
      <c r="G10" s="344"/>
      <c r="H10" s="345"/>
      <c r="I10" s="361"/>
      <c r="J10" s="285"/>
      <c r="K10" s="285"/>
      <c r="L10" s="285"/>
      <c r="M10" s="285"/>
      <c r="N10" s="362"/>
      <c r="O10" s="328"/>
      <c r="P10" s="328"/>
    </row>
    <row r="11" spans="1:16" ht="26.25" customHeight="1">
      <c r="A11" s="275"/>
      <c r="B11" s="351"/>
      <c r="C11" s="354"/>
      <c r="D11" s="357"/>
      <c r="E11" s="330" t="s">
        <v>63</v>
      </c>
      <c r="F11" s="331"/>
      <c r="G11" s="84" t="s">
        <v>64</v>
      </c>
      <c r="H11" s="332" t="s">
        <v>7</v>
      </c>
      <c r="I11" s="334" t="s">
        <v>65</v>
      </c>
      <c r="J11" s="336" t="s">
        <v>32</v>
      </c>
      <c r="K11" s="336" t="s">
        <v>66</v>
      </c>
      <c r="L11" s="336" t="s">
        <v>37</v>
      </c>
      <c r="M11" s="336" t="s">
        <v>67</v>
      </c>
      <c r="N11" s="332" t="s">
        <v>39</v>
      </c>
      <c r="O11" s="328"/>
      <c r="P11" s="328"/>
    </row>
    <row r="12" spans="1:16" ht="66.75" customHeight="1" thickBot="1">
      <c r="A12" s="349"/>
      <c r="B12" s="352"/>
      <c r="C12" s="355"/>
      <c r="D12" s="358"/>
      <c r="E12" s="63" t="s">
        <v>68</v>
      </c>
      <c r="F12" s="66" t="s">
        <v>21</v>
      </c>
      <c r="G12" s="81" t="s">
        <v>69</v>
      </c>
      <c r="H12" s="333"/>
      <c r="I12" s="335"/>
      <c r="J12" s="337"/>
      <c r="K12" s="337"/>
      <c r="L12" s="337"/>
      <c r="M12" s="337"/>
      <c r="N12" s="333"/>
      <c r="O12" s="329"/>
      <c r="P12" s="329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650.1</v>
      </c>
      <c r="C15" s="27">
        <f>B15*8.65</f>
        <v>5623.365000000001</v>
      </c>
      <c r="D15" s="28">
        <f>Лист1!D9</f>
        <v>1354.5561612000001</v>
      </c>
      <c r="E15" s="14">
        <f>Лист1!S9</f>
        <v>3888.2400000000007</v>
      </c>
      <c r="F15" s="30">
        <f>Лист1!T9</f>
        <v>830.06</v>
      </c>
      <c r="G15" s="29">
        <f>Лист1!AB9</f>
        <v>0</v>
      </c>
      <c r="H15" s="30">
        <f>Лист1!AC9</f>
        <v>2184.6161612</v>
      </c>
      <c r="I15" s="29">
        <f>Лист1!AG9</f>
        <v>390.06</v>
      </c>
      <c r="J15" s="14">
        <f>Лист1!AI9+Лист1!AJ9</f>
        <v>653.4311124</v>
      </c>
      <c r="K15" s="14">
        <f>Лист1!AH9+Лист1!AK9+Лист1!AL9+Лист1!AM9+Лист1!AN9+Лист1!AO9+Лист1!AP9</f>
        <v>2294.45845431</v>
      </c>
      <c r="L15" s="31">
        <f>Лист1!AS9+Лист1!AU9</f>
        <v>864.6214</v>
      </c>
      <c r="M15" s="31">
        <f>Лист1!AX9</f>
        <v>0</v>
      </c>
      <c r="N15" s="30">
        <f>Лист1!BB9</f>
        <v>4202.57096671</v>
      </c>
      <c r="O15" s="74">
        <f>Лист1!BD9</f>
        <v>-2017.95480551</v>
      </c>
      <c r="P15" s="74">
        <f>Лист1!BE9</f>
        <v>-3888.2400000000007</v>
      </c>
    </row>
    <row r="16" spans="1:16" ht="12.75" hidden="1">
      <c r="A16" s="11" t="s">
        <v>42</v>
      </c>
      <c r="B16" s="82">
        <f>Лист1!B10</f>
        <v>650.1</v>
      </c>
      <c r="C16" s="27">
        <f aca="true" t="shared" si="0" ref="C16:C31">B16*8.65</f>
        <v>5623.365000000001</v>
      </c>
      <c r="D16" s="28">
        <f>Лист1!D10</f>
        <v>1354.5561612000001</v>
      </c>
      <c r="E16" s="14">
        <f>Лист1!S10</f>
        <v>3888.2400000000007</v>
      </c>
      <c r="F16" s="30">
        <f>Лист1!T10</f>
        <v>830.06</v>
      </c>
      <c r="G16" s="29">
        <f>Лист1!AB10</f>
        <v>2009.1399999999999</v>
      </c>
      <c r="H16" s="30">
        <f>Лист1!AC10</f>
        <v>4193.7561612</v>
      </c>
      <c r="I16" s="29">
        <f>Лист1!AG10</f>
        <v>390.06</v>
      </c>
      <c r="J16" s="14">
        <f>Лист1!AI10+Лист1!AJ10</f>
        <v>653.4311124</v>
      </c>
      <c r="K16" s="14">
        <f>Лист1!AH10+Лист1!AK10+Лист1!AL10+Лист1!AM10+Лист1!AN10+Лист1!AO10+Лист1!AP10</f>
        <v>2287.53358911</v>
      </c>
      <c r="L16" s="31">
        <f>Лист1!AS10+Лист1!AU10</f>
        <v>3197.8</v>
      </c>
      <c r="M16" s="31">
        <f>Лист1!AX10</f>
        <v>0</v>
      </c>
      <c r="N16" s="30">
        <f>Лист1!BB10</f>
        <v>6528.82470151</v>
      </c>
      <c r="O16" s="74">
        <f>Лист1!BD10</f>
        <v>-2335.0685403099997</v>
      </c>
      <c r="P16" s="74">
        <f>Лист1!BE10</f>
        <v>-1879.1000000000008</v>
      </c>
    </row>
    <row r="17" spans="1:18" ht="13.5" hidden="1" thickBot="1">
      <c r="A17" s="32" t="s">
        <v>43</v>
      </c>
      <c r="B17" s="82">
        <f>Лист1!B11</f>
        <v>650.1</v>
      </c>
      <c r="C17" s="33">
        <f t="shared" si="0"/>
        <v>5623.365000000001</v>
      </c>
      <c r="D17" s="28">
        <f>Лист1!D11</f>
        <v>1351.5757777500003</v>
      </c>
      <c r="E17" s="14">
        <f>Лист1!S11</f>
        <v>3666.02</v>
      </c>
      <c r="F17" s="30">
        <f>Лист1!T11</f>
        <v>830.06</v>
      </c>
      <c r="G17" s="29">
        <f>Лист1!AB11</f>
        <v>4604.61</v>
      </c>
      <c r="H17" s="30">
        <f>Лист1!AC11</f>
        <v>6786.24577775</v>
      </c>
      <c r="I17" s="29">
        <f>Лист1!AG11</f>
        <v>390.06</v>
      </c>
      <c r="J17" s="14">
        <f>Лист1!AI11+Лист1!AJ11</f>
        <v>651.52865976</v>
      </c>
      <c r="K17" s="14">
        <f>Лист1!AH11+Лист1!AK11+Лист1!AL11+Лист1!AM11+Лист1!AN11+Лист1!AO11+Лист1!AP11</f>
        <v>2283.896689173</v>
      </c>
      <c r="L17" s="31">
        <f>Лист1!AS11+Лист1!AU11</f>
        <v>0</v>
      </c>
      <c r="M17" s="31">
        <f>Лист1!AX11</f>
        <v>0</v>
      </c>
      <c r="N17" s="30">
        <f>Лист1!BB11</f>
        <v>3325.485348933</v>
      </c>
      <c r="O17" s="74">
        <f>Лист1!BD11</f>
        <v>3460.7604288170005</v>
      </c>
      <c r="P17" s="74">
        <f>Лист1!BE11</f>
        <v>938.5899999999997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16870.095</v>
      </c>
      <c r="D18" s="67">
        <f aca="true" t="shared" si="1" ref="D18:I18">SUM(D15:D17)</f>
        <v>4060.6881001500005</v>
      </c>
      <c r="E18" s="36">
        <f t="shared" si="1"/>
        <v>11442.500000000002</v>
      </c>
      <c r="F18" s="68">
        <f t="shared" si="1"/>
        <v>2490.18</v>
      </c>
      <c r="G18" s="67">
        <f t="shared" si="1"/>
        <v>6613.75</v>
      </c>
      <c r="H18" s="68">
        <f t="shared" si="1"/>
        <v>13164.61810015</v>
      </c>
      <c r="I18" s="67">
        <f t="shared" si="1"/>
        <v>1170.18</v>
      </c>
      <c r="J18" s="36">
        <f aca="true" t="shared" si="2" ref="J18:P18">SUM(J15:J17)</f>
        <v>1958.39088456</v>
      </c>
      <c r="K18" s="36">
        <f t="shared" si="2"/>
        <v>6865.888732592999</v>
      </c>
      <c r="L18" s="36">
        <f t="shared" si="2"/>
        <v>4062.4214</v>
      </c>
      <c r="M18" s="36">
        <f t="shared" si="2"/>
        <v>0</v>
      </c>
      <c r="N18" s="68">
        <f t="shared" si="2"/>
        <v>14056.881017153</v>
      </c>
      <c r="O18" s="75">
        <f t="shared" si="2"/>
        <v>-892.2629170029995</v>
      </c>
      <c r="P18" s="75">
        <f t="shared" si="2"/>
        <v>-4828.750000000002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650.1</v>
      </c>
      <c r="C20" s="27">
        <f t="shared" si="0"/>
        <v>5623.365000000001</v>
      </c>
      <c r="D20" s="28">
        <f>Лист1!D14</f>
        <v>702.9206250000001</v>
      </c>
      <c r="E20" s="14">
        <f>Лист1!S14</f>
        <v>3888.2400000000007</v>
      </c>
      <c r="F20" s="30">
        <f>Лист1!T14</f>
        <v>830.06</v>
      </c>
      <c r="G20" s="29">
        <f>Лист1!AB14</f>
        <v>1875.25</v>
      </c>
      <c r="H20" s="30">
        <f>Лист1!AC14</f>
        <v>3408.230625</v>
      </c>
      <c r="I20" s="29">
        <f>Лист1!AG14</f>
        <v>351.05400000000003</v>
      </c>
      <c r="J20" s="14">
        <f>Лист1!AI14+Лист1!AJ14</f>
        <v>565.3040101</v>
      </c>
      <c r="K20" s="14">
        <f>Лист1!AH14+Лист1!AK14+Лист1!AL14+Лист1!AM14+Лист1!AN14+Лист1!AO14+Лист1!AP14+Лист1!AQ14+Лист1!AR14</f>
        <v>1941.561043752</v>
      </c>
      <c r="L20" s="31">
        <f>Лист1!AS14+Лист1!AT14+Лист1!AU14+Лист1!AZ14+Лист1!BA14</f>
        <v>317.43</v>
      </c>
      <c r="M20" s="31">
        <f>Лист1!AX14</f>
        <v>369.25504000000006</v>
      </c>
      <c r="N20" s="30">
        <f>Лист1!BB14</f>
        <v>3175.3490538519995</v>
      </c>
      <c r="O20" s="74">
        <f>Лист1!BD14</f>
        <v>232.8815711480006</v>
      </c>
      <c r="P20" s="74">
        <f>Лист1!BE14</f>
        <v>-2012.9900000000007</v>
      </c>
      <c r="Q20" s="1"/>
      <c r="R20" s="1"/>
    </row>
    <row r="21" spans="1:18" ht="12.75" hidden="1">
      <c r="A21" s="11" t="s">
        <v>46</v>
      </c>
      <c r="B21" s="82">
        <f>Лист1!B15</f>
        <v>650.1</v>
      </c>
      <c r="C21" s="27">
        <f t="shared" si="0"/>
        <v>5623.365000000001</v>
      </c>
      <c r="D21" s="28">
        <f>Лист1!D15</f>
        <v>702.9206250000001</v>
      </c>
      <c r="E21" s="14">
        <f>Лист1!S15</f>
        <v>3888.2400000000007</v>
      </c>
      <c r="F21" s="30">
        <f>Лист1!T15</f>
        <v>830.06</v>
      </c>
      <c r="G21" s="29">
        <f>Лист1!AB15</f>
        <v>2945.8899999999994</v>
      </c>
      <c r="H21" s="30">
        <f>Лист1!AC15</f>
        <v>4478.870625</v>
      </c>
      <c r="I21" s="29">
        <f>Лист1!AG15</f>
        <v>351.05400000000003</v>
      </c>
      <c r="J21" s="14">
        <f>Лист1!AI15+Лист1!AJ15</f>
        <v>564.6755598</v>
      </c>
      <c r="K21" s="14">
        <f>Лист1!AH15+Лист1!AK15+Лист1!AL15+Лист1!AM15+Лист1!AN15+Лист1!AO15+Лист1!AP15+Лист1!AQ15+Лист1!AR15</f>
        <v>1944.363819882</v>
      </c>
      <c r="L21" s="31">
        <f>Лист1!AS15+Лист1!AT15+Лист1!AU15+Лист1!AZ15+Лист1!BA15</f>
        <v>3422</v>
      </c>
      <c r="M21" s="31">
        <f>Лист1!AX15</f>
        <v>295.84016</v>
      </c>
      <c r="N21" s="30">
        <f>Лист1!BB15</f>
        <v>6282.093379682</v>
      </c>
      <c r="O21" s="74">
        <f>Лист1!BD15</f>
        <v>-1803.2227546820004</v>
      </c>
      <c r="P21" s="74">
        <f>Лист1!BE15</f>
        <v>-942.3500000000013</v>
      </c>
      <c r="Q21" s="1"/>
      <c r="R21" s="1"/>
    </row>
    <row r="22" spans="1:18" ht="12.75" hidden="1">
      <c r="A22" s="11" t="s">
        <v>47</v>
      </c>
      <c r="B22" s="82">
        <f>Лист1!B16</f>
        <v>650.1</v>
      </c>
      <c r="C22" s="27">
        <f t="shared" si="0"/>
        <v>5623.365000000001</v>
      </c>
      <c r="D22" s="28">
        <f>Лист1!D16</f>
        <v>702.9206250000001</v>
      </c>
      <c r="E22" s="14">
        <f>Лист1!S16</f>
        <v>3888.2400000000007</v>
      </c>
      <c r="F22" s="30">
        <f>Лист1!T16</f>
        <v>830.06</v>
      </c>
      <c r="G22" s="29">
        <f>Лист1!AB16</f>
        <v>5038.21</v>
      </c>
      <c r="H22" s="30">
        <f>Лист1!AC16</f>
        <v>6571.190625</v>
      </c>
      <c r="I22" s="29">
        <f>Лист1!AG16</f>
        <v>351.05400000000003</v>
      </c>
      <c r="J22" s="14">
        <f>Лист1!AI16+Лист1!AJ16</f>
        <v>565.66543525</v>
      </c>
      <c r="K22" s="14">
        <f>Лист1!AH16+Лист1!AK16+Лист1!AL16+Лист1!AM16+Лист1!AN16+Лист1!AO16+Лист1!AP16+Лист1!AQ16+Лист1!AR16</f>
        <v>1879.46914616</v>
      </c>
      <c r="L22" s="31">
        <f>Лист1!AS16+Лист1!AT16+Лист1!AU16+Лист1!AZ16+Лист1!BA16</f>
        <v>0</v>
      </c>
      <c r="M22" s="31">
        <f>Лист1!AX16</f>
        <v>278.39504</v>
      </c>
      <c r="N22" s="30">
        <f>Лист1!BB16</f>
        <v>2796.18858141</v>
      </c>
      <c r="O22" s="74">
        <f>Лист1!BD16</f>
        <v>3775.00204359</v>
      </c>
      <c r="P22" s="74">
        <f>Лист1!BE16</f>
        <v>1149.9699999999993</v>
      </c>
      <c r="Q22" s="1"/>
      <c r="R22" s="1"/>
    </row>
    <row r="23" spans="1:18" ht="12.75" hidden="1">
      <c r="A23" s="11" t="s">
        <v>48</v>
      </c>
      <c r="B23" s="82">
        <f>Лист1!B17</f>
        <v>650.1</v>
      </c>
      <c r="C23" s="27">
        <f t="shared" si="0"/>
        <v>5623.365000000001</v>
      </c>
      <c r="D23" s="28">
        <f>Лист1!D17</f>
        <v>702.9206250000001</v>
      </c>
      <c r="E23" s="14">
        <f>Лист1!S17</f>
        <v>3886.8900000000003</v>
      </c>
      <c r="F23" s="30">
        <f>Лист1!T17</f>
        <v>830.06</v>
      </c>
      <c r="G23" s="29">
        <f>Лист1!AB17</f>
        <v>2353.8</v>
      </c>
      <c r="H23" s="30">
        <f>Лист1!AC17</f>
        <v>3886.7806250000003</v>
      </c>
      <c r="I23" s="29">
        <f>Лист1!AG17</f>
        <v>351.05400000000003</v>
      </c>
      <c r="J23" s="14">
        <f>Лист1!AI17+Лист1!AJ17</f>
        <v>582.2809179000001</v>
      </c>
      <c r="K23" s="14">
        <f>Лист1!AH17+Лист1!AK17+Лист1!AL17+Лист1!AM17+Лист1!AN17+Лист1!AO17+Лист1!AP17+Лист1!AQ17+Лист1!AR17</f>
        <v>1906.257909336</v>
      </c>
      <c r="L23" s="31">
        <f>Лист1!AS17+Лист1!AT17+Лист1!AU17+Лист1!AY17+Лист1!AZ17</f>
        <v>365.8</v>
      </c>
      <c r="M23" s="31">
        <f>Лист1!AX17</f>
        <v>223.15216000000004</v>
      </c>
      <c r="N23" s="30">
        <f>Лист1!BB17</f>
        <v>4372.0352272360005</v>
      </c>
      <c r="O23" s="74">
        <f>Лист1!BD17</f>
        <v>-485.2546022360002</v>
      </c>
      <c r="P23" s="74">
        <f>Лист1!BE17</f>
        <v>-1533.0900000000001</v>
      </c>
      <c r="Q23" s="1"/>
      <c r="R23" s="1"/>
    </row>
    <row r="24" spans="1:18" ht="12.75" hidden="1">
      <c r="A24" s="11" t="s">
        <v>49</v>
      </c>
      <c r="B24" s="82">
        <f>Лист1!B18</f>
        <v>650.1</v>
      </c>
      <c r="C24" s="27">
        <f t="shared" si="0"/>
        <v>5623.365000000001</v>
      </c>
      <c r="D24" s="28">
        <f>Лист1!D18</f>
        <v>672.5050000000007</v>
      </c>
      <c r="E24" s="14">
        <f>Лист1!S18</f>
        <v>4015.22</v>
      </c>
      <c r="F24" s="30">
        <f>Лист1!T18</f>
        <v>935.6400000000001</v>
      </c>
      <c r="G24" s="29">
        <f>Лист1!AB18</f>
        <v>2322.5099999999998</v>
      </c>
      <c r="H24" s="30">
        <f>Лист1!AC18</f>
        <v>3930.6550000000007</v>
      </c>
      <c r="I24" s="29">
        <f>Лист1!AG18</f>
        <v>390.06</v>
      </c>
      <c r="J24" s="14">
        <f>Лист1!AI18+Лист1!AJ18</f>
        <v>652.0503</v>
      </c>
      <c r="K24" s="14">
        <f>Лист1!AH18+Лист1!AK18+Лист1!AL18+Лист1!AM18+Лист1!AN18+Лист1!AO18+Лист1!AP18+Лист1!AQ18+Лист1!AR18</f>
        <v>2233.22352</v>
      </c>
      <c r="L24" s="31">
        <f>Лист1!AS18+Лист1!AT18+Лист1!AU18+Лист1!AZ18+Лист1!BA18</f>
        <v>0</v>
      </c>
      <c r="M24" s="31">
        <f>Лист1!AX18</f>
        <v>191.16944</v>
      </c>
      <c r="N24" s="30">
        <f>Лист1!BB18</f>
        <v>3466.50326</v>
      </c>
      <c r="O24" s="74">
        <f>Лист1!BD18</f>
        <v>464.1517400000007</v>
      </c>
      <c r="P24" s="74">
        <f>Лист1!BE18</f>
        <v>-1692.71</v>
      </c>
      <c r="Q24" s="1"/>
      <c r="R24" s="1"/>
    </row>
    <row r="25" spans="1:18" ht="12.75" hidden="1">
      <c r="A25" s="11" t="s">
        <v>50</v>
      </c>
      <c r="B25" s="82">
        <f>Лист1!B19</f>
        <v>650.1</v>
      </c>
      <c r="C25" s="27">
        <f t="shared" si="0"/>
        <v>5623.365000000001</v>
      </c>
      <c r="D25" s="28">
        <f>Лист1!D19</f>
        <v>444.64500000000044</v>
      </c>
      <c r="E25" s="14">
        <f>Лист1!S19</f>
        <v>4243.08</v>
      </c>
      <c r="F25" s="30">
        <f>Лист1!T19</f>
        <v>935.6400000000001</v>
      </c>
      <c r="G25" s="29">
        <f>Лист1!AB19</f>
        <v>5860.99</v>
      </c>
      <c r="H25" s="30">
        <f>Лист1!AC19</f>
        <v>7241.275000000001</v>
      </c>
      <c r="I25" s="29">
        <f>Лист1!AG19</f>
        <v>390.06</v>
      </c>
      <c r="J25" s="14">
        <f>Лист1!AI19+Лист1!AJ19</f>
        <v>652.0503</v>
      </c>
      <c r="K25" s="14">
        <f>Лист1!AH19+Лист1!AK19+Лист1!AL19+Лист1!AM19+Лист1!AN19+Лист1!AO19+Лист1!AP19+Лист1!AQ19+Лист1!AR19</f>
        <v>2233.282029</v>
      </c>
      <c r="L25" s="31">
        <f>Лист1!AS19+Лист1!AT19+Лист1!AU19+Лист1!AZ19+Лист1!BA19</f>
        <v>0</v>
      </c>
      <c r="M25" s="31">
        <f>Лист1!AX19</f>
        <v>169.36304</v>
      </c>
      <c r="N25" s="30">
        <f>Лист1!BB19</f>
        <v>3444.755369</v>
      </c>
      <c r="O25" s="74">
        <f>Лист1!BD19</f>
        <v>3796.5196310000006</v>
      </c>
      <c r="P25" s="74">
        <f>Лист1!BE19</f>
        <v>1617.9099999999999</v>
      </c>
      <c r="Q25" s="1"/>
      <c r="R25" s="1"/>
    </row>
    <row r="26" spans="1:18" ht="12.75" hidden="1">
      <c r="A26" s="11" t="s">
        <v>51</v>
      </c>
      <c r="B26" s="82">
        <f>Лист1!B20</f>
        <v>651.3</v>
      </c>
      <c r="C26" s="27">
        <f t="shared" si="0"/>
        <v>5633.745</v>
      </c>
      <c r="D26" s="28">
        <f>Лист1!D20</f>
        <v>448.485</v>
      </c>
      <c r="E26" s="14">
        <f>Лист1!S20</f>
        <v>4232.14</v>
      </c>
      <c r="F26" s="30">
        <f>Лист1!T20</f>
        <v>953.1200000000001</v>
      </c>
      <c r="G26" s="29">
        <f>Лист1!AB20</f>
        <v>4346.85</v>
      </c>
      <c r="H26" s="30">
        <f>Лист1!AC20</f>
        <v>5748.455</v>
      </c>
      <c r="I26" s="29">
        <f>Лист1!AG20</f>
        <v>390.78</v>
      </c>
      <c r="J26" s="14">
        <f>Лист1!AI20+Лист1!AJ20</f>
        <v>643.97769462</v>
      </c>
      <c r="K26" s="14">
        <f>Лист1!AH20+Лист1!AK20+Лист1!AL20+Лист1!AM20+Лист1!AN20+Лист1!AO20+Лист1!AP20+Лист1!AQ20+Лист1!AR20</f>
        <v>2215.142434986</v>
      </c>
      <c r="L26" s="31">
        <f>Лист1!AS20+Лист1!AT20+Лист1!AU20+Лист1!AZ20+Лист1!BA20</f>
        <v>4586.66</v>
      </c>
      <c r="M26" s="31">
        <f>Лист1!AX20</f>
        <v>180.26624000000004</v>
      </c>
      <c r="N26" s="30">
        <f>Лист1!BB20</f>
        <v>8016.826369605999</v>
      </c>
      <c r="O26" s="74">
        <f>Лист1!BD20</f>
        <v>-2268.3713696059995</v>
      </c>
      <c r="P26" s="74">
        <f>Лист1!BE20</f>
        <v>114.71000000000004</v>
      </c>
      <c r="Q26" s="1"/>
      <c r="R26" s="1"/>
    </row>
    <row r="27" spans="1:18" ht="12.75" hidden="1">
      <c r="A27" s="11" t="s">
        <v>52</v>
      </c>
      <c r="B27" s="82">
        <f>Лист1!B21</f>
        <v>651.3</v>
      </c>
      <c r="C27" s="27">
        <f t="shared" si="0"/>
        <v>5633.745</v>
      </c>
      <c r="D27" s="28">
        <f>Лист1!D21</f>
        <v>456.46500000000003</v>
      </c>
      <c r="E27" s="14">
        <f>Лист1!S21</f>
        <v>4187.43</v>
      </c>
      <c r="F27" s="30">
        <f>Лист1!T21</f>
        <v>989.8499999999999</v>
      </c>
      <c r="G27" s="29">
        <f>Лист1!AB21</f>
        <v>3856.8999999999996</v>
      </c>
      <c r="H27" s="30">
        <f>Лист1!AC21</f>
        <v>5303.215</v>
      </c>
      <c r="I27" s="29">
        <f>Лист1!AG21</f>
        <v>390.78</v>
      </c>
      <c r="J27" s="14">
        <f>Лист1!AI21+Лист1!AJ21</f>
        <v>643.6184049749999</v>
      </c>
      <c r="K27" s="14">
        <f>Лист1!AH21+Лист1!AK21+Лист1!AL21+Лист1!AM21+Лист1!AN21+Лист1!AO21+Лист1!AP21+Лист1!AQ21+Лист1!AR21</f>
        <v>2214.677016006</v>
      </c>
      <c r="L27" s="31">
        <f>Лист1!AS21+Лист1!AT21+Лист1!AU21+Лист1!AZ21+Лист1!BA21</f>
        <v>8992.78</v>
      </c>
      <c r="M27" s="31">
        <f>Лист1!AX21</f>
        <v>212.97584000000003</v>
      </c>
      <c r="N27" s="30">
        <f>Лист1!BB21</f>
        <v>12454.831260981</v>
      </c>
      <c r="O27" s="74">
        <f>Лист1!BD21</f>
        <v>-7151.616260981</v>
      </c>
      <c r="P27" s="74">
        <f>Лист1!BE21</f>
        <v>-330.53000000000065</v>
      </c>
      <c r="Q27" s="1"/>
      <c r="R27" s="1"/>
    </row>
    <row r="28" spans="1:18" ht="12.75" hidden="1">
      <c r="A28" s="11" t="s">
        <v>53</v>
      </c>
      <c r="B28" s="82">
        <f>Лист1!B22</f>
        <v>651.3</v>
      </c>
      <c r="C28" s="27">
        <f t="shared" si="0"/>
        <v>5633.745</v>
      </c>
      <c r="D28" s="28">
        <f>Лист1!D22</f>
        <v>455.1850000000005</v>
      </c>
      <c r="E28" s="14">
        <f>Лист1!S22</f>
        <v>4188.709999999999</v>
      </c>
      <c r="F28" s="30">
        <f>Лист1!T22</f>
        <v>989.8499999999999</v>
      </c>
      <c r="G28" s="29">
        <f>Лист1!AB22</f>
        <v>3875.6400000000003</v>
      </c>
      <c r="H28" s="30">
        <f>Лист1!AC22</f>
        <v>5320.675000000001</v>
      </c>
      <c r="I28" s="29">
        <f>Лист1!AG22</f>
        <v>390.78</v>
      </c>
      <c r="J28" s="14">
        <f>Лист1!AI22+Лист1!AJ22</f>
        <v>643.5073518119999</v>
      </c>
      <c r="K28" s="14">
        <f>Лист1!AH22+Лист1!AK22+Лист1!AL22+Лист1!AM22+Лист1!AN22+Лист1!AO22+Лист1!AP22+Лист1!AQ22+Лист1!AR22</f>
        <v>2214.5331255995998</v>
      </c>
      <c r="L28" s="31">
        <f>Лист1!AS22+Лист1!AT22+Лист1!AU22+Лист1!AZ22+Лист1!BA22</f>
        <v>0</v>
      </c>
      <c r="M28" s="31">
        <f>Лист1!AX22</f>
        <v>253.68112000000002</v>
      </c>
      <c r="N28" s="30">
        <f>Лист1!BB22</f>
        <v>3502.5015974116</v>
      </c>
      <c r="O28" s="74">
        <f>Лист1!BD22</f>
        <v>1818.1734025884011</v>
      </c>
      <c r="P28" s="74">
        <f>Лист1!BE22</f>
        <v>-313.0699999999988</v>
      </c>
      <c r="Q28" s="1"/>
      <c r="R28" s="1"/>
    </row>
    <row r="29" spans="1:18" ht="12.75" hidden="1">
      <c r="A29" s="11" t="s">
        <v>41</v>
      </c>
      <c r="B29" s="82">
        <f>Лист1!B23</f>
        <v>651.3</v>
      </c>
      <c r="C29" s="27">
        <f>B29*8.65</f>
        <v>5633.745</v>
      </c>
      <c r="D29" s="28">
        <f>Лист1!D23</f>
        <v>456.475</v>
      </c>
      <c r="E29" s="14">
        <f>Лист1!S23</f>
        <v>4187.42</v>
      </c>
      <c r="F29" s="30">
        <f>Лист1!T23</f>
        <v>989.8499999999999</v>
      </c>
      <c r="G29" s="29">
        <f>Лист1!AB23</f>
        <v>4451.37</v>
      </c>
      <c r="H29" s="30">
        <f>Лист1!AC23</f>
        <v>5897.695</v>
      </c>
      <c r="I29" s="29">
        <f>Лист1!AG23</f>
        <v>390.78</v>
      </c>
      <c r="J29" s="14">
        <f>Лист1!AI23+Лист1!AJ23</f>
        <v>650.9482979999999</v>
      </c>
      <c r="K29" s="14">
        <f>Лист1!AH23+Лист1!AK23+Лист1!AL23+Лист1!AM23+Лист1!AN23+Лист1!AO23+Лист1!AP23+Лист1!AQ23+Лист1!AR23</f>
        <v>2233.5682199999997</v>
      </c>
      <c r="L29" s="31">
        <f>Лист1!AS23+Лист1!AT23+Лист1!AU23+Лист1!AZ23+Лист1!BA23</f>
        <v>0</v>
      </c>
      <c r="M29" s="31">
        <f>Лист1!AX23</f>
        <v>308.9240000000001</v>
      </c>
      <c r="N29" s="30">
        <f>Лист1!BB23</f>
        <v>3584.2205179999996</v>
      </c>
      <c r="O29" s="74">
        <f>Лист1!BD23</f>
        <v>2313.474482</v>
      </c>
      <c r="P29" s="74">
        <f>Лист1!BE23</f>
        <v>263.9499999999998</v>
      </c>
      <c r="Q29" s="1"/>
      <c r="R29" s="1"/>
    </row>
    <row r="30" spans="1:18" ht="12.75" hidden="1">
      <c r="A30" s="11" t="s">
        <v>42</v>
      </c>
      <c r="B30" s="82">
        <f>Лист1!B24</f>
        <v>651.3</v>
      </c>
      <c r="C30" s="27">
        <f t="shared" si="0"/>
        <v>5633.745</v>
      </c>
      <c r="D30" s="28">
        <f>Лист1!D24</f>
        <v>455.46500000000003</v>
      </c>
      <c r="E30" s="14">
        <f>Лист1!S24</f>
        <v>4188.43</v>
      </c>
      <c r="F30" s="30">
        <f>Лист1!T24</f>
        <v>989.8499999999999</v>
      </c>
      <c r="G30" s="29">
        <f>Лист1!AB24</f>
        <v>3573.88</v>
      </c>
      <c r="H30" s="30">
        <f>Лист1!AC24</f>
        <v>5019.195</v>
      </c>
      <c r="I30" s="29">
        <f>Лист1!AG24</f>
        <v>390.78</v>
      </c>
      <c r="J30" s="14">
        <f>Лист1!AI24+Лист1!AJ24</f>
        <v>653.2538999999999</v>
      </c>
      <c r="K30" s="14">
        <f>Лист1!AH24+Лист1!AK24+Лист1!AL24+Лист1!AM24+Лист1!AN24+Лист1!AO24+Лист1!AP24+Лист1!AQ24+Лист1!AR24</f>
        <v>2236.0431599999997</v>
      </c>
      <c r="L30" s="31">
        <f>Лист1!AS24+Лист1!AT24+Лист1!AU24+Лист1!AZ24+Лист1!BA24</f>
        <v>0</v>
      </c>
      <c r="M30" s="31">
        <f>Лист1!AX24</f>
        <v>341.6336</v>
      </c>
      <c r="N30" s="30">
        <f>Лист1!BB24</f>
        <v>3621.7106599999997</v>
      </c>
      <c r="O30" s="74">
        <f>Лист1!BD24</f>
        <v>1397.48434</v>
      </c>
      <c r="P30" s="74">
        <f>Лист1!BE24</f>
        <v>-614.5500000000002</v>
      </c>
      <c r="Q30" s="1"/>
      <c r="R30" s="1"/>
    </row>
    <row r="31" spans="1:18" ht="13.5" hidden="1" thickBot="1">
      <c r="A31" s="32" t="s">
        <v>43</v>
      </c>
      <c r="B31" s="82">
        <f>Лист1!B25</f>
        <v>651.3</v>
      </c>
      <c r="C31" s="33">
        <f t="shared" si="0"/>
        <v>5633.745</v>
      </c>
      <c r="D31" s="28">
        <f>Лист1!D25</f>
        <v>444.64500000000123</v>
      </c>
      <c r="E31" s="14">
        <f>Лист1!S25</f>
        <v>4199.25</v>
      </c>
      <c r="F31" s="30">
        <f>Лист1!T25</f>
        <v>989.8499999999999</v>
      </c>
      <c r="G31" s="29">
        <f>Лист1!AB25</f>
        <v>4599.54</v>
      </c>
      <c r="H31" s="30">
        <f>Лист1!AC25</f>
        <v>6034.035000000002</v>
      </c>
      <c r="I31" s="29">
        <f>Лист1!AG25</f>
        <v>390.78</v>
      </c>
      <c r="J31" s="14">
        <f>Лист1!AI25+Лист1!AJ25</f>
        <v>653.2538999999999</v>
      </c>
      <c r="K31" s="14">
        <f>Лист1!AH25+Лист1!AK25+Лист1!AL25+Лист1!AM25+Лист1!AN25+Лист1!AO25+Лист1!AP25+Лист1!AQ25+Лист1!AR25</f>
        <v>2236.0431599999997</v>
      </c>
      <c r="L31" s="31">
        <f>Лист1!AS25+Лист1!AT25+Лист1!AU25+Лист1!AZ25+Лист1!BA25</f>
        <v>0</v>
      </c>
      <c r="M31" s="31">
        <f>Лист1!AX25</f>
        <v>373.6163200000001</v>
      </c>
      <c r="N31" s="30">
        <f>Лист1!BB25</f>
        <v>3653.6933799999997</v>
      </c>
      <c r="O31" s="74">
        <f>Лист1!BD25</f>
        <v>2380.341620000002</v>
      </c>
      <c r="P31" s="74">
        <f>Лист1!BE25</f>
        <v>400.28999999999996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67542.66000000002</v>
      </c>
      <c r="D32" s="67">
        <f t="shared" si="3"/>
        <v>6645.552500000003</v>
      </c>
      <c r="E32" s="36">
        <f t="shared" si="3"/>
        <v>48993.29</v>
      </c>
      <c r="F32" s="68">
        <f t="shared" si="3"/>
        <v>11093.890000000001</v>
      </c>
      <c r="G32" s="67">
        <f t="shared" si="3"/>
        <v>45100.83</v>
      </c>
      <c r="H32" s="68">
        <f t="shared" si="3"/>
        <v>62840.27250000001</v>
      </c>
      <c r="I32" s="67">
        <f t="shared" si="3"/>
        <v>4529.015999999999</v>
      </c>
      <c r="J32" s="36">
        <f t="shared" si="3"/>
        <v>7470.586072456999</v>
      </c>
      <c r="K32" s="36">
        <f t="shared" si="3"/>
        <v>25488.164584721602</v>
      </c>
      <c r="L32" s="36">
        <f>SUM(L20:L31)</f>
        <v>17684.67</v>
      </c>
      <c r="M32" s="36">
        <f t="shared" si="3"/>
        <v>3198.272000000001</v>
      </c>
      <c r="N32" s="68">
        <f t="shared" si="3"/>
        <v>58370.7086571786</v>
      </c>
      <c r="O32" s="75">
        <f t="shared" si="3"/>
        <v>4469.563842821405</v>
      </c>
      <c r="P32" s="75">
        <f t="shared" si="3"/>
        <v>-3892.4600000000028</v>
      </c>
      <c r="Q32" s="71"/>
      <c r="R32" s="71"/>
    </row>
    <row r="33" spans="1:18" ht="13.5" thickBot="1">
      <c r="A33" s="321" t="s">
        <v>94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84412.75500000002</v>
      </c>
      <c r="D34" s="37">
        <f aca="true" t="shared" si="4" ref="D34:P34">D18+D32</f>
        <v>10706.240600150004</v>
      </c>
      <c r="E34" s="38">
        <f t="shared" si="4"/>
        <v>60435.79</v>
      </c>
      <c r="F34" s="39">
        <f t="shared" si="4"/>
        <v>13584.070000000002</v>
      </c>
      <c r="G34" s="37">
        <f t="shared" si="4"/>
        <v>51714.58</v>
      </c>
      <c r="H34" s="39">
        <f t="shared" si="4"/>
        <v>76004.89060015001</v>
      </c>
      <c r="I34" s="37">
        <f t="shared" si="4"/>
        <v>5699.195999999999</v>
      </c>
      <c r="J34" s="38">
        <f t="shared" si="4"/>
        <v>9428.976957017</v>
      </c>
      <c r="K34" s="38">
        <f t="shared" si="4"/>
        <v>32354.053317314603</v>
      </c>
      <c r="L34" s="38">
        <f t="shared" si="4"/>
        <v>21747.091399999998</v>
      </c>
      <c r="M34" s="38">
        <f t="shared" si="4"/>
        <v>3198.272000000001</v>
      </c>
      <c r="N34" s="78">
        <f t="shared" si="4"/>
        <v>72427.5896743316</v>
      </c>
      <c r="O34" s="77">
        <f>O18+O32</f>
        <v>3577.3009258184056</v>
      </c>
      <c r="P34" s="77">
        <f t="shared" si="4"/>
        <v>-8721.210000000005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651.3</v>
      </c>
      <c r="C36" s="27">
        <f aca="true" t="shared" si="5" ref="C36:C47">B36*8.65</f>
        <v>5633.745</v>
      </c>
      <c r="D36" s="28">
        <f>Лист1!D30</f>
        <v>444.6550000000012</v>
      </c>
      <c r="E36" s="14">
        <f>Лист1!S30</f>
        <v>4199.24</v>
      </c>
      <c r="F36" s="30">
        <f>Лист1!T30</f>
        <v>989.8499999999999</v>
      </c>
      <c r="G36" s="29">
        <f>Лист1!AB30</f>
        <v>2686.95</v>
      </c>
      <c r="H36" s="30">
        <f>Лист1!AC30</f>
        <v>4121.455000000001</v>
      </c>
      <c r="I36" s="29">
        <f>Лист1!AG30</f>
        <v>390.78</v>
      </c>
      <c r="J36" s="14">
        <f>Лист1!AI30+Лист1!AJ30</f>
        <v>651.3</v>
      </c>
      <c r="K36" s="14">
        <f>Лист1!AH30+Лист1!AK30+Лист1!AL30+Лист1!AM30+Лист1!AN30+Лист1!AO30+Лист1!AP30+Лист1!AQ30+Лист1!AR30</f>
        <v>2233.959</v>
      </c>
      <c r="L36" s="31">
        <f>Лист1!AS30+Лист1!AT30+Лист1!AU30+Лист1!AZ30+Лист1!BA30</f>
        <v>0</v>
      </c>
      <c r="M36" s="31">
        <f>Лист1!AX30</f>
        <v>391.16</v>
      </c>
      <c r="N36" s="30">
        <f>Лист1!BB30</f>
        <v>3667.1989999999996</v>
      </c>
      <c r="O36" s="74">
        <f>Лист1!BD30</f>
        <v>454.2560000000012</v>
      </c>
      <c r="P36" s="74">
        <f>Лист1!BE30</f>
        <v>-1512.29</v>
      </c>
      <c r="Q36" s="1"/>
      <c r="R36" s="1"/>
    </row>
    <row r="37" spans="1:18" ht="12.75">
      <c r="A37" s="11" t="s">
        <v>46</v>
      </c>
      <c r="B37" s="82">
        <f>Лист1!B31</f>
        <v>651.3</v>
      </c>
      <c r="C37" s="27">
        <f t="shared" si="5"/>
        <v>5633.745</v>
      </c>
      <c r="D37" s="28">
        <f>Лист1!D31</f>
        <v>444.64500000000123</v>
      </c>
      <c r="E37" s="14">
        <f>Лист1!S31</f>
        <v>4199.25</v>
      </c>
      <c r="F37" s="30">
        <f>Лист1!T31</f>
        <v>989.8499999999999</v>
      </c>
      <c r="G37" s="29">
        <f>Лист1!AB31</f>
        <v>5761.19</v>
      </c>
      <c r="H37" s="30">
        <f>Лист1!AC31</f>
        <v>7195.685000000001</v>
      </c>
      <c r="I37" s="29">
        <f>Лист1!AG31</f>
        <v>390.78</v>
      </c>
      <c r="J37" s="14">
        <f>Лист1!AI31+Лист1!AJ31</f>
        <v>651.3</v>
      </c>
      <c r="K37" s="14">
        <f>Лист1!AH31+Лист1!AK31+Лист1!AL31+Лист1!AM31+Лист1!AN31+Лист1!AO31+Лист1!AP31+Лист1!AQ31+Лист1!AR31</f>
        <v>2233.959</v>
      </c>
      <c r="L37" s="31">
        <f>Лист1!AS31+Лист1!AT31+Лист1!AU31+Лист1!AZ31+Лист1!BA31</f>
        <v>351</v>
      </c>
      <c r="M37" s="31">
        <f>Лист1!AX31</f>
        <v>313.39</v>
      </c>
      <c r="N37" s="30">
        <f>Лист1!BB31</f>
        <v>3940.429</v>
      </c>
      <c r="O37" s="74">
        <f>Лист1!BD31</f>
        <v>3255.256000000001</v>
      </c>
      <c r="P37" s="74">
        <f>Лист1!BE31</f>
        <v>1561.9399999999996</v>
      </c>
      <c r="Q37" s="1"/>
      <c r="R37" s="1"/>
    </row>
    <row r="38" spans="1:18" ht="12.75">
      <c r="A38" s="11" t="s">
        <v>47</v>
      </c>
      <c r="B38" s="82">
        <f>Лист1!B32</f>
        <v>651.3</v>
      </c>
      <c r="C38" s="27">
        <f t="shared" si="5"/>
        <v>5633.745</v>
      </c>
      <c r="D38" s="28">
        <f>Лист1!D32</f>
        <v>444.64500000000123</v>
      </c>
      <c r="E38" s="14">
        <f>Лист1!S32</f>
        <v>4199.25</v>
      </c>
      <c r="F38" s="30">
        <f>Лист1!T32</f>
        <v>989.8499999999999</v>
      </c>
      <c r="G38" s="29">
        <f>Лист1!AB32</f>
        <v>3788.88</v>
      </c>
      <c r="H38" s="30">
        <f>Лист1!AC32</f>
        <v>5223.375000000002</v>
      </c>
      <c r="I38" s="29">
        <f>Лист1!AG32</f>
        <v>390.78</v>
      </c>
      <c r="J38" s="14">
        <f>Лист1!AI32+Лист1!AJ32</f>
        <v>651.3</v>
      </c>
      <c r="K38" s="14">
        <f>Лист1!AH32+Лист1!AK32+Лист1!AL32+Лист1!AM32+Лист1!AN32+Лист1!AO32+Лист1!AP32+Лист1!AQ32+Лист1!AR32</f>
        <v>2233.959</v>
      </c>
      <c r="L38" s="31">
        <f>Лист1!AS32+Лист1!AT32+Лист1!AU32+Лист1!AZ32+Лист1!BA32</f>
        <v>887</v>
      </c>
      <c r="M38" s="31">
        <f>Лист1!AX32</f>
        <v>294.90999999999997</v>
      </c>
      <c r="N38" s="30">
        <f>Лист1!BB32</f>
        <v>4457.949</v>
      </c>
      <c r="O38" s="74">
        <f>Лист1!BD32</f>
        <v>765.4260000000022</v>
      </c>
      <c r="P38" s="74">
        <f>Лист1!BE32</f>
        <v>-410.3699999999999</v>
      </c>
      <c r="Q38" s="1"/>
      <c r="R38" s="1"/>
    </row>
    <row r="39" spans="1:18" ht="12.75">
      <c r="A39" s="11" t="s">
        <v>48</v>
      </c>
      <c r="B39" s="82">
        <f>Лист1!B33</f>
        <v>651.3</v>
      </c>
      <c r="C39" s="27">
        <f t="shared" si="5"/>
        <v>5633.745</v>
      </c>
      <c r="D39" s="28">
        <f>Лист1!D33</f>
        <v>444.64500000000123</v>
      </c>
      <c r="E39" s="14">
        <f>Лист1!S33</f>
        <v>4199.25</v>
      </c>
      <c r="F39" s="30">
        <f>Лист1!T33</f>
        <v>989.8499999999999</v>
      </c>
      <c r="G39" s="29">
        <f>Лист1!AB33</f>
        <v>2353.8</v>
      </c>
      <c r="H39" s="30">
        <f>Лист1!AC33</f>
        <v>3788.2950000000014</v>
      </c>
      <c r="I39" s="29">
        <f>Лист1!AG33</f>
        <v>390.78</v>
      </c>
      <c r="J39" s="14">
        <f>Лист1!AI33+Лист1!AJ33</f>
        <v>651.3</v>
      </c>
      <c r="K39" s="14">
        <f>Лист1!AH33+Лист1!AK33+Лист1!AL33+Лист1!AM33+Лист1!AN33+Лист1!AO33+Лист1!AP33+Лист1!AQ33+Лист1!AR33</f>
        <v>2233.959</v>
      </c>
      <c r="L39" s="31">
        <f>Лист1!AS33+Лист1!AT33+Лист1!AU33+Лист1!AY33+Лист1!AZ33</f>
        <v>98</v>
      </c>
      <c r="M39" s="31">
        <f>Лист1!AX33</f>
        <v>236.39000000000001</v>
      </c>
      <c r="N39" s="30">
        <f>Лист1!BB33</f>
        <v>3610.4289999999996</v>
      </c>
      <c r="O39" s="74">
        <f>Лист1!BD33</f>
        <v>177.8660000000018</v>
      </c>
      <c r="P39" s="74">
        <f>Лист1!BE33</f>
        <v>-1845.4499999999998</v>
      </c>
      <c r="Q39" s="1"/>
      <c r="R39" s="1"/>
    </row>
    <row r="40" spans="1:18" ht="12.75">
      <c r="A40" s="11" t="s">
        <v>49</v>
      </c>
      <c r="B40" s="82">
        <f>Лист1!B34</f>
        <v>651.88</v>
      </c>
      <c r="C40" s="27">
        <f t="shared" si="5"/>
        <v>5638.762000000001</v>
      </c>
      <c r="D40" s="28">
        <f>Лист1!D34</f>
        <v>444.7220000000009</v>
      </c>
      <c r="E40" s="14">
        <f>Лист1!S34</f>
        <v>4204.19</v>
      </c>
      <c r="F40" s="30">
        <f>Лист1!T34</f>
        <v>989.8499999999999</v>
      </c>
      <c r="G40" s="29">
        <f>Лист1!AB34</f>
        <v>3131.5199999999995</v>
      </c>
      <c r="H40" s="30">
        <f>Лист1!AC34</f>
        <v>4566.092000000001</v>
      </c>
      <c r="I40" s="29">
        <f>Лист1!AG34</f>
        <v>391.128</v>
      </c>
      <c r="J40" s="14">
        <f>Лист1!AI34+Лист1!AJ34</f>
        <v>651.88</v>
      </c>
      <c r="K40" s="14">
        <f>Лист1!AH34+Лист1!AK34+Лист1!AL34+Лист1!AM34+Лист1!AN34+Лист1!AO34+Лист1!AP34+Лист1!AQ34+Лист1!AR34</f>
        <v>2235.9484</v>
      </c>
      <c r="L40" s="31">
        <f>Лист1!AS34+Лист1!AT34+Лист1!AU34+Лист1!AZ34+Лист1!BA34</f>
        <v>0</v>
      </c>
      <c r="M40" s="31">
        <f>Лист1!AX34</f>
        <v>202.51</v>
      </c>
      <c r="N40" s="30">
        <f>Лист1!BB34</f>
        <v>3481.4664000000002</v>
      </c>
      <c r="O40" s="74">
        <f>Лист1!BD34</f>
        <v>1084.6256000000003</v>
      </c>
      <c r="P40" s="74">
        <f>Лист1!BE34</f>
        <v>-1072.67</v>
      </c>
      <c r="Q40" s="1"/>
      <c r="R40" s="1"/>
    </row>
    <row r="41" spans="1:18" ht="12.75">
      <c r="A41" s="11" t="s">
        <v>50</v>
      </c>
      <c r="B41" s="82">
        <f>Лист1!B35</f>
        <v>651.88</v>
      </c>
      <c r="C41" s="27">
        <f t="shared" si="5"/>
        <v>5638.762000000001</v>
      </c>
      <c r="D41" s="28">
        <f>Лист1!D35</f>
        <v>444.7220000000009</v>
      </c>
      <c r="E41" s="14">
        <f>Лист1!S35</f>
        <v>4204.19</v>
      </c>
      <c r="F41" s="30">
        <f>Лист1!T35</f>
        <v>989.8499999999999</v>
      </c>
      <c r="G41" s="29">
        <f>Лист1!AB35</f>
        <v>5113.59</v>
      </c>
      <c r="H41" s="30">
        <f>Лист1!AC35</f>
        <v>6548.162000000001</v>
      </c>
      <c r="I41" s="29">
        <f>Лист1!AG35</f>
        <v>391.128</v>
      </c>
      <c r="J41" s="14">
        <f>Лист1!AI35+Лист1!AJ35</f>
        <v>651.88</v>
      </c>
      <c r="K41" s="14">
        <f>Лист1!AH35+Лист1!AK35+Лист1!AL35+Лист1!AM35+Лист1!AN35+Лист1!AO35+Лист1!AP35+Лист1!AQ35+Лист1!AR35</f>
        <v>2235.9484</v>
      </c>
      <c r="L41" s="31">
        <f>Лист1!AS35+Лист1!AT35+Лист1!AU35+Лист1!AZ35+Лист1!BA35</f>
        <v>0</v>
      </c>
      <c r="M41" s="31">
        <f>Лист1!AX35</f>
        <v>179.41</v>
      </c>
      <c r="N41" s="30">
        <f>Лист1!BB35</f>
        <v>3458.3664</v>
      </c>
      <c r="O41" s="74">
        <f>Лист1!BD35</f>
        <v>3089.7956000000013</v>
      </c>
      <c r="P41" s="74">
        <f>Лист1!BE35</f>
        <v>909.4000000000005</v>
      </c>
      <c r="Q41" s="1"/>
      <c r="R41" s="1"/>
    </row>
    <row r="42" spans="1:18" ht="12.75">
      <c r="A42" s="11" t="s">
        <v>51</v>
      </c>
      <c r="B42" s="82">
        <f>Лист1!B36</f>
        <v>651.88</v>
      </c>
      <c r="C42" s="27">
        <f t="shared" si="5"/>
        <v>5638.762000000001</v>
      </c>
      <c r="D42" s="28">
        <f>Лист1!D36</f>
        <v>444.722000000001</v>
      </c>
      <c r="E42" s="14">
        <f>Лист1!S36</f>
        <v>5194.039999999999</v>
      </c>
      <c r="F42" s="30">
        <f>Лист1!T36</f>
        <v>0</v>
      </c>
      <c r="G42" s="29">
        <f>Лист1!AB36</f>
        <v>3630.94</v>
      </c>
      <c r="H42" s="30">
        <f>Лист1!AC36</f>
        <v>4075.662000000001</v>
      </c>
      <c r="I42" s="29">
        <f>Лист1!AG36</f>
        <v>391.128</v>
      </c>
      <c r="J42" s="14">
        <f>Лист1!AI36+Лист1!AJ36</f>
        <v>651.88</v>
      </c>
      <c r="K42" s="14">
        <f>Лист1!AH36+Лист1!AK36+Лист1!AL36+Лист1!AM36+Лист1!AN36+Лист1!AO36+Лист1!AP36+Лист1!AQ36+Лист1!AR36</f>
        <v>2235.9484</v>
      </c>
      <c r="L42" s="31">
        <f>Лист1!AS36+Лист1!AT36+Лист1!AU36+Лист1!AZ36+Лист1!BA36</f>
        <v>11720.495799999999</v>
      </c>
      <c r="M42" s="31">
        <f>Лист1!AX36</f>
        <v>190.96</v>
      </c>
      <c r="N42" s="30">
        <f>Лист1!BB36</f>
        <v>15190.412199999999</v>
      </c>
      <c r="O42" s="74">
        <f>Лист1!BD36</f>
        <v>-11114.750199999999</v>
      </c>
      <c r="P42" s="74">
        <f>Лист1!BE36</f>
        <v>-1563.099999999999</v>
      </c>
      <c r="Q42" s="1"/>
      <c r="R42" s="1"/>
    </row>
    <row r="43" spans="1:18" ht="12.75">
      <c r="A43" s="11" t="s">
        <v>52</v>
      </c>
      <c r="B43" s="82">
        <f>Лист1!B37</f>
        <v>651.88</v>
      </c>
      <c r="C43" s="27">
        <f t="shared" si="5"/>
        <v>5638.762000000001</v>
      </c>
      <c r="D43" s="28">
        <f>Лист1!D37</f>
        <v>444.722000000001</v>
      </c>
      <c r="E43" s="14">
        <f>Лист1!S37</f>
        <v>5194.039999999999</v>
      </c>
      <c r="F43" s="30">
        <f>Лист1!T37</f>
        <v>0</v>
      </c>
      <c r="G43" s="29">
        <f>Лист1!AB37</f>
        <v>7905.52</v>
      </c>
      <c r="H43" s="30">
        <f>Лист1!AC37</f>
        <v>8350.242000000002</v>
      </c>
      <c r="I43" s="29">
        <f>Лист1!AG37</f>
        <v>391.128</v>
      </c>
      <c r="J43" s="14">
        <f>Лист1!AI37+Лист1!AJ37</f>
        <v>651.88</v>
      </c>
      <c r="K43" s="14">
        <f>Лист1!AH37+Лист1!AK37+Лист1!AL37+Лист1!AM37+Лист1!AN37+Лист1!AO37+Лист1!AP37+Лист1!AQ37+Лист1!AR37</f>
        <v>2235.9484</v>
      </c>
      <c r="L43" s="31">
        <f>Лист1!AS37+Лист1!AT37+Лист1!AU37+Лист1!AZ37+Лист1!BA37</f>
        <v>3819.8</v>
      </c>
      <c r="M43" s="31">
        <f>Лист1!AX37</f>
        <v>225.60999999999999</v>
      </c>
      <c r="N43" s="30">
        <f>Лист1!BB37</f>
        <v>7324.3664</v>
      </c>
      <c r="O43" s="74">
        <f>Лист1!BD37</f>
        <v>1025.8756000000021</v>
      </c>
      <c r="P43" s="74">
        <f>Лист1!BE37</f>
        <v>2711.4800000000014</v>
      </c>
      <c r="Q43" s="1"/>
      <c r="R43" s="1"/>
    </row>
    <row r="44" spans="1:18" ht="12.75">
      <c r="A44" s="11" t="s">
        <v>53</v>
      </c>
      <c r="B44" s="82">
        <f>Лист1!B38</f>
        <v>651.88</v>
      </c>
      <c r="C44" s="27">
        <f t="shared" si="5"/>
        <v>5638.762000000001</v>
      </c>
      <c r="D44" s="28">
        <f>Лист1!D38</f>
        <v>444.722000000001</v>
      </c>
      <c r="E44" s="14">
        <f>Лист1!S38</f>
        <v>5194.039999999999</v>
      </c>
      <c r="F44" s="30">
        <f>Лист1!T38</f>
        <v>0</v>
      </c>
      <c r="G44" s="29">
        <f>Лист1!AB38</f>
        <v>4467.04</v>
      </c>
      <c r="H44" s="30">
        <f>Лист1!AC38</f>
        <v>4911.762000000001</v>
      </c>
      <c r="I44" s="29">
        <f>Лист1!AG38</f>
        <v>391.128</v>
      </c>
      <c r="J44" s="14">
        <f>Лист1!AI38+Лист1!AJ38</f>
        <v>651.88</v>
      </c>
      <c r="K44" s="14">
        <f>Лист1!AH38+Лист1!AK38+Лист1!AL38+Лист1!AM38+Лист1!AN38+Лист1!AO38+Лист1!AP38+Лист1!AQ38+Лист1!AR38</f>
        <v>2235.9484</v>
      </c>
      <c r="L44" s="31">
        <f>Лист1!AS38+Лист1!AT38+Лист1!AU38+Лист1!AZ38+Лист1!BA38</f>
        <v>3401</v>
      </c>
      <c r="M44" s="31">
        <f>Лист1!AX38</f>
        <v>268.73</v>
      </c>
      <c r="N44" s="30">
        <f>Лист1!BB38</f>
        <v>6948.6864</v>
      </c>
      <c r="O44" s="74">
        <f>Лист1!BD38</f>
        <v>-2036.924399999999</v>
      </c>
      <c r="P44" s="74">
        <f>Лист1!BE38</f>
        <v>-726.9999999999991</v>
      </c>
      <c r="Q44" s="1"/>
      <c r="R44" s="1"/>
    </row>
    <row r="45" spans="1:18" ht="12.75">
      <c r="A45" s="11" t="s">
        <v>41</v>
      </c>
      <c r="B45" s="82">
        <f>Лист1!B39</f>
        <v>651.88</v>
      </c>
      <c r="C45" s="27">
        <f>B45*8.65</f>
        <v>5638.762000000001</v>
      </c>
      <c r="D45" s="28">
        <f>Лист1!D39</f>
        <v>397.0220000000003</v>
      </c>
      <c r="E45" s="14">
        <f>Лист1!S39</f>
        <v>5241.740000000001</v>
      </c>
      <c r="F45" s="30">
        <f>Лист1!T39</f>
        <v>0</v>
      </c>
      <c r="G45" s="29">
        <f>Лист1!AB39</f>
        <v>4514.46</v>
      </c>
      <c r="H45" s="30">
        <f>Лист1!AC39</f>
        <v>4911.482</v>
      </c>
      <c r="I45" s="29">
        <f>Лист1!AG39</f>
        <v>391.128</v>
      </c>
      <c r="J45" s="14">
        <f>Лист1!AI39+Лист1!AJ39</f>
        <v>651.88</v>
      </c>
      <c r="K45" s="14">
        <f>Лист1!AH39+Лист1!AK39+Лист1!AL39+Лист1!AM39+Лист1!AN39+Лист1!AO39+Лист1!AP39+Лист1!AQ39+Лист1!AR39</f>
        <v>2235.9484</v>
      </c>
      <c r="L45" s="31">
        <f>Лист1!AS39+Лист1!AT39+Лист1!AU39+Лист1!AZ39+Лист1!BA39</f>
        <v>0</v>
      </c>
      <c r="M45" s="31">
        <f>Лист1!AX39</f>
        <v>327.25</v>
      </c>
      <c r="N45" s="30">
        <f>Лист1!BB39</f>
        <v>3606.2064</v>
      </c>
      <c r="O45" s="74">
        <f>Лист1!BD39</f>
        <v>1305.2756</v>
      </c>
      <c r="P45" s="74">
        <f>Лист1!BE39</f>
        <v>-727.2800000000007</v>
      </c>
      <c r="Q45" s="1"/>
      <c r="R45" s="1"/>
    </row>
    <row r="46" spans="1:18" ht="12.75">
      <c r="A46" s="11" t="s">
        <v>42</v>
      </c>
      <c r="B46" s="82">
        <f>Лист1!B40</f>
        <v>651.88</v>
      </c>
      <c r="C46" s="27">
        <f t="shared" si="5"/>
        <v>5638.762000000001</v>
      </c>
      <c r="D46" s="28">
        <f>Лист1!D40</f>
        <v>416.6520000000009</v>
      </c>
      <c r="E46" s="14">
        <f>Лист1!S40</f>
        <v>5222.11</v>
      </c>
      <c r="F46" s="30">
        <f>Лист1!T40</f>
        <v>0</v>
      </c>
      <c r="G46" s="29">
        <f>Лист1!AB40</f>
        <v>3986.91</v>
      </c>
      <c r="H46" s="30">
        <f>Лист1!AC40</f>
        <v>4403.562000000001</v>
      </c>
      <c r="I46" s="29">
        <f>Лист1!AG40</f>
        <v>391.128</v>
      </c>
      <c r="J46" s="14">
        <f>Лист1!AI40+Лист1!AJ40</f>
        <v>651.88</v>
      </c>
      <c r="K46" s="14">
        <f>Лист1!AH40+Лист1!AK40+Лист1!AL40+Лист1!AM40+Лист1!AN40+Лист1!AO40+Лист1!AP40+Лист1!AQ40+Лист1!AR40</f>
        <v>2235.9484</v>
      </c>
      <c r="L46" s="31">
        <f>Лист1!AS40+Лист1!AT40+Лист1!AU40+Лист1!AZ40+Лист1!BA40</f>
        <v>0</v>
      </c>
      <c r="M46" s="31">
        <f>Лист1!AX40</f>
        <v>361.9</v>
      </c>
      <c r="N46" s="30">
        <f>Лист1!BB40</f>
        <v>3640.8563999999997</v>
      </c>
      <c r="O46" s="74">
        <f>Лист1!BD40</f>
        <v>762.7056000000011</v>
      </c>
      <c r="P46" s="74">
        <f>Лист1!BE40</f>
        <v>-1235.1999999999998</v>
      </c>
      <c r="Q46" s="1"/>
      <c r="R46" s="1"/>
    </row>
    <row r="47" spans="1:18" ht="13.5" thickBot="1">
      <c r="A47" s="32" t="s">
        <v>43</v>
      </c>
      <c r="B47" s="82">
        <f>Лист1!B41</f>
        <v>651.88</v>
      </c>
      <c r="C47" s="33">
        <f t="shared" si="5"/>
        <v>5638.762000000001</v>
      </c>
      <c r="D47" s="28">
        <f>Лист1!D41</f>
        <v>416.6520000000009</v>
      </c>
      <c r="E47" s="14">
        <f>Лист1!S41</f>
        <v>5222.11</v>
      </c>
      <c r="F47" s="30">
        <f>Лист1!T41</f>
        <v>0</v>
      </c>
      <c r="G47" s="29">
        <f>Лист1!AB41</f>
        <v>5369.96</v>
      </c>
      <c r="H47" s="30">
        <f>Лист1!AC41</f>
        <v>5786.612000000001</v>
      </c>
      <c r="I47" s="29">
        <f>Лист1!AG41</f>
        <v>391.128</v>
      </c>
      <c r="J47" s="14">
        <f>Лист1!AI41+Лист1!AJ41</f>
        <v>651.88</v>
      </c>
      <c r="K47" s="14">
        <f>Лист1!AH41+Лист1!AK41+Лист1!AL41+Лист1!AM41+Лист1!AN41+Лист1!AO41+Лист1!AP41+Лист1!AQ41+Лист1!AR41</f>
        <v>2235.9484</v>
      </c>
      <c r="L47" s="31">
        <f>Лист1!AS41+Лист1!AT41+Лист1!AU41+Лист1!AZ41+Лист1!BA41</f>
        <v>0</v>
      </c>
      <c r="M47" s="31">
        <f>Лист1!AX41</f>
        <v>395.78000000000003</v>
      </c>
      <c r="N47" s="30">
        <f>Лист1!BB41</f>
        <v>3674.7364</v>
      </c>
      <c r="O47" s="74">
        <f>Лист1!BD41</f>
        <v>2111.875600000001</v>
      </c>
      <c r="P47" s="74">
        <f>Лист1!BE41</f>
        <v>147.85000000000036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67645.07600000002</v>
      </c>
      <c r="D48" s="67">
        <f t="shared" si="6"/>
        <v>5232.526000000013</v>
      </c>
      <c r="E48" s="36">
        <f t="shared" si="6"/>
        <v>56473.45</v>
      </c>
      <c r="F48" s="68">
        <f t="shared" si="6"/>
        <v>5939.1</v>
      </c>
      <c r="G48" s="67">
        <f t="shared" si="6"/>
        <v>52710.76</v>
      </c>
      <c r="H48" s="68">
        <f t="shared" si="6"/>
        <v>63882.38600000001</v>
      </c>
      <c r="I48" s="67">
        <f t="shared" si="6"/>
        <v>4692.144</v>
      </c>
      <c r="J48" s="36">
        <f t="shared" si="6"/>
        <v>7820.240000000001</v>
      </c>
      <c r="K48" s="36">
        <f t="shared" si="6"/>
        <v>26823.42320000001</v>
      </c>
      <c r="L48" s="36">
        <f t="shared" si="6"/>
        <v>20277.2958</v>
      </c>
      <c r="M48" s="36">
        <f t="shared" si="6"/>
        <v>3388</v>
      </c>
      <c r="N48" s="68">
        <f t="shared" si="6"/>
        <v>63001.102999999996</v>
      </c>
      <c r="O48" s="75">
        <f t="shared" si="6"/>
        <v>881.2830000000149</v>
      </c>
      <c r="P48" s="75">
        <f t="shared" si="6"/>
        <v>-3762.6899999999964</v>
      </c>
      <c r="Q48" s="71"/>
      <c r="R48" s="71"/>
    </row>
    <row r="49" spans="1:18" ht="13.5" thickBot="1">
      <c r="A49" s="321" t="s">
        <v>70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152057.83100000003</v>
      </c>
      <c r="D50" s="37">
        <f aca="true" t="shared" si="7" ref="D50:N50">D34+D48</f>
        <v>15938.766600150017</v>
      </c>
      <c r="E50" s="38">
        <f t="shared" si="7"/>
        <v>116909.23999999999</v>
      </c>
      <c r="F50" s="39">
        <f t="shared" si="7"/>
        <v>19523.170000000002</v>
      </c>
      <c r="G50" s="37">
        <f t="shared" si="7"/>
        <v>104425.34</v>
      </c>
      <c r="H50" s="39">
        <f t="shared" si="7"/>
        <v>139887.27660015004</v>
      </c>
      <c r="I50" s="37">
        <f t="shared" si="7"/>
        <v>10391.34</v>
      </c>
      <c r="J50" s="38">
        <f t="shared" si="7"/>
        <v>17249.216957017</v>
      </c>
      <c r="K50" s="38">
        <f t="shared" si="7"/>
        <v>59177.476517314615</v>
      </c>
      <c r="L50" s="38">
        <f t="shared" si="7"/>
        <v>42024.3872</v>
      </c>
      <c r="M50" s="38">
        <f t="shared" si="7"/>
        <v>6586.272000000001</v>
      </c>
      <c r="N50" s="78">
        <f t="shared" si="7"/>
        <v>135428.6926743316</v>
      </c>
      <c r="O50" s="77">
        <f>O34+O48</f>
        <v>4458.5839258184205</v>
      </c>
      <c r="P50" s="77">
        <f>P34+P48</f>
        <v>-12483.900000000001</v>
      </c>
      <c r="Q50" s="72"/>
      <c r="R50" s="71"/>
    </row>
    <row r="51" spans="1:18" s="20" customFormat="1" ht="12.75">
      <c r="A51" s="25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1"/>
    </row>
    <row r="52" spans="1:18" ht="12.75">
      <c r="A52" s="20" t="s">
        <v>88</v>
      </c>
      <c r="D52" s="83" t="s">
        <v>92</v>
      </c>
      <c r="Q52" s="1"/>
      <c r="R52" s="1"/>
    </row>
    <row r="53" spans="1:18" ht="12.75">
      <c r="A53" s="21" t="s">
        <v>71</v>
      </c>
      <c r="B53" s="21" t="s">
        <v>72</v>
      </c>
      <c r="C53" s="348" t="s">
        <v>73</v>
      </c>
      <c r="D53" s="348"/>
      <c r="Q53" s="1"/>
      <c r="R53" s="1"/>
    </row>
    <row r="54" spans="1:18" ht="12.75">
      <c r="A54" s="124">
        <v>32538.9</v>
      </c>
      <c r="B54" s="124">
        <v>0</v>
      </c>
      <c r="C54" s="346">
        <f>A54-B54</f>
        <v>32538.9</v>
      </c>
      <c r="D54" s="347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I9:N10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49:O49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G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H1" sqref="BH1:EF16384"/>
    </sheetView>
  </sheetViews>
  <sheetFormatPr defaultColWidth="9.00390625" defaultRowHeight="12.75"/>
  <cols>
    <col min="1" max="1" width="8.75390625" style="159" bestFit="1" customWidth="1"/>
    <col min="2" max="2" width="9.125" style="159" customWidth="1"/>
    <col min="3" max="3" width="11.375" style="159" customWidth="1"/>
    <col min="4" max="4" width="10.375" style="159" customWidth="1"/>
    <col min="5" max="5" width="10.125" style="159" bestFit="1" customWidth="1"/>
    <col min="6" max="6" width="9.125" style="159" customWidth="1"/>
    <col min="7" max="7" width="10.25390625" style="159" customWidth="1"/>
    <col min="8" max="8" width="9.125" style="159" customWidth="1"/>
    <col min="9" max="9" width="9.875" style="159" customWidth="1"/>
    <col min="10" max="10" width="9.125" style="159" customWidth="1"/>
    <col min="11" max="11" width="10.375" style="159" customWidth="1"/>
    <col min="12" max="12" width="9.125" style="159" customWidth="1"/>
    <col min="13" max="13" width="10.125" style="159" bestFit="1" customWidth="1"/>
    <col min="14" max="14" width="9.125" style="159" customWidth="1"/>
    <col min="15" max="15" width="10.125" style="159" bestFit="1" customWidth="1"/>
    <col min="16" max="18" width="9.125" style="159" customWidth="1"/>
    <col min="19" max="19" width="10.125" style="159" bestFit="1" customWidth="1"/>
    <col min="20" max="20" width="10.125" style="159" customWidth="1"/>
    <col min="21" max="21" width="10.125" style="159" bestFit="1" customWidth="1"/>
    <col min="22" max="22" width="10.25390625" style="159" customWidth="1"/>
    <col min="23" max="23" width="10.625" style="159" customWidth="1"/>
    <col min="24" max="24" width="10.125" style="159" customWidth="1"/>
    <col min="25" max="28" width="10.125" style="159" bestFit="1" customWidth="1"/>
    <col min="29" max="30" width="11.375" style="159" customWidth="1"/>
    <col min="31" max="31" width="9.25390625" style="159" bestFit="1" customWidth="1"/>
    <col min="32" max="32" width="10.125" style="159" bestFit="1" customWidth="1"/>
    <col min="33" max="33" width="12.00390625" style="159" customWidth="1"/>
    <col min="34" max="34" width="14.25390625" style="159" customWidth="1"/>
    <col min="35" max="35" width="9.25390625" style="159" bestFit="1" customWidth="1"/>
    <col min="36" max="36" width="12.625" style="159" customWidth="1"/>
    <col min="37" max="38" width="9.25390625" style="159" bestFit="1" customWidth="1"/>
    <col min="39" max="39" width="10.125" style="159" bestFit="1" customWidth="1"/>
    <col min="40" max="40" width="9.25390625" style="159" bestFit="1" customWidth="1"/>
    <col min="41" max="42" width="10.125" style="159" bestFit="1" customWidth="1"/>
    <col min="43" max="44" width="9.25390625" style="159" customWidth="1"/>
    <col min="45" max="45" width="10.125" style="159" bestFit="1" customWidth="1"/>
    <col min="46" max="46" width="11.625" style="159" customWidth="1"/>
    <col min="47" max="47" width="10.875" style="159" customWidth="1"/>
    <col min="48" max="48" width="10.625" style="159" customWidth="1"/>
    <col min="49" max="49" width="10.25390625" style="159" customWidth="1"/>
    <col min="50" max="50" width="10.625" style="159" customWidth="1"/>
    <col min="51" max="53" width="10.125" style="159" bestFit="1" customWidth="1"/>
    <col min="54" max="54" width="11.625" style="159" customWidth="1"/>
    <col min="55" max="55" width="11.75390625" style="159" customWidth="1"/>
    <col min="56" max="56" width="12.125" style="159" customWidth="1"/>
    <col min="57" max="57" width="13.625" style="159" customWidth="1"/>
    <col min="58" max="58" width="11.00390625" style="159" customWidth="1"/>
    <col min="59" max="59" width="11.375" style="159" customWidth="1"/>
    <col min="60" max="16384" width="9.125" style="159" customWidth="1"/>
  </cols>
  <sheetData>
    <row r="1" spans="1:18" ht="21" customHeight="1">
      <c r="A1" s="273" t="s">
        <v>118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58"/>
      <c r="P1" s="158"/>
      <c r="Q1" s="158"/>
      <c r="R1" s="158"/>
    </row>
    <row r="2" spans="1:18" ht="13.5" thickBot="1">
      <c r="A2" s="158"/>
      <c r="B2" s="160"/>
      <c r="C2" s="161"/>
      <c r="D2" s="161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59" ht="29.25" customHeight="1" thickBot="1">
      <c r="A3" s="399" t="s">
        <v>0</v>
      </c>
      <c r="B3" s="424" t="s">
        <v>1</v>
      </c>
      <c r="C3" s="426" t="s">
        <v>2</v>
      </c>
      <c r="D3" s="428" t="s">
        <v>3</v>
      </c>
      <c r="E3" s="399" t="s">
        <v>95</v>
      </c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339"/>
      <c r="S3" s="399"/>
      <c r="T3" s="400"/>
      <c r="U3" s="399" t="s">
        <v>5</v>
      </c>
      <c r="V3" s="400"/>
      <c r="W3" s="403" t="s">
        <v>6</v>
      </c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5"/>
      <c r="AJ3" s="409" t="s">
        <v>74</v>
      </c>
      <c r="AK3" s="412" t="s">
        <v>10</v>
      </c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4"/>
      <c r="BF3" s="418" t="s">
        <v>11</v>
      </c>
      <c r="BG3" s="387" t="s">
        <v>12</v>
      </c>
    </row>
    <row r="4" spans="1:59" ht="51.75" customHeight="1" hidden="1" thickBot="1">
      <c r="A4" s="423"/>
      <c r="B4" s="425"/>
      <c r="C4" s="427"/>
      <c r="D4" s="429"/>
      <c r="E4" s="423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331"/>
      <c r="S4" s="401"/>
      <c r="T4" s="402"/>
      <c r="U4" s="401"/>
      <c r="V4" s="402"/>
      <c r="W4" s="406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8"/>
      <c r="AJ4" s="410"/>
      <c r="AK4" s="415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7"/>
      <c r="BF4" s="419"/>
      <c r="BG4" s="388"/>
    </row>
    <row r="5" spans="1:59" ht="19.5" customHeight="1">
      <c r="A5" s="423"/>
      <c r="B5" s="425"/>
      <c r="C5" s="427"/>
      <c r="D5" s="429"/>
      <c r="E5" s="390" t="s">
        <v>13</v>
      </c>
      <c r="F5" s="391"/>
      <c r="G5" s="390" t="s">
        <v>96</v>
      </c>
      <c r="H5" s="391"/>
      <c r="I5" s="390" t="s">
        <v>14</v>
      </c>
      <c r="J5" s="391"/>
      <c r="K5" s="390" t="s">
        <v>16</v>
      </c>
      <c r="L5" s="391"/>
      <c r="M5" s="390" t="s">
        <v>15</v>
      </c>
      <c r="N5" s="391"/>
      <c r="O5" s="394" t="s">
        <v>17</v>
      </c>
      <c r="P5" s="394"/>
      <c r="Q5" s="390" t="s">
        <v>97</v>
      </c>
      <c r="R5" s="391"/>
      <c r="S5" s="394" t="s">
        <v>18</v>
      </c>
      <c r="T5" s="391"/>
      <c r="U5" s="397" t="s">
        <v>20</v>
      </c>
      <c r="V5" s="421" t="s">
        <v>21</v>
      </c>
      <c r="W5" s="383" t="s">
        <v>22</v>
      </c>
      <c r="X5" s="383" t="s">
        <v>98</v>
      </c>
      <c r="Y5" s="383" t="s">
        <v>23</v>
      </c>
      <c r="Z5" s="383" t="s">
        <v>25</v>
      </c>
      <c r="AA5" s="383" t="s">
        <v>24</v>
      </c>
      <c r="AB5" s="383" t="s">
        <v>26</v>
      </c>
      <c r="AC5" s="383" t="s">
        <v>27</v>
      </c>
      <c r="AD5" s="385" t="s">
        <v>28</v>
      </c>
      <c r="AE5" s="385" t="s">
        <v>99</v>
      </c>
      <c r="AF5" s="373" t="s">
        <v>29</v>
      </c>
      <c r="AG5" s="375" t="s">
        <v>86</v>
      </c>
      <c r="AH5" s="377" t="s">
        <v>8</v>
      </c>
      <c r="AI5" s="379" t="s">
        <v>9</v>
      </c>
      <c r="AJ5" s="410"/>
      <c r="AK5" s="381" t="s">
        <v>100</v>
      </c>
      <c r="AL5" s="371" t="s">
        <v>101</v>
      </c>
      <c r="AM5" s="371" t="s">
        <v>102</v>
      </c>
      <c r="AN5" s="365" t="s">
        <v>103</v>
      </c>
      <c r="AO5" s="371" t="s">
        <v>104</v>
      </c>
      <c r="AP5" s="365" t="s">
        <v>105</v>
      </c>
      <c r="AQ5" s="365" t="s">
        <v>106</v>
      </c>
      <c r="AR5" s="365" t="s">
        <v>107</v>
      </c>
      <c r="AS5" s="365" t="s">
        <v>108</v>
      </c>
      <c r="AT5" s="365" t="s">
        <v>36</v>
      </c>
      <c r="AU5" s="287" t="s">
        <v>109</v>
      </c>
      <c r="AV5" s="319" t="s">
        <v>110</v>
      </c>
      <c r="AW5" s="287" t="s">
        <v>111</v>
      </c>
      <c r="AX5" s="308" t="s">
        <v>112</v>
      </c>
      <c r="AY5" s="139"/>
      <c r="AZ5" s="363" t="s">
        <v>19</v>
      </c>
      <c r="BA5" s="365" t="s">
        <v>38</v>
      </c>
      <c r="BB5" s="365" t="s">
        <v>33</v>
      </c>
      <c r="BC5" s="367" t="s">
        <v>39</v>
      </c>
      <c r="BD5" s="369" t="s">
        <v>75</v>
      </c>
      <c r="BE5" s="365" t="s">
        <v>113</v>
      </c>
      <c r="BF5" s="419"/>
      <c r="BG5" s="388"/>
    </row>
    <row r="6" spans="1:59" ht="56.25" customHeight="1" thickBot="1">
      <c r="A6" s="423"/>
      <c r="B6" s="425"/>
      <c r="C6" s="427"/>
      <c r="D6" s="429"/>
      <c r="E6" s="392"/>
      <c r="F6" s="393"/>
      <c r="G6" s="392"/>
      <c r="H6" s="393"/>
      <c r="I6" s="392"/>
      <c r="J6" s="393"/>
      <c r="K6" s="392"/>
      <c r="L6" s="393"/>
      <c r="M6" s="392"/>
      <c r="N6" s="393"/>
      <c r="O6" s="395"/>
      <c r="P6" s="395"/>
      <c r="Q6" s="392"/>
      <c r="R6" s="393"/>
      <c r="S6" s="396"/>
      <c r="T6" s="393"/>
      <c r="U6" s="398"/>
      <c r="V6" s="422"/>
      <c r="W6" s="384"/>
      <c r="X6" s="384"/>
      <c r="Y6" s="384"/>
      <c r="Z6" s="384"/>
      <c r="AA6" s="384"/>
      <c r="AB6" s="384"/>
      <c r="AC6" s="384"/>
      <c r="AD6" s="386"/>
      <c r="AE6" s="386"/>
      <c r="AF6" s="374"/>
      <c r="AG6" s="376"/>
      <c r="AH6" s="378"/>
      <c r="AI6" s="380"/>
      <c r="AJ6" s="411"/>
      <c r="AK6" s="382"/>
      <c r="AL6" s="372"/>
      <c r="AM6" s="372"/>
      <c r="AN6" s="366"/>
      <c r="AO6" s="372"/>
      <c r="AP6" s="366"/>
      <c r="AQ6" s="366"/>
      <c r="AR6" s="366"/>
      <c r="AS6" s="366"/>
      <c r="AT6" s="366"/>
      <c r="AU6" s="288"/>
      <c r="AV6" s="320"/>
      <c r="AW6" s="288"/>
      <c r="AX6" s="309"/>
      <c r="AY6" s="140" t="s">
        <v>114</v>
      </c>
      <c r="AZ6" s="364"/>
      <c r="BA6" s="366"/>
      <c r="BB6" s="366"/>
      <c r="BC6" s="368"/>
      <c r="BD6" s="370"/>
      <c r="BE6" s="366"/>
      <c r="BF6" s="420"/>
      <c r="BG6" s="389"/>
    </row>
    <row r="7" spans="1:59" ht="19.5" customHeight="1" thickBot="1">
      <c r="A7" s="162">
        <v>1</v>
      </c>
      <c r="B7" s="163">
        <v>2</v>
      </c>
      <c r="C7" s="163">
        <v>3</v>
      </c>
      <c r="D7" s="162">
        <v>4</v>
      </c>
      <c r="E7" s="163">
        <v>5</v>
      </c>
      <c r="F7" s="163">
        <v>6</v>
      </c>
      <c r="G7" s="162">
        <v>7</v>
      </c>
      <c r="H7" s="163">
        <v>8</v>
      </c>
      <c r="I7" s="163">
        <v>9</v>
      </c>
      <c r="J7" s="162">
        <v>10</v>
      </c>
      <c r="K7" s="163">
        <v>11</v>
      </c>
      <c r="L7" s="163">
        <v>12</v>
      </c>
      <c r="M7" s="162">
        <v>13</v>
      </c>
      <c r="N7" s="163">
        <v>14</v>
      </c>
      <c r="O7" s="163">
        <v>15</v>
      </c>
      <c r="P7" s="162">
        <v>16</v>
      </c>
      <c r="Q7" s="163">
        <v>17</v>
      </c>
      <c r="R7" s="163">
        <v>18</v>
      </c>
      <c r="S7" s="162">
        <v>19</v>
      </c>
      <c r="T7" s="163">
        <v>20</v>
      </c>
      <c r="U7" s="163">
        <v>21</v>
      </c>
      <c r="V7" s="162">
        <v>22</v>
      </c>
      <c r="W7" s="163">
        <v>23</v>
      </c>
      <c r="X7" s="162">
        <v>24</v>
      </c>
      <c r="Y7" s="163">
        <v>25</v>
      </c>
      <c r="Z7" s="162">
        <v>26</v>
      </c>
      <c r="AA7" s="163">
        <v>27</v>
      </c>
      <c r="AB7" s="162">
        <v>28</v>
      </c>
      <c r="AC7" s="163">
        <v>29</v>
      </c>
      <c r="AD7" s="162">
        <v>30</v>
      </c>
      <c r="AE7" s="162">
        <v>31</v>
      </c>
      <c r="AF7" s="163">
        <v>32</v>
      </c>
      <c r="AG7" s="162">
        <v>33</v>
      </c>
      <c r="AH7" s="163">
        <v>34</v>
      </c>
      <c r="AI7" s="162">
        <v>35</v>
      </c>
      <c r="AJ7" s="163">
        <v>36</v>
      </c>
      <c r="AK7" s="162">
        <v>37</v>
      </c>
      <c r="AL7" s="163">
        <v>38</v>
      </c>
      <c r="AM7" s="162">
        <v>39</v>
      </c>
      <c r="AN7" s="162">
        <v>40</v>
      </c>
      <c r="AO7" s="163">
        <v>41</v>
      </c>
      <c r="AP7" s="162">
        <v>42</v>
      </c>
      <c r="AQ7" s="163">
        <v>43</v>
      </c>
      <c r="AR7" s="162"/>
      <c r="AS7" s="162">
        <v>44</v>
      </c>
      <c r="AT7" s="163">
        <v>45</v>
      </c>
      <c r="AU7" s="162">
        <v>46</v>
      </c>
      <c r="AV7" s="163">
        <v>47</v>
      </c>
      <c r="AW7" s="162">
        <v>48</v>
      </c>
      <c r="AX7" s="162">
        <v>49</v>
      </c>
      <c r="AY7" s="163"/>
      <c r="AZ7" s="163">
        <v>50</v>
      </c>
      <c r="BA7" s="163">
        <v>51</v>
      </c>
      <c r="BB7" s="163">
        <v>52</v>
      </c>
      <c r="BC7" s="163">
        <v>53</v>
      </c>
      <c r="BD7" s="163">
        <v>54</v>
      </c>
      <c r="BE7" s="163"/>
      <c r="BF7" s="163">
        <v>55</v>
      </c>
      <c r="BG7" s="163">
        <v>56</v>
      </c>
    </row>
    <row r="8" spans="1:59" s="20" customFormat="1" ht="13.5" thickBot="1">
      <c r="A8" s="22" t="s">
        <v>54</v>
      </c>
      <c r="B8" s="164">
        <f>'[1]ЛИЦ.СЧЕТ'!B42</f>
        <v>0</v>
      </c>
      <c r="C8" s="164">
        <f>Лист1!C44</f>
        <v>152057.83100000003</v>
      </c>
      <c r="D8" s="164">
        <f>Лист1!D44</f>
        <v>15938.766600150017</v>
      </c>
      <c r="E8" s="164">
        <f>Лист1!E44</f>
        <v>13500.329999999998</v>
      </c>
      <c r="F8" s="164">
        <f>Лист1!F44</f>
        <v>2253.88</v>
      </c>
      <c r="G8" s="164"/>
      <c r="H8" s="164"/>
      <c r="I8" s="164">
        <f>Лист1!G44</f>
        <v>18268.97</v>
      </c>
      <c r="J8" s="164">
        <f>Лист1!H44</f>
        <v>3051.63</v>
      </c>
      <c r="K8" s="164">
        <f>Лист1!K44</f>
        <v>30419.14</v>
      </c>
      <c r="L8" s="164">
        <f>Лист1!L44</f>
        <v>5080.26</v>
      </c>
      <c r="M8" s="164">
        <f>Лист1!I44</f>
        <v>43920.47</v>
      </c>
      <c r="N8" s="164">
        <f>Лист1!J44</f>
        <v>7334.209999999999</v>
      </c>
      <c r="O8" s="164">
        <f>Лист1!M44</f>
        <v>10800.33</v>
      </c>
      <c r="P8" s="164">
        <f>Лист1!N44</f>
        <v>1803.1899999999998</v>
      </c>
      <c r="Q8" s="164">
        <f>'[2]Лист1'!O44</f>
        <v>0</v>
      </c>
      <c r="R8" s="164"/>
      <c r="S8" s="164">
        <f>'[2]Лист1'!O44</f>
        <v>0</v>
      </c>
      <c r="T8" s="164">
        <f>'[2]Лист1'!P44</f>
        <v>0</v>
      </c>
      <c r="U8" s="164">
        <f>Лист1!S44</f>
        <v>116909.23999999999</v>
      </c>
      <c r="V8" s="164">
        <f>Лист1!T44</f>
        <v>19523.170000000002</v>
      </c>
      <c r="W8" s="164">
        <f>Лист1!U44</f>
        <v>12059.59</v>
      </c>
      <c r="X8" s="164"/>
      <c r="Y8" s="164">
        <f>Лист1!V44</f>
        <v>16317.13</v>
      </c>
      <c r="Z8" s="164">
        <f>Лист1!X44</f>
        <v>27170.579999999998</v>
      </c>
      <c r="AA8" s="164">
        <f>Лист1!W44</f>
        <v>39230.28999999999</v>
      </c>
      <c r="AB8" s="164">
        <f>Лист1!Y44</f>
        <v>9647.75</v>
      </c>
      <c r="AC8" s="164">
        <f>'[3]Лист1'!Z44</f>
        <v>0</v>
      </c>
      <c r="AD8" s="164"/>
      <c r="AE8" s="164"/>
      <c r="AF8" s="164">
        <f>Лист1!AB44</f>
        <v>104425.34</v>
      </c>
      <c r="AG8" s="164">
        <f>Лист1!AC44</f>
        <v>139887.27660015004</v>
      </c>
      <c r="AH8" s="164"/>
      <c r="AI8" s="164"/>
      <c r="AJ8" s="164">
        <f>Лист1!AF44</f>
        <v>0</v>
      </c>
      <c r="AK8" s="164">
        <f>Лист1!AG44</f>
        <v>10391.34</v>
      </c>
      <c r="AL8" s="164">
        <f>Лист1!AH44</f>
        <v>3481.9008156</v>
      </c>
      <c r="AM8" s="164">
        <f>Лист1!AI44+Лист1!AJ44</f>
        <v>17249.216957017</v>
      </c>
      <c r="AN8" s="164">
        <f>0</f>
        <v>0</v>
      </c>
      <c r="AO8" s="164">
        <f>Лист1!AK44+Лист1!AL44</f>
        <v>17205.220074665795</v>
      </c>
      <c r="AP8" s="164">
        <f>Лист1!AM44+Лист1!AN44</f>
        <v>38490.3556270488</v>
      </c>
      <c r="AQ8" s="164">
        <f>0</f>
        <v>0</v>
      </c>
      <c r="AR8" s="164">
        <f>0</f>
        <v>0</v>
      </c>
      <c r="AS8" s="164">
        <f>0</f>
        <v>0</v>
      </c>
      <c r="AT8" s="164">
        <f>'[4]Лист1'!AO44</f>
        <v>0</v>
      </c>
      <c r="AU8" s="164">
        <f>Лист1!AS44+Лист1!AU44</f>
        <v>30477.2772</v>
      </c>
      <c r="AV8" s="164">
        <f>0</f>
        <v>0</v>
      </c>
      <c r="AW8" s="164">
        <f>Лист1!AT44</f>
        <v>11547.109999999999</v>
      </c>
      <c r="AX8" s="164">
        <f>'[4]Лист1'!AQ44</f>
        <v>0</v>
      </c>
      <c r="AY8" s="165">
        <f>Лист1!AX44</f>
        <v>6586.272000000001</v>
      </c>
      <c r="AZ8" s="165"/>
      <c r="BA8" s="165"/>
      <c r="BB8" s="165"/>
      <c r="BC8" s="165">
        <f>Лист1!BB44</f>
        <v>135428.6926743316</v>
      </c>
      <c r="BD8" s="164">
        <f>0</f>
        <v>0</v>
      </c>
      <c r="BE8" s="164">
        <f>BC8</f>
        <v>135428.6926743316</v>
      </c>
      <c r="BF8" s="166">
        <f>Лист1!BD44</f>
        <v>4458.5839258184205</v>
      </c>
      <c r="BG8" s="166">
        <f>Лист1!BE44</f>
        <v>-12483.900000000001</v>
      </c>
    </row>
    <row r="9" spans="1:59" ht="12.75">
      <c r="A9" s="5" t="s">
        <v>115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51"/>
      <c r="BD9" s="167"/>
      <c r="BE9" s="168"/>
      <c r="BF9" s="166"/>
      <c r="BG9" s="169"/>
    </row>
    <row r="10" spans="1:59" ht="12.75">
      <c r="A10" s="170" t="s">
        <v>45</v>
      </c>
      <c r="B10" s="141">
        <v>651.88</v>
      </c>
      <c r="C10" s="122">
        <f aca="true" t="shared" si="0" ref="C10:C15">B10*8.55</f>
        <v>5573.5740000000005</v>
      </c>
      <c r="D10" s="99">
        <v>104.55</v>
      </c>
      <c r="E10" s="143">
        <v>0</v>
      </c>
      <c r="F10" s="144">
        <v>0</v>
      </c>
      <c r="G10" s="143">
        <v>3462.37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1681.48</v>
      </c>
      <c r="N10" s="143">
        <v>0</v>
      </c>
      <c r="O10" s="143">
        <v>583.31</v>
      </c>
      <c r="P10" s="144">
        <v>0</v>
      </c>
      <c r="Q10" s="172">
        <v>0</v>
      </c>
      <c r="R10" s="173">
        <v>0</v>
      </c>
      <c r="S10" s="174">
        <v>0</v>
      </c>
      <c r="T10" s="173">
        <v>0</v>
      </c>
      <c r="U10" s="175">
        <f aca="true" t="shared" si="1" ref="U10:V21">E10+G10+I10+K10+M10+O10+Q10+S10</f>
        <v>5727.16</v>
      </c>
      <c r="V10" s="176">
        <f t="shared" si="1"/>
        <v>0</v>
      </c>
      <c r="W10" s="145">
        <v>495.68</v>
      </c>
      <c r="X10" s="145"/>
      <c r="Y10" s="145">
        <v>671.09</v>
      </c>
      <c r="Z10" s="145">
        <v>1117.21</v>
      </c>
      <c r="AA10" s="145">
        <v>1612.94</v>
      </c>
      <c r="AB10" s="145">
        <v>396.54</v>
      </c>
      <c r="AC10" s="148">
        <v>0</v>
      </c>
      <c r="AD10" s="148">
        <v>0</v>
      </c>
      <c r="AE10" s="177">
        <v>0</v>
      </c>
      <c r="AF10" s="177">
        <f>SUM(W10:AE10)</f>
        <v>4293.46</v>
      </c>
      <c r="AG10" s="178">
        <f>AF10+V10+D10</f>
        <v>4398.01</v>
      </c>
      <c r="AH10" s="182">
        <f aca="true" t="shared" si="2" ref="AH10:AI21">AC10</f>
        <v>0</v>
      </c>
      <c r="AI10" s="182">
        <f t="shared" si="2"/>
        <v>0</v>
      </c>
      <c r="AJ10" s="150"/>
      <c r="AK10" s="151">
        <f aca="true" t="shared" si="3" ref="AK10:AK21">0.67*B10</f>
        <v>436.75960000000003</v>
      </c>
      <c r="AL10" s="151">
        <f aca="true" t="shared" si="4" ref="AL10:AL21">B10*0.2</f>
        <v>130.376</v>
      </c>
      <c r="AM10" s="151">
        <f aca="true" t="shared" si="5" ref="AM10:AM21">B10*1</f>
        <v>651.88</v>
      </c>
      <c r="AN10" s="151">
        <f aca="true" t="shared" si="6" ref="AN10:AN21">B10*0.21</f>
        <v>136.8948</v>
      </c>
      <c r="AO10" s="151">
        <f aca="true" t="shared" si="7" ref="AO10:AO21">2.02*B10</f>
        <v>1316.7976</v>
      </c>
      <c r="AP10" s="151">
        <f aca="true" t="shared" si="8" ref="AP10:AP21">B10*1.03</f>
        <v>671.4364</v>
      </c>
      <c r="AQ10" s="151">
        <f aca="true" t="shared" si="9" ref="AQ10:AQ21">B10*0.75</f>
        <v>488.90999999999997</v>
      </c>
      <c r="AR10" s="151">
        <f aca="true" t="shared" si="10" ref="AR10:AR21">B10*0.75</f>
        <v>488.90999999999997</v>
      </c>
      <c r="AS10" s="151">
        <f>B10*1.15</f>
        <v>749.6619999999999</v>
      </c>
      <c r="AT10" s="151"/>
      <c r="AU10" s="153"/>
      <c r="AV10" s="152"/>
      <c r="AW10" s="153"/>
      <c r="AX10" s="153"/>
      <c r="AY10" s="153"/>
      <c r="AZ10" s="112"/>
      <c r="BA10" s="156"/>
      <c r="BB10" s="156">
        <f>BA10*0.18</f>
        <v>0</v>
      </c>
      <c r="BC10" s="156">
        <f aca="true" t="shared" si="11" ref="BC10:BC21">SUM(AK10:BB10)</f>
        <v>5071.626400000001</v>
      </c>
      <c r="BD10" s="157"/>
      <c r="BE10" s="157">
        <f>BC10</f>
        <v>5071.626400000001</v>
      </c>
      <c r="BF10" s="157">
        <f aca="true" t="shared" si="12" ref="BF10:BF21">AG10-BE10</f>
        <v>-673.6164000000008</v>
      </c>
      <c r="BG10" s="157">
        <f aca="true" t="shared" si="13" ref="BG10:BG21">AF10-U10</f>
        <v>-1433.6999999999998</v>
      </c>
    </row>
    <row r="11" spans="1:59" ht="14.25">
      <c r="A11" s="170" t="s">
        <v>46</v>
      </c>
      <c r="B11" s="141">
        <v>651.88</v>
      </c>
      <c r="C11" s="122">
        <f t="shared" si="0"/>
        <v>5573.5740000000005</v>
      </c>
      <c r="D11" s="99">
        <v>104.55</v>
      </c>
      <c r="E11" s="143">
        <v>0</v>
      </c>
      <c r="F11" s="144">
        <v>0</v>
      </c>
      <c r="G11" s="143">
        <v>3462.37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1681.48</v>
      </c>
      <c r="N11" s="143">
        <v>0</v>
      </c>
      <c r="O11" s="143">
        <v>583.31</v>
      </c>
      <c r="P11" s="143">
        <v>0</v>
      </c>
      <c r="Q11" s="144">
        <v>0</v>
      </c>
      <c r="R11" s="144">
        <v>0</v>
      </c>
      <c r="S11" s="148">
        <v>0</v>
      </c>
      <c r="T11" s="145">
        <v>0</v>
      </c>
      <c r="U11" s="181">
        <f t="shared" si="1"/>
        <v>5727.16</v>
      </c>
      <c r="V11" s="176">
        <f t="shared" si="1"/>
        <v>0</v>
      </c>
      <c r="W11" s="260">
        <v>103.56</v>
      </c>
      <c r="X11" s="261">
        <v>2666.91</v>
      </c>
      <c r="Y11" s="260">
        <v>140.19</v>
      </c>
      <c r="Z11" s="260">
        <v>233.4</v>
      </c>
      <c r="AA11" s="260">
        <v>1631.61</v>
      </c>
      <c r="AB11" s="260">
        <v>531.98</v>
      </c>
      <c r="AC11" s="261">
        <v>0</v>
      </c>
      <c r="AD11" s="261">
        <v>0</v>
      </c>
      <c r="AE11" s="261">
        <v>0</v>
      </c>
      <c r="AF11" s="177">
        <f>SUM(W11:AE11)</f>
        <v>5307.65</v>
      </c>
      <c r="AG11" s="178">
        <f>AF11+V11+D11</f>
        <v>5412.2</v>
      </c>
      <c r="AH11" s="182">
        <f t="shared" si="2"/>
        <v>0</v>
      </c>
      <c r="AI11" s="182">
        <f t="shared" si="2"/>
        <v>0</v>
      </c>
      <c r="AJ11" s="150"/>
      <c r="AK11" s="151">
        <f t="shared" si="3"/>
        <v>436.75960000000003</v>
      </c>
      <c r="AL11" s="151">
        <f t="shared" si="4"/>
        <v>130.376</v>
      </c>
      <c r="AM11" s="151">
        <f t="shared" si="5"/>
        <v>651.88</v>
      </c>
      <c r="AN11" s="151">
        <f t="shared" si="6"/>
        <v>136.8948</v>
      </c>
      <c r="AO11" s="151">
        <f t="shared" si="7"/>
        <v>1316.7976</v>
      </c>
      <c r="AP11" s="151">
        <f t="shared" si="8"/>
        <v>671.4364</v>
      </c>
      <c r="AQ11" s="151">
        <f t="shared" si="9"/>
        <v>488.90999999999997</v>
      </c>
      <c r="AR11" s="151">
        <f t="shared" si="10"/>
        <v>488.90999999999997</v>
      </c>
      <c r="AS11" s="151">
        <f>B11*1.15</f>
        <v>749.6619999999999</v>
      </c>
      <c r="AT11" s="151"/>
      <c r="AU11" s="153"/>
      <c r="AV11" s="152"/>
      <c r="AW11" s="153"/>
      <c r="AX11" s="153">
        <f>80</f>
        <v>80</v>
      </c>
      <c r="AY11" s="153"/>
      <c r="AZ11" s="112"/>
      <c r="BA11" s="156"/>
      <c r="BB11" s="156">
        <f>BA11*0.18</f>
        <v>0</v>
      </c>
      <c r="BC11" s="156">
        <f t="shared" si="11"/>
        <v>5151.626400000001</v>
      </c>
      <c r="BD11" s="157"/>
      <c r="BE11" s="157">
        <f aca="true" t="shared" si="14" ref="BE11:BE21">BC11</f>
        <v>5151.626400000001</v>
      </c>
      <c r="BF11" s="157">
        <f t="shared" si="12"/>
        <v>260.5735999999988</v>
      </c>
      <c r="BG11" s="157">
        <f t="shared" si="13"/>
        <v>-419.5100000000002</v>
      </c>
    </row>
    <row r="12" spans="1:59" ht="12.75">
      <c r="A12" s="170" t="s">
        <v>47</v>
      </c>
      <c r="B12" s="141">
        <v>651.88</v>
      </c>
      <c r="C12" s="122">
        <f t="shared" si="0"/>
        <v>5573.5740000000005</v>
      </c>
      <c r="D12" s="99">
        <v>104.55</v>
      </c>
      <c r="E12" s="143">
        <v>0</v>
      </c>
      <c r="F12" s="144">
        <v>0</v>
      </c>
      <c r="G12" s="143">
        <v>3462.37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1681.48</v>
      </c>
      <c r="N12" s="143">
        <v>0</v>
      </c>
      <c r="O12" s="143">
        <v>583.31</v>
      </c>
      <c r="P12" s="143">
        <v>0</v>
      </c>
      <c r="Q12" s="143">
        <v>0</v>
      </c>
      <c r="R12" s="143">
        <v>0</v>
      </c>
      <c r="S12" s="143">
        <v>0</v>
      </c>
      <c r="T12" s="145">
        <v>0</v>
      </c>
      <c r="U12" s="145">
        <f t="shared" si="1"/>
        <v>5727.16</v>
      </c>
      <c r="V12" s="146">
        <f t="shared" si="1"/>
        <v>0</v>
      </c>
      <c r="W12" s="147">
        <v>16.44</v>
      </c>
      <c r="X12" s="148">
        <v>2252.19</v>
      </c>
      <c r="Y12" s="145">
        <v>22.27</v>
      </c>
      <c r="Z12" s="145">
        <v>37.08</v>
      </c>
      <c r="AA12" s="145">
        <v>1147.25</v>
      </c>
      <c r="AB12" s="145">
        <v>392.56</v>
      </c>
      <c r="AC12" s="148">
        <v>0</v>
      </c>
      <c r="AD12" s="148">
        <v>0</v>
      </c>
      <c r="AE12" s="145">
        <v>0</v>
      </c>
      <c r="AF12" s="183">
        <f>SUM(W12:AE12)</f>
        <v>3867.79</v>
      </c>
      <c r="AG12" s="178">
        <f>AF12+V12+D12</f>
        <v>3972.34</v>
      </c>
      <c r="AH12" s="182">
        <f t="shared" si="2"/>
        <v>0</v>
      </c>
      <c r="AI12" s="182">
        <f t="shared" si="2"/>
        <v>0</v>
      </c>
      <c r="AJ12" s="150"/>
      <c r="AK12" s="151">
        <f t="shared" si="3"/>
        <v>436.75960000000003</v>
      </c>
      <c r="AL12" s="151">
        <f t="shared" si="4"/>
        <v>130.376</v>
      </c>
      <c r="AM12" s="151">
        <f t="shared" si="5"/>
        <v>651.88</v>
      </c>
      <c r="AN12" s="151">
        <f t="shared" si="6"/>
        <v>136.8948</v>
      </c>
      <c r="AO12" s="151">
        <f t="shared" si="7"/>
        <v>1316.7976</v>
      </c>
      <c r="AP12" s="151">
        <f t="shared" si="8"/>
        <v>671.4364</v>
      </c>
      <c r="AQ12" s="151">
        <f t="shared" si="9"/>
        <v>488.90999999999997</v>
      </c>
      <c r="AR12" s="151">
        <f t="shared" si="10"/>
        <v>488.90999999999997</v>
      </c>
      <c r="AS12" s="151">
        <f>B12*1.15</f>
        <v>749.6619999999999</v>
      </c>
      <c r="AT12" s="151"/>
      <c r="AU12" s="153"/>
      <c r="AV12" s="152"/>
      <c r="AW12" s="153"/>
      <c r="AX12" s="153"/>
      <c r="AY12" s="153"/>
      <c r="AZ12" s="112"/>
      <c r="BA12" s="156"/>
      <c r="BB12" s="156">
        <f>BA12*0.18</f>
        <v>0</v>
      </c>
      <c r="BC12" s="156">
        <f t="shared" si="11"/>
        <v>5071.626400000001</v>
      </c>
      <c r="BD12" s="157"/>
      <c r="BE12" s="157">
        <f t="shared" si="14"/>
        <v>5071.626400000001</v>
      </c>
      <c r="BF12" s="157">
        <f t="shared" si="12"/>
        <v>-1099.2864000000009</v>
      </c>
      <c r="BG12" s="157">
        <f t="shared" si="13"/>
        <v>-1859.37</v>
      </c>
    </row>
    <row r="13" spans="1:59" ht="12.75">
      <c r="A13" s="170" t="s">
        <v>48</v>
      </c>
      <c r="B13" s="141">
        <v>651.88</v>
      </c>
      <c r="C13" s="122">
        <f t="shared" si="0"/>
        <v>5573.5740000000005</v>
      </c>
      <c r="D13" s="99">
        <v>104.55</v>
      </c>
      <c r="E13" s="172">
        <v>0</v>
      </c>
      <c r="F13" s="144">
        <v>0</v>
      </c>
      <c r="G13" s="143">
        <v>3462.37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1681.48</v>
      </c>
      <c r="N13" s="143">
        <v>0</v>
      </c>
      <c r="O13" s="143">
        <v>583.31</v>
      </c>
      <c r="P13" s="143">
        <v>0</v>
      </c>
      <c r="Q13" s="144">
        <v>0</v>
      </c>
      <c r="R13" s="144">
        <v>0</v>
      </c>
      <c r="S13" s="262">
        <v>0</v>
      </c>
      <c r="T13" s="263">
        <v>0</v>
      </c>
      <c r="U13" s="181">
        <f t="shared" si="1"/>
        <v>5727.16</v>
      </c>
      <c r="V13" s="146">
        <f t="shared" si="1"/>
        <v>0</v>
      </c>
      <c r="W13" s="145">
        <v>380.12</v>
      </c>
      <c r="X13" s="148">
        <v>3166.44</v>
      </c>
      <c r="Y13" s="145">
        <v>514.66</v>
      </c>
      <c r="Z13" s="145">
        <v>856.81</v>
      </c>
      <c r="AA13" s="145">
        <v>2913</v>
      </c>
      <c r="AB13" s="148">
        <v>855.92</v>
      </c>
      <c r="AC13" s="145">
        <v>0</v>
      </c>
      <c r="AD13" s="148">
        <v>0</v>
      </c>
      <c r="AE13" s="148">
        <v>0</v>
      </c>
      <c r="AF13" s="177">
        <f>SUM(W13:AD13)</f>
        <v>8686.949999999999</v>
      </c>
      <c r="AG13" s="185">
        <f>AF13+V13+D13</f>
        <v>8791.499999999998</v>
      </c>
      <c r="AH13" s="195">
        <f t="shared" si="2"/>
        <v>0</v>
      </c>
      <c r="AI13" s="195">
        <f t="shared" si="2"/>
        <v>0</v>
      </c>
      <c r="AJ13" s="196"/>
      <c r="AK13" s="151">
        <f t="shared" si="3"/>
        <v>436.75960000000003</v>
      </c>
      <c r="AL13" s="151">
        <f t="shared" si="4"/>
        <v>130.376</v>
      </c>
      <c r="AM13" s="151">
        <f t="shared" si="5"/>
        <v>651.88</v>
      </c>
      <c r="AN13" s="151">
        <f t="shared" si="6"/>
        <v>136.8948</v>
      </c>
      <c r="AO13" s="151">
        <f t="shared" si="7"/>
        <v>1316.7976</v>
      </c>
      <c r="AP13" s="151">
        <f t="shared" si="8"/>
        <v>671.4364</v>
      </c>
      <c r="AQ13" s="151">
        <f t="shared" si="9"/>
        <v>488.90999999999997</v>
      </c>
      <c r="AR13" s="151">
        <f t="shared" si="10"/>
        <v>488.90999999999997</v>
      </c>
      <c r="AS13" s="151"/>
      <c r="AT13" s="197"/>
      <c r="AU13" s="198"/>
      <c r="AV13" s="198"/>
      <c r="AW13" s="198"/>
      <c r="AX13" s="198">
        <f>45</f>
        <v>45</v>
      </c>
      <c r="AY13" s="198"/>
      <c r="AZ13" s="112"/>
      <c r="BA13" s="197"/>
      <c r="BB13" s="197"/>
      <c r="BC13" s="143">
        <f t="shared" si="11"/>
        <v>4366.964400000001</v>
      </c>
      <c r="BD13" s="199"/>
      <c r="BE13" s="157">
        <f t="shared" si="14"/>
        <v>4366.964400000001</v>
      </c>
      <c r="BF13" s="157">
        <f t="shared" si="12"/>
        <v>4424.535599999997</v>
      </c>
      <c r="BG13" s="157">
        <f t="shared" si="13"/>
        <v>2959.789999999999</v>
      </c>
    </row>
    <row r="14" spans="1:59" ht="12.75">
      <c r="A14" s="170" t="s">
        <v>49</v>
      </c>
      <c r="B14" s="191">
        <v>651.88</v>
      </c>
      <c r="C14" s="122">
        <f t="shared" si="0"/>
        <v>5573.5740000000005</v>
      </c>
      <c r="D14" s="99">
        <v>104.55</v>
      </c>
      <c r="E14" s="142">
        <v>0</v>
      </c>
      <c r="F14" s="144">
        <v>0</v>
      </c>
      <c r="G14" s="143">
        <v>3462.37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1681.48</v>
      </c>
      <c r="N14" s="143">
        <v>0</v>
      </c>
      <c r="O14" s="143">
        <v>583.31</v>
      </c>
      <c r="P14" s="143">
        <v>0</v>
      </c>
      <c r="Q14" s="144">
        <v>0</v>
      </c>
      <c r="R14" s="144">
        <v>0</v>
      </c>
      <c r="S14" s="143">
        <v>0</v>
      </c>
      <c r="T14" s="148">
        <v>0</v>
      </c>
      <c r="U14" s="192">
        <f t="shared" si="1"/>
        <v>5727.16</v>
      </c>
      <c r="V14" s="193">
        <f>F14+H14+J14+L14+N14++R14+T14</f>
        <v>0</v>
      </c>
      <c r="W14" s="145">
        <v>3.88</v>
      </c>
      <c r="X14" s="148">
        <v>2033.53</v>
      </c>
      <c r="Y14" s="145">
        <v>5.26</v>
      </c>
      <c r="Z14" s="145">
        <v>8.76</v>
      </c>
      <c r="AA14" s="145">
        <v>2782.03</v>
      </c>
      <c r="AB14" s="145">
        <v>353.97</v>
      </c>
      <c r="AC14" s="148">
        <v>0</v>
      </c>
      <c r="AD14" s="148">
        <v>0</v>
      </c>
      <c r="AE14" s="177">
        <v>0</v>
      </c>
      <c r="AF14" s="194">
        <f>SUM(W14:AE14)</f>
        <v>5187.430000000001</v>
      </c>
      <c r="AG14" s="185">
        <f aca="true" t="shared" si="15" ref="AG14:AG21">D14+V14+AF14</f>
        <v>5291.980000000001</v>
      </c>
      <c r="AH14" s="195">
        <f t="shared" si="2"/>
        <v>0</v>
      </c>
      <c r="AI14" s="195">
        <f t="shared" si="2"/>
        <v>0</v>
      </c>
      <c r="AJ14" s="196"/>
      <c r="AK14" s="151">
        <f t="shared" si="3"/>
        <v>436.75960000000003</v>
      </c>
      <c r="AL14" s="151">
        <f t="shared" si="4"/>
        <v>130.376</v>
      </c>
      <c r="AM14" s="151">
        <f t="shared" si="5"/>
        <v>651.88</v>
      </c>
      <c r="AN14" s="151">
        <f t="shared" si="6"/>
        <v>136.8948</v>
      </c>
      <c r="AO14" s="151">
        <f t="shared" si="7"/>
        <v>1316.7976</v>
      </c>
      <c r="AP14" s="151">
        <f t="shared" si="8"/>
        <v>671.4364</v>
      </c>
      <c r="AQ14" s="151">
        <f t="shared" si="9"/>
        <v>488.90999999999997</v>
      </c>
      <c r="AR14" s="151">
        <f t="shared" si="10"/>
        <v>488.90999999999997</v>
      </c>
      <c r="AS14" s="151"/>
      <c r="AT14" s="197"/>
      <c r="AU14" s="198"/>
      <c r="AV14" s="198"/>
      <c r="AW14" s="198"/>
      <c r="AX14" s="189">
        <v>10</v>
      </c>
      <c r="AY14" s="189"/>
      <c r="AZ14" s="112"/>
      <c r="BA14" s="197"/>
      <c r="BB14" s="197"/>
      <c r="BC14" s="143">
        <f t="shared" si="11"/>
        <v>4331.964400000001</v>
      </c>
      <c r="BD14" s="199"/>
      <c r="BE14" s="157">
        <f t="shared" si="14"/>
        <v>4331.964400000001</v>
      </c>
      <c r="BF14" s="157">
        <f t="shared" si="12"/>
        <v>960.0156000000006</v>
      </c>
      <c r="BG14" s="157">
        <f t="shared" si="13"/>
        <v>-539.7299999999987</v>
      </c>
    </row>
    <row r="15" spans="1:59" ht="12.75">
      <c r="A15" s="170" t="s">
        <v>50</v>
      </c>
      <c r="B15" s="141">
        <v>651.88</v>
      </c>
      <c r="C15" s="122">
        <f t="shared" si="0"/>
        <v>5573.5740000000005</v>
      </c>
      <c r="D15" s="99">
        <v>104.55</v>
      </c>
      <c r="E15" s="200">
        <v>0</v>
      </c>
      <c r="F15" s="200"/>
      <c r="G15" s="200">
        <v>3462.37</v>
      </c>
      <c r="H15" s="200"/>
      <c r="I15" s="201">
        <v>0</v>
      </c>
      <c r="J15" s="201"/>
      <c r="K15" s="201">
        <v>0</v>
      </c>
      <c r="L15" s="201"/>
      <c r="M15" s="201">
        <v>1681.48</v>
      </c>
      <c r="N15" s="201"/>
      <c r="O15" s="201">
        <v>583.31</v>
      </c>
      <c r="P15" s="201"/>
      <c r="Q15" s="201">
        <v>0</v>
      </c>
      <c r="R15" s="202"/>
      <c r="S15" s="202">
        <v>0</v>
      </c>
      <c r="T15" s="201"/>
      <c r="U15" s="203">
        <f t="shared" si="1"/>
        <v>5727.16</v>
      </c>
      <c r="V15" s="204">
        <f t="shared" si="1"/>
        <v>0</v>
      </c>
      <c r="W15" s="205">
        <v>25.48</v>
      </c>
      <c r="X15" s="200">
        <v>3395.64</v>
      </c>
      <c r="Y15" s="200">
        <v>34.52</v>
      </c>
      <c r="Z15" s="200">
        <v>57.47</v>
      </c>
      <c r="AA15" s="200">
        <v>1732.4</v>
      </c>
      <c r="AB15" s="200">
        <v>592.51</v>
      </c>
      <c r="AC15" s="200">
        <v>0</v>
      </c>
      <c r="AD15" s="200">
        <v>0</v>
      </c>
      <c r="AE15" s="206">
        <v>0</v>
      </c>
      <c r="AF15" s="207">
        <f aca="true" t="shared" si="16" ref="AF15:AF21">SUM(W15:AE15)</f>
        <v>5838.02</v>
      </c>
      <c r="AG15" s="185">
        <f t="shared" si="15"/>
        <v>5942.570000000001</v>
      </c>
      <c r="AH15" s="195">
        <f t="shared" si="2"/>
        <v>0</v>
      </c>
      <c r="AI15" s="195">
        <f t="shared" si="2"/>
        <v>0</v>
      </c>
      <c r="AJ15" s="196"/>
      <c r="AK15" s="151">
        <f t="shared" si="3"/>
        <v>436.75960000000003</v>
      </c>
      <c r="AL15" s="151">
        <f t="shared" si="4"/>
        <v>130.376</v>
      </c>
      <c r="AM15" s="151">
        <f t="shared" si="5"/>
        <v>651.88</v>
      </c>
      <c r="AN15" s="151">
        <f t="shared" si="6"/>
        <v>136.8948</v>
      </c>
      <c r="AO15" s="151">
        <f t="shared" si="7"/>
        <v>1316.7976</v>
      </c>
      <c r="AP15" s="151">
        <f t="shared" si="8"/>
        <v>671.4364</v>
      </c>
      <c r="AQ15" s="151">
        <f t="shared" si="9"/>
        <v>488.90999999999997</v>
      </c>
      <c r="AR15" s="151">
        <f t="shared" si="10"/>
        <v>488.90999999999997</v>
      </c>
      <c r="AS15" s="151"/>
      <c r="AT15" s="197"/>
      <c r="AU15" s="198"/>
      <c r="AV15" s="198"/>
      <c r="AW15" s="198"/>
      <c r="AX15" s="198"/>
      <c r="AY15" s="198"/>
      <c r="AZ15" s="151"/>
      <c r="BA15" s="197"/>
      <c r="BB15" s="197"/>
      <c r="BC15" s="209">
        <f t="shared" si="11"/>
        <v>4321.964400000001</v>
      </c>
      <c r="BD15" s="199"/>
      <c r="BE15" s="157">
        <f t="shared" si="14"/>
        <v>4321.964400000001</v>
      </c>
      <c r="BF15" s="157">
        <f t="shared" si="12"/>
        <v>1620.6055999999999</v>
      </c>
      <c r="BG15" s="157">
        <f t="shared" si="13"/>
        <v>110.86000000000058</v>
      </c>
    </row>
    <row r="16" spans="1:59" ht="12.75">
      <c r="A16" s="170" t="s">
        <v>51</v>
      </c>
      <c r="B16" s="264">
        <v>650.98</v>
      </c>
      <c r="C16" s="171">
        <f aca="true" t="shared" si="17" ref="C16:C21">B16*14.05</f>
        <v>9146.269</v>
      </c>
      <c r="D16" s="99">
        <v>104.55</v>
      </c>
      <c r="E16" s="210"/>
      <c r="F16" s="210"/>
      <c r="G16" s="210">
        <v>6412.17</v>
      </c>
      <c r="H16" s="210"/>
      <c r="I16" s="210"/>
      <c r="J16" s="210"/>
      <c r="K16" s="210"/>
      <c r="L16" s="210"/>
      <c r="M16" s="210">
        <v>1952.94</v>
      </c>
      <c r="N16" s="210"/>
      <c r="O16" s="210">
        <v>781.18</v>
      </c>
      <c r="P16" s="210"/>
      <c r="Q16" s="210"/>
      <c r="R16" s="210"/>
      <c r="S16" s="211"/>
      <c r="T16" s="265"/>
      <c r="U16" s="212">
        <f t="shared" si="1"/>
        <v>9146.29</v>
      </c>
      <c r="V16" s="266">
        <f t="shared" si="1"/>
        <v>0</v>
      </c>
      <c r="W16" s="213">
        <v>257.15</v>
      </c>
      <c r="X16" s="210">
        <v>3686.47</v>
      </c>
      <c r="Y16" s="210">
        <v>348.13</v>
      </c>
      <c r="Z16" s="210">
        <v>579.59</v>
      </c>
      <c r="AA16" s="210">
        <v>537.68</v>
      </c>
      <c r="AB16" s="210">
        <v>756.45</v>
      </c>
      <c r="AC16" s="267"/>
      <c r="AD16" s="210"/>
      <c r="AE16" s="211"/>
      <c r="AF16" s="207">
        <f t="shared" si="16"/>
        <v>6165.47</v>
      </c>
      <c r="AG16" s="214">
        <f t="shared" si="15"/>
        <v>6270.02</v>
      </c>
      <c r="AH16" s="186">
        <f t="shared" si="2"/>
        <v>0</v>
      </c>
      <c r="AI16" s="186">
        <f t="shared" si="2"/>
        <v>0</v>
      </c>
      <c r="AJ16" s="187"/>
      <c r="AK16" s="151">
        <f t="shared" si="3"/>
        <v>436.1566</v>
      </c>
      <c r="AL16" s="151">
        <f t="shared" si="4"/>
        <v>130.196</v>
      </c>
      <c r="AM16" s="151">
        <f t="shared" si="5"/>
        <v>650.98</v>
      </c>
      <c r="AN16" s="151">
        <f t="shared" si="6"/>
        <v>136.7058</v>
      </c>
      <c r="AO16" s="151">
        <f t="shared" si="7"/>
        <v>1314.9796000000001</v>
      </c>
      <c r="AP16" s="151">
        <f t="shared" si="8"/>
        <v>670.5094</v>
      </c>
      <c r="AQ16" s="151">
        <f t="shared" si="9"/>
        <v>488.235</v>
      </c>
      <c r="AR16" s="151">
        <f t="shared" si="10"/>
        <v>488.235</v>
      </c>
      <c r="AS16" s="179"/>
      <c r="AT16" s="197"/>
      <c r="AU16" s="189">
        <v>2970</v>
      </c>
      <c r="AV16" s="189"/>
      <c r="AW16" s="189"/>
      <c r="AX16" s="189">
        <f>16.28+45+51+24+90+80+60</f>
        <v>366.28</v>
      </c>
      <c r="AY16" s="189"/>
      <c r="AZ16" s="179"/>
      <c r="BA16" s="188">
        <v>5033.88</v>
      </c>
      <c r="BB16" s="188"/>
      <c r="BC16" s="184">
        <f t="shared" si="11"/>
        <v>12686.1574</v>
      </c>
      <c r="BD16" s="190"/>
      <c r="BE16" s="157">
        <f t="shared" si="14"/>
        <v>12686.1574</v>
      </c>
      <c r="BF16" s="157">
        <f t="shared" si="12"/>
        <v>-6416.1374</v>
      </c>
      <c r="BG16" s="157">
        <f t="shared" si="13"/>
        <v>-2980.8200000000006</v>
      </c>
    </row>
    <row r="17" spans="1:59" ht="12.75">
      <c r="A17" s="170" t="s">
        <v>52</v>
      </c>
      <c r="B17" s="180">
        <v>650.98</v>
      </c>
      <c r="C17" s="171">
        <f t="shared" si="17"/>
        <v>9146.269</v>
      </c>
      <c r="D17" s="99">
        <v>104.55</v>
      </c>
      <c r="E17" s="215"/>
      <c r="F17" s="215"/>
      <c r="G17" s="215">
        <v>6412.17</v>
      </c>
      <c r="H17" s="215"/>
      <c r="I17" s="215"/>
      <c r="J17" s="215"/>
      <c r="K17" s="215"/>
      <c r="L17" s="215"/>
      <c r="M17" s="215">
        <v>1952.94</v>
      </c>
      <c r="N17" s="215"/>
      <c r="O17" s="215">
        <v>781.18</v>
      </c>
      <c r="P17" s="215"/>
      <c r="Q17" s="215"/>
      <c r="R17" s="215"/>
      <c r="S17" s="216"/>
      <c r="T17" s="268"/>
      <c r="U17" s="269">
        <f t="shared" si="1"/>
        <v>9146.29</v>
      </c>
      <c r="V17" s="270">
        <f t="shared" si="1"/>
        <v>0</v>
      </c>
      <c r="W17" s="210">
        <v>6.76</v>
      </c>
      <c r="X17" s="210">
        <v>6942.12</v>
      </c>
      <c r="Y17" s="210">
        <v>9.14</v>
      </c>
      <c r="Z17" s="210">
        <v>15.22</v>
      </c>
      <c r="AA17" s="210">
        <v>2687.42</v>
      </c>
      <c r="AB17" s="210">
        <v>993.23</v>
      </c>
      <c r="AC17" s="210"/>
      <c r="AD17" s="210"/>
      <c r="AE17" s="211"/>
      <c r="AF17" s="271">
        <f t="shared" si="16"/>
        <v>10653.89</v>
      </c>
      <c r="AG17" s="214">
        <f t="shared" si="15"/>
        <v>10758.439999999999</v>
      </c>
      <c r="AH17" s="186">
        <f t="shared" si="2"/>
        <v>0</v>
      </c>
      <c r="AI17" s="186">
        <f t="shared" si="2"/>
        <v>0</v>
      </c>
      <c r="AJ17" s="187"/>
      <c r="AK17" s="151">
        <f t="shared" si="3"/>
        <v>436.1566</v>
      </c>
      <c r="AL17" s="151">
        <f t="shared" si="4"/>
        <v>130.196</v>
      </c>
      <c r="AM17" s="151">
        <f t="shared" si="5"/>
        <v>650.98</v>
      </c>
      <c r="AN17" s="151">
        <f t="shared" si="6"/>
        <v>136.7058</v>
      </c>
      <c r="AO17" s="151">
        <f t="shared" si="7"/>
        <v>1314.9796000000001</v>
      </c>
      <c r="AP17" s="151">
        <f t="shared" si="8"/>
        <v>670.5094</v>
      </c>
      <c r="AQ17" s="151">
        <f t="shared" si="9"/>
        <v>488.235</v>
      </c>
      <c r="AR17" s="151">
        <f t="shared" si="10"/>
        <v>488.235</v>
      </c>
      <c r="AS17" s="179"/>
      <c r="AT17" s="197"/>
      <c r="AU17" s="189"/>
      <c r="AV17" s="189"/>
      <c r="AW17" s="189"/>
      <c r="AX17" s="189">
        <f>140+87</f>
        <v>227</v>
      </c>
      <c r="AY17" s="189"/>
      <c r="AZ17" s="179"/>
      <c r="BA17" s="188"/>
      <c r="BB17" s="188"/>
      <c r="BC17" s="184">
        <f t="shared" si="11"/>
        <v>4542.9974</v>
      </c>
      <c r="BD17" s="190"/>
      <c r="BE17" s="157">
        <f t="shared" si="14"/>
        <v>4542.9974</v>
      </c>
      <c r="BF17" s="157">
        <f t="shared" si="12"/>
        <v>6215.4425999999985</v>
      </c>
      <c r="BG17" s="157">
        <f t="shared" si="13"/>
        <v>1507.5999999999985</v>
      </c>
    </row>
    <row r="18" spans="1:59" ht="12.75">
      <c r="A18" s="170" t="s">
        <v>53</v>
      </c>
      <c r="B18" s="141">
        <v>650.98</v>
      </c>
      <c r="C18" s="171">
        <f t="shared" si="17"/>
        <v>9146.269</v>
      </c>
      <c r="D18" s="99">
        <v>104.55</v>
      </c>
      <c r="E18" s="210"/>
      <c r="F18" s="210"/>
      <c r="G18" s="210">
        <v>6412.18</v>
      </c>
      <c r="H18" s="210"/>
      <c r="I18" s="210"/>
      <c r="J18" s="210"/>
      <c r="K18" s="210"/>
      <c r="L18" s="210"/>
      <c r="M18" s="210">
        <v>1952.94</v>
      </c>
      <c r="N18" s="210"/>
      <c r="O18" s="210">
        <v>781.18</v>
      </c>
      <c r="P18" s="210"/>
      <c r="Q18" s="210"/>
      <c r="R18" s="210"/>
      <c r="S18" s="211"/>
      <c r="T18" s="217"/>
      <c r="U18" s="217">
        <f t="shared" si="1"/>
        <v>9146.300000000001</v>
      </c>
      <c r="V18" s="218">
        <f t="shared" si="1"/>
        <v>0</v>
      </c>
      <c r="W18" s="210">
        <v>0</v>
      </c>
      <c r="X18" s="210">
        <v>7317.35</v>
      </c>
      <c r="Y18" s="210">
        <v>0</v>
      </c>
      <c r="Z18" s="210">
        <v>0</v>
      </c>
      <c r="AA18" s="210">
        <v>2384.61</v>
      </c>
      <c r="AB18" s="210">
        <v>931.68</v>
      </c>
      <c r="AC18" s="210"/>
      <c r="AD18" s="210"/>
      <c r="AE18" s="211"/>
      <c r="AF18" s="271">
        <f t="shared" si="16"/>
        <v>10633.640000000001</v>
      </c>
      <c r="AG18" s="214">
        <f t="shared" si="15"/>
        <v>10738.19</v>
      </c>
      <c r="AH18" s="186">
        <f t="shared" si="2"/>
        <v>0</v>
      </c>
      <c r="AI18" s="186">
        <f t="shared" si="2"/>
        <v>0</v>
      </c>
      <c r="AJ18" s="187"/>
      <c r="AK18" s="151">
        <f t="shared" si="3"/>
        <v>436.1566</v>
      </c>
      <c r="AL18" s="151">
        <f t="shared" si="4"/>
        <v>130.196</v>
      </c>
      <c r="AM18" s="151">
        <f t="shared" si="5"/>
        <v>650.98</v>
      </c>
      <c r="AN18" s="151">
        <f t="shared" si="6"/>
        <v>136.7058</v>
      </c>
      <c r="AO18" s="151">
        <f t="shared" si="7"/>
        <v>1314.9796000000001</v>
      </c>
      <c r="AP18" s="151">
        <f t="shared" si="8"/>
        <v>670.5094</v>
      </c>
      <c r="AQ18" s="151">
        <f t="shared" si="9"/>
        <v>488.235</v>
      </c>
      <c r="AR18" s="151">
        <f t="shared" si="10"/>
        <v>488.235</v>
      </c>
      <c r="AS18" s="179"/>
      <c r="AT18" s="197"/>
      <c r="AU18" s="189"/>
      <c r="AV18" s="189"/>
      <c r="AW18" s="189"/>
      <c r="AX18" s="189"/>
      <c r="AY18" s="189"/>
      <c r="AZ18" s="179"/>
      <c r="BA18" s="188"/>
      <c r="BB18" s="188"/>
      <c r="BC18" s="184">
        <f t="shared" si="11"/>
        <v>4315.9974</v>
      </c>
      <c r="BD18" s="190"/>
      <c r="BE18" s="157">
        <f t="shared" si="14"/>
        <v>4315.9974</v>
      </c>
      <c r="BF18" s="157">
        <f t="shared" si="12"/>
        <v>6422.1926</v>
      </c>
      <c r="BG18" s="157">
        <f t="shared" si="13"/>
        <v>1487.3400000000001</v>
      </c>
    </row>
    <row r="19" spans="1:59" ht="12.75">
      <c r="A19" s="170" t="s">
        <v>41</v>
      </c>
      <c r="B19" s="141">
        <v>650.98</v>
      </c>
      <c r="C19" s="171">
        <f t="shared" si="17"/>
        <v>9146.269</v>
      </c>
      <c r="D19" s="99">
        <v>104.55</v>
      </c>
      <c r="E19" s="200"/>
      <c r="F19" s="200"/>
      <c r="G19" s="200">
        <v>6412.18</v>
      </c>
      <c r="H19" s="200"/>
      <c r="I19" s="200"/>
      <c r="J19" s="200"/>
      <c r="K19" s="200"/>
      <c r="L19" s="200"/>
      <c r="M19" s="200">
        <v>1952.94</v>
      </c>
      <c r="N19" s="200"/>
      <c r="O19" s="200">
        <v>781.18</v>
      </c>
      <c r="P19" s="200"/>
      <c r="Q19" s="200"/>
      <c r="R19" s="200"/>
      <c r="S19" s="206"/>
      <c r="T19" s="219"/>
      <c r="U19" s="220">
        <f t="shared" si="1"/>
        <v>9146.300000000001</v>
      </c>
      <c r="V19" s="221">
        <f t="shared" si="1"/>
        <v>0</v>
      </c>
      <c r="W19" s="200">
        <v>0</v>
      </c>
      <c r="X19" s="200">
        <v>3239.96</v>
      </c>
      <c r="Y19" s="200">
        <v>0</v>
      </c>
      <c r="Z19" s="200">
        <v>0</v>
      </c>
      <c r="AA19" s="200">
        <v>986.77</v>
      </c>
      <c r="AB19" s="200">
        <v>394.72</v>
      </c>
      <c r="AC19" s="200"/>
      <c r="AD19" s="200"/>
      <c r="AE19" s="206"/>
      <c r="AF19" s="271">
        <f t="shared" si="16"/>
        <v>4621.45</v>
      </c>
      <c r="AG19" s="214">
        <f t="shared" si="15"/>
        <v>4726</v>
      </c>
      <c r="AH19" s="186">
        <f t="shared" si="2"/>
        <v>0</v>
      </c>
      <c r="AI19" s="186">
        <f t="shared" si="2"/>
        <v>0</v>
      </c>
      <c r="AJ19" s="187"/>
      <c r="AK19" s="151">
        <f t="shared" si="3"/>
        <v>436.1566</v>
      </c>
      <c r="AL19" s="151">
        <f t="shared" si="4"/>
        <v>130.196</v>
      </c>
      <c r="AM19" s="151">
        <f t="shared" si="5"/>
        <v>650.98</v>
      </c>
      <c r="AN19" s="151">
        <f t="shared" si="6"/>
        <v>136.7058</v>
      </c>
      <c r="AO19" s="151">
        <f t="shared" si="7"/>
        <v>1314.9796000000001</v>
      </c>
      <c r="AP19" s="151">
        <f t="shared" si="8"/>
        <v>670.5094</v>
      </c>
      <c r="AQ19" s="151">
        <f t="shared" si="9"/>
        <v>488.235</v>
      </c>
      <c r="AR19" s="151">
        <f t="shared" si="10"/>
        <v>488.235</v>
      </c>
      <c r="AS19" s="208">
        <v>0</v>
      </c>
      <c r="AT19" s="197"/>
      <c r="AU19" s="189"/>
      <c r="AV19" s="189"/>
      <c r="AW19" s="189"/>
      <c r="AX19" s="189"/>
      <c r="AY19" s="189"/>
      <c r="AZ19" s="179"/>
      <c r="BA19" s="188"/>
      <c r="BB19" s="188"/>
      <c r="BC19" s="209">
        <f t="shared" si="11"/>
        <v>4315.9974</v>
      </c>
      <c r="BD19" s="190"/>
      <c r="BE19" s="157">
        <f t="shared" si="14"/>
        <v>4315.9974</v>
      </c>
      <c r="BF19" s="157">
        <f t="shared" si="12"/>
        <v>410.0025999999998</v>
      </c>
      <c r="BG19" s="157">
        <f>AF19-U19</f>
        <v>-4524.850000000001</v>
      </c>
    </row>
    <row r="20" spans="1:59" ht="12.75">
      <c r="A20" s="170" t="s">
        <v>42</v>
      </c>
      <c r="B20" s="141">
        <v>650.98</v>
      </c>
      <c r="C20" s="122">
        <f t="shared" si="17"/>
        <v>9146.269</v>
      </c>
      <c r="D20" s="99">
        <v>104.55</v>
      </c>
      <c r="E20" s="200"/>
      <c r="F20" s="200"/>
      <c r="G20" s="200">
        <v>6412.18</v>
      </c>
      <c r="H20" s="200"/>
      <c r="I20" s="200"/>
      <c r="J20" s="200"/>
      <c r="K20" s="200"/>
      <c r="L20" s="200"/>
      <c r="M20" s="200">
        <v>1952.94</v>
      </c>
      <c r="N20" s="200"/>
      <c r="O20" s="200">
        <v>781.18</v>
      </c>
      <c r="P20" s="200"/>
      <c r="Q20" s="200"/>
      <c r="R20" s="200"/>
      <c r="S20" s="206"/>
      <c r="T20" s="219"/>
      <c r="U20" s="272">
        <f t="shared" si="1"/>
        <v>9146.300000000001</v>
      </c>
      <c r="V20" s="221">
        <f t="shared" si="1"/>
        <v>0</v>
      </c>
      <c r="W20" s="200">
        <v>0</v>
      </c>
      <c r="X20" s="200">
        <v>5458.4</v>
      </c>
      <c r="Y20" s="200">
        <v>0</v>
      </c>
      <c r="Z20" s="200">
        <v>0</v>
      </c>
      <c r="AA20" s="200">
        <v>1662.44</v>
      </c>
      <c r="AB20" s="200">
        <v>664.97</v>
      </c>
      <c r="AC20" s="200"/>
      <c r="AD20" s="200"/>
      <c r="AE20" s="206"/>
      <c r="AF20" s="271">
        <f t="shared" si="16"/>
        <v>7785.81</v>
      </c>
      <c r="AG20" s="214">
        <f t="shared" si="15"/>
        <v>7890.360000000001</v>
      </c>
      <c r="AH20" s="186">
        <f t="shared" si="2"/>
        <v>0</v>
      </c>
      <c r="AI20" s="186">
        <f t="shared" si="2"/>
        <v>0</v>
      </c>
      <c r="AJ20" s="187"/>
      <c r="AK20" s="151">
        <f t="shared" si="3"/>
        <v>436.1566</v>
      </c>
      <c r="AL20" s="151">
        <f t="shared" si="4"/>
        <v>130.196</v>
      </c>
      <c r="AM20" s="151">
        <f t="shared" si="5"/>
        <v>650.98</v>
      </c>
      <c r="AN20" s="151">
        <f t="shared" si="6"/>
        <v>136.7058</v>
      </c>
      <c r="AO20" s="151">
        <f t="shared" si="7"/>
        <v>1314.9796000000001</v>
      </c>
      <c r="AP20" s="151">
        <f t="shared" si="8"/>
        <v>670.5094</v>
      </c>
      <c r="AQ20" s="151">
        <f t="shared" si="9"/>
        <v>488.235</v>
      </c>
      <c r="AR20" s="151">
        <f t="shared" si="10"/>
        <v>488.235</v>
      </c>
      <c r="AS20" s="208">
        <v>0</v>
      </c>
      <c r="AT20" s="197"/>
      <c r="AU20" s="189"/>
      <c r="AV20" s="189"/>
      <c r="AW20" s="189"/>
      <c r="AX20" s="189">
        <f>906</f>
        <v>906</v>
      </c>
      <c r="AY20" s="189"/>
      <c r="AZ20" s="179"/>
      <c r="BA20" s="188"/>
      <c r="BB20" s="188"/>
      <c r="BC20" s="184">
        <f t="shared" si="11"/>
        <v>5221.9974</v>
      </c>
      <c r="BD20" s="190"/>
      <c r="BE20" s="157">
        <f t="shared" si="14"/>
        <v>5221.9974</v>
      </c>
      <c r="BF20" s="157">
        <f t="shared" si="12"/>
        <v>2668.3626000000004</v>
      </c>
      <c r="BG20" s="157">
        <f t="shared" si="13"/>
        <v>-1360.4900000000007</v>
      </c>
    </row>
    <row r="21" spans="1:59" ht="13.5" thickBot="1">
      <c r="A21" s="170" t="s">
        <v>43</v>
      </c>
      <c r="B21" s="141">
        <v>650.98</v>
      </c>
      <c r="C21" s="122">
        <f t="shared" si="17"/>
        <v>9146.269</v>
      </c>
      <c r="D21" s="99">
        <v>104.55</v>
      </c>
      <c r="E21" s="222"/>
      <c r="F21" s="222"/>
      <c r="G21" s="222">
        <v>5941.07</v>
      </c>
      <c r="H21" s="222"/>
      <c r="I21" s="222"/>
      <c r="J21" s="222"/>
      <c r="K21" s="222"/>
      <c r="L21" s="222"/>
      <c r="M21" s="222">
        <v>1906.94</v>
      </c>
      <c r="N21" s="222"/>
      <c r="O21" s="222">
        <v>748.87</v>
      </c>
      <c r="P21" s="222"/>
      <c r="Q21" s="222"/>
      <c r="R21" s="222"/>
      <c r="S21" s="223"/>
      <c r="T21" s="224"/>
      <c r="U21" s="272">
        <f t="shared" si="1"/>
        <v>8596.880000000001</v>
      </c>
      <c r="V21" s="221">
        <f t="shared" si="1"/>
        <v>0</v>
      </c>
      <c r="W21" s="200">
        <v>0</v>
      </c>
      <c r="X21" s="200">
        <v>8563.66</v>
      </c>
      <c r="Y21" s="200">
        <v>0</v>
      </c>
      <c r="Z21" s="200">
        <v>0</v>
      </c>
      <c r="AA21" s="200">
        <v>2608.22</v>
      </c>
      <c r="AB21" s="200">
        <v>1043.3</v>
      </c>
      <c r="AC21" s="200"/>
      <c r="AD21" s="200"/>
      <c r="AE21" s="206"/>
      <c r="AF21" s="271">
        <f t="shared" si="16"/>
        <v>12215.179999999998</v>
      </c>
      <c r="AG21" s="214">
        <f t="shared" si="15"/>
        <v>12319.729999999998</v>
      </c>
      <c r="AH21" s="186">
        <f t="shared" si="2"/>
        <v>0</v>
      </c>
      <c r="AI21" s="186">
        <f t="shared" si="2"/>
        <v>0</v>
      </c>
      <c r="AJ21" s="187"/>
      <c r="AK21" s="151">
        <f t="shared" si="3"/>
        <v>436.1566</v>
      </c>
      <c r="AL21" s="151">
        <f t="shared" si="4"/>
        <v>130.196</v>
      </c>
      <c r="AM21" s="151">
        <f t="shared" si="5"/>
        <v>650.98</v>
      </c>
      <c r="AN21" s="151">
        <f t="shared" si="6"/>
        <v>136.7058</v>
      </c>
      <c r="AO21" s="151">
        <f t="shared" si="7"/>
        <v>1314.9796000000001</v>
      </c>
      <c r="AP21" s="151">
        <f t="shared" si="8"/>
        <v>670.5094</v>
      </c>
      <c r="AQ21" s="151">
        <f t="shared" si="9"/>
        <v>488.235</v>
      </c>
      <c r="AR21" s="151">
        <f t="shared" si="10"/>
        <v>488.235</v>
      </c>
      <c r="AS21" s="208">
        <v>0</v>
      </c>
      <c r="AT21" s="197"/>
      <c r="AU21" s="189"/>
      <c r="AV21" s="189">
        <v>128</v>
      </c>
      <c r="AW21" s="189"/>
      <c r="AX21" s="189">
        <f>700</f>
        <v>700</v>
      </c>
      <c r="AY21" s="189"/>
      <c r="AZ21" s="179"/>
      <c r="BA21" s="188"/>
      <c r="BB21" s="188"/>
      <c r="BC21" s="184">
        <f t="shared" si="11"/>
        <v>5143.9974</v>
      </c>
      <c r="BD21" s="190"/>
      <c r="BE21" s="157">
        <f t="shared" si="14"/>
        <v>5143.9974</v>
      </c>
      <c r="BF21" s="157">
        <f t="shared" si="12"/>
        <v>7175.732599999998</v>
      </c>
      <c r="BG21" s="157">
        <f t="shared" si="13"/>
        <v>3618.2999999999975</v>
      </c>
    </row>
    <row r="22" spans="1:59" s="20" customFormat="1" ht="13.5" thickBot="1">
      <c r="A22" s="225" t="s">
        <v>5</v>
      </c>
      <c r="B22" s="226"/>
      <c r="C22" s="226">
        <f aca="true" t="shared" si="18" ref="C22:AX22">SUM(C10:C21)</f>
        <v>88319.058</v>
      </c>
      <c r="D22" s="226">
        <f t="shared" si="18"/>
        <v>1254.5999999999997</v>
      </c>
      <c r="E22" s="226">
        <f t="shared" si="18"/>
        <v>0</v>
      </c>
      <c r="F22" s="226">
        <f t="shared" si="18"/>
        <v>0</v>
      </c>
      <c r="G22" s="226">
        <f t="shared" si="18"/>
        <v>58776.17</v>
      </c>
      <c r="H22" s="226">
        <f t="shared" si="18"/>
        <v>0</v>
      </c>
      <c r="I22" s="226">
        <f t="shared" si="18"/>
        <v>0</v>
      </c>
      <c r="J22" s="226">
        <f t="shared" si="18"/>
        <v>0</v>
      </c>
      <c r="K22" s="226">
        <f t="shared" si="18"/>
        <v>0</v>
      </c>
      <c r="L22" s="226">
        <f t="shared" si="18"/>
        <v>0</v>
      </c>
      <c r="M22" s="226">
        <f t="shared" si="18"/>
        <v>21760.519999999997</v>
      </c>
      <c r="N22" s="226">
        <f t="shared" si="18"/>
        <v>0</v>
      </c>
      <c r="O22" s="226">
        <f t="shared" si="18"/>
        <v>8154.630000000001</v>
      </c>
      <c r="P22" s="226">
        <f t="shared" si="18"/>
        <v>0</v>
      </c>
      <c r="Q22" s="226">
        <f t="shared" si="18"/>
        <v>0</v>
      </c>
      <c r="R22" s="226">
        <f t="shared" si="18"/>
        <v>0</v>
      </c>
      <c r="S22" s="226">
        <f t="shared" si="18"/>
        <v>0</v>
      </c>
      <c r="T22" s="226">
        <f t="shared" si="18"/>
        <v>0</v>
      </c>
      <c r="U22" s="226">
        <f t="shared" si="18"/>
        <v>88691.32</v>
      </c>
      <c r="V22" s="226">
        <f t="shared" si="18"/>
        <v>0</v>
      </c>
      <c r="W22" s="226">
        <f t="shared" si="18"/>
        <v>1289.07</v>
      </c>
      <c r="X22" s="226">
        <f t="shared" si="18"/>
        <v>48722.67</v>
      </c>
      <c r="Y22" s="226">
        <f t="shared" si="18"/>
        <v>1745.26</v>
      </c>
      <c r="Z22" s="226">
        <f t="shared" si="18"/>
        <v>2905.54</v>
      </c>
      <c r="AA22" s="226">
        <f t="shared" si="18"/>
        <v>22686.37</v>
      </c>
      <c r="AB22" s="226">
        <f t="shared" si="18"/>
        <v>7907.830000000001</v>
      </c>
      <c r="AC22" s="226">
        <f t="shared" si="18"/>
        <v>0</v>
      </c>
      <c r="AD22" s="226">
        <f t="shared" si="18"/>
        <v>0</v>
      </c>
      <c r="AE22" s="226">
        <f t="shared" si="18"/>
        <v>0</v>
      </c>
      <c r="AF22" s="226">
        <f t="shared" si="18"/>
        <v>85256.73999999999</v>
      </c>
      <c r="AG22" s="226">
        <f t="shared" si="18"/>
        <v>86511.34</v>
      </c>
      <c r="AH22" s="226">
        <f t="shared" si="18"/>
        <v>0</v>
      </c>
      <c r="AI22" s="226">
        <f t="shared" si="18"/>
        <v>0</v>
      </c>
      <c r="AJ22" s="226">
        <f t="shared" si="18"/>
        <v>0</v>
      </c>
      <c r="AK22" s="226">
        <f t="shared" si="18"/>
        <v>5237.497200000002</v>
      </c>
      <c r="AL22" s="226">
        <f t="shared" si="18"/>
        <v>1563.4319999999996</v>
      </c>
      <c r="AM22" s="226">
        <f t="shared" si="18"/>
        <v>7817.159999999998</v>
      </c>
      <c r="AN22" s="226">
        <f t="shared" si="18"/>
        <v>1641.6036</v>
      </c>
      <c r="AO22" s="226">
        <f t="shared" si="18"/>
        <v>15790.663200000003</v>
      </c>
      <c r="AP22" s="226">
        <f t="shared" si="18"/>
        <v>8051.6748</v>
      </c>
      <c r="AQ22" s="226">
        <f t="shared" si="18"/>
        <v>5862.869999999999</v>
      </c>
      <c r="AR22" s="226">
        <f t="shared" si="18"/>
        <v>5862.869999999999</v>
      </c>
      <c r="AS22" s="226">
        <f t="shared" si="18"/>
        <v>2248.986</v>
      </c>
      <c r="AT22" s="226">
        <f t="shared" si="18"/>
        <v>0</v>
      </c>
      <c r="AU22" s="226">
        <f t="shared" si="18"/>
        <v>2970</v>
      </c>
      <c r="AV22" s="226">
        <f t="shared" si="18"/>
        <v>128</v>
      </c>
      <c r="AW22" s="226">
        <f t="shared" si="18"/>
        <v>0</v>
      </c>
      <c r="AX22" s="226">
        <f t="shared" si="18"/>
        <v>2334.2799999999997</v>
      </c>
      <c r="AY22" s="226">
        <f>SUM(BC10:BC21)</f>
        <v>64542.916800000006</v>
      </c>
      <c r="AZ22" s="226">
        <f>SUM(BD10:BD21)</f>
        <v>0</v>
      </c>
      <c r="BA22" s="226">
        <f aca="true" t="shared" si="19" ref="BA22:BG22">SUM(BA10:BA21)</f>
        <v>5033.88</v>
      </c>
      <c r="BB22" s="226">
        <f t="shared" si="19"/>
        <v>0</v>
      </c>
      <c r="BC22" s="226">
        <f t="shared" si="19"/>
        <v>64542.916800000006</v>
      </c>
      <c r="BD22" s="226">
        <f t="shared" si="19"/>
        <v>0</v>
      </c>
      <c r="BE22" s="226">
        <f t="shared" si="19"/>
        <v>64542.916800000006</v>
      </c>
      <c r="BF22" s="226">
        <f t="shared" si="19"/>
        <v>21968.42319999999</v>
      </c>
      <c r="BG22" s="226">
        <f t="shared" si="19"/>
        <v>-3434.5800000000054</v>
      </c>
    </row>
    <row r="23" spans="1:59" s="20" customFormat="1" ht="13.5" thickBot="1">
      <c r="A23" s="227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9"/>
      <c r="BF23" s="228"/>
      <c r="BG23" s="230"/>
    </row>
    <row r="24" spans="1:59" s="20" customFormat="1" ht="13.5" thickBot="1">
      <c r="A24" s="22" t="s">
        <v>54</v>
      </c>
      <c r="B24" s="228"/>
      <c r="C24" s="231">
        <f aca="true" t="shared" si="20" ref="C24:L24">C22+C8</f>
        <v>240376.88900000002</v>
      </c>
      <c r="D24" s="231">
        <f t="shared" si="20"/>
        <v>17193.366600150017</v>
      </c>
      <c r="E24" s="231">
        <f t="shared" si="20"/>
        <v>13500.329999999998</v>
      </c>
      <c r="F24" s="231">
        <f t="shared" si="20"/>
        <v>2253.88</v>
      </c>
      <c r="G24" s="231">
        <f t="shared" si="20"/>
        <v>58776.17</v>
      </c>
      <c r="H24" s="231">
        <f t="shared" si="20"/>
        <v>0</v>
      </c>
      <c r="I24" s="231">
        <f t="shared" si="20"/>
        <v>18268.97</v>
      </c>
      <c r="J24" s="231">
        <f t="shared" si="20"/>
        <v>3051.63</v>
      </c>
      <c r="K24" s="231">
        <f t="shared" si="20"/>
        <v>30419.14</v>
      </c>
      <c r="L24" s="231">
        <f t="shared" si="20"/>
        <v>5080.26</v>
      </c>
      <c r="M24" s="231" t="e">
        <f>#REF!</f>
        <v>#REF!</v>
      </c>
      <c r="N24" s="231">
        <f aca="true" t="shared" si="21" ref="N24:BG24">N22+N8</f>
        <v>7334.209999999999</v>
      </c>
      <c r="O24" s="231">
        <f t="shared" si="21"/>
        <v>18954.96</v>
      </c>
      <c r="P24" s="231">
        <f t="shared" si="21"/>
        <v>1803.1899999999998</v>
      </c>
      <c r="Q24" s="231">
        <f t="shared" si="21"/>
        <v>0</v>
      </c>
      <c r="R24" s="231">
        <f t="shared" si="21"/>
        <v>0</v>
      </c>
      <c r="S24" s="231">
        <f t="shared" si="21"/>
        <v>0</v>
      </c>
      <c r="T24" s="231">
        <f t="shared" si="21"/>
        <v>0</v>
      </c>
      <c r="U24" s="231">
        <f t="shared" si="21"/>
        <v>205600.56</v>
      </c>
      <c r="V24" s="231">
        <f t="shared" si="21"/>
        <v>19523.170000000002</v>
      </c>
      <c r="W24" s="231">
        <f t="shared" si="21"/>
        <v>13348.66</v>
      </c>
      <c r="X24" s="231">
        <f t="shared" si="21"/>
        <v>48722.67</v>
      </c>
      <c r="Y24" s="231">
        <f t="shared" si="21"/>
        <v>18062.39</v>
      </c>
      <c r="Z24" s="231">
        <f t="shared" si="21"/>
        <v>30076.12</v>
      </c>
      <c r="AA24" s="231">
        <f t="shared" si="21"/>
        <v>61916.65999999999</v>
      </c>
      <c r="AB24" s="231">
        <f t="shared" si="21"/>
        <v>17555.58</v>
      </c>
      <c r="AC24" s="231">
        <f t="shared" si="21"/>
        <v>0</v>
      </c>
      <c r="AD24" s="231">
        <f t="shared" si="21"/>
        <v>0</v>
      </c>
      <c r="AE24" s="231">
        <f t="shared" si="21"/>
        <v>0</v>
      </c>
      <c r="AF24" s="231">
        <f t="shared" si="21"/>
        <v>189682.08</v>
      </c>
      <c r="AG24" s="231">
        <f t="shared" si="21"/>
        <v>226398.61660015004</v>
      </c>
      <c r="AH24" s="231">
        <f t="shared" si="21"/>
        <v>0</v>
      </c>
      <c r="AI24" s="231">
        <f t="shared" si="21"/>
        <v>0</v>
      </c>
      <c r="AJ24" s="231">
        <f t="shared" si="21"/>
        <v>0</v>
      </c>
      <c r="AK24" s="231">
        <f t="shared" si="21"/>
        <v>15628.837200000002</v>
      </c>
      <c r="AL24" s="231">
        <f t="shared" si="21"/>
        <v>5045.3328156</v>
      </c>
      <c r="AM24" s="231">
        <f t="shared" si="21"/>
        <v>25066.376957016997</v>
      </c>
      <c r="AN24" s="231">
        <f t="shared" si="21"/>
        <v>1641.6036</v>
      </c>
      <c r="AO24" s="231">
        <f t="shared" si="21"/>
        <v>32995.8832746658</v>
      </c>
      <c r="AP24" s="231">
        <f t="shared" si="21"/>
        <v>46542.0304270488</v>
      </c>
      <c r="AQ24" s="231">
        <f t="shared" si="21"/>
        <v>5862.869999999999</v>
      </c>
      <c r="AR24" s="231">
        <f t="shared" si="21"/>
        <v>5862.869999999999</v>
      </c>
      <c r="AS24" s="231">
        <f t="shared" si="21"/>
        <v>2248.986</v>
      </c>
      <c r="AT24" s="231">
        <f t="shared" si="21"/>
        <v>0</v>
      </c>
      <c r="AU24" s="231">
        <f t="shared" si="21"/>
        <v>33447.2772</v>
      </c>
      <c r="AV24" s="231">
        <f t="shared" si="21"/>
        <v>128</v>
      </c>
      <c r="AW24" s="232">
        <f t="shared" si="21"/>
        <v>11547.109999999999</v>
      </c>
      <c r="AX24" s="232">
        <f t="shared" si="21"/>
        <v>2334.2799999999997</v>
      </c>
      <c r="AY24" s="232">
        <f t="shared" si="21"/>
        <v>71129.1888</v>
      </c>
      <c r="AZ24" s="232">
        <f t="shared" si="21"/>
        <v>0</v>
      </c>
      <c r="BA24" s="232">
        <f t="shared" si="21"/>
        <v>5033.88</v>
      </c>
      <c r="BB24" s="232">
        <f t="shared" si="21"/>
        <v>0</v>
      </c>
      <c r="BC24" s="232">
        <f t="shared" si="21"/>
        <v>199971.6094743316</v>
      </c>
      <c r="BD24" s="232">
        <f t="shared" si="21"/>
        <v>0</v>
      </c>
      <c r="BE24" s="232">
        <f t="shared" si="21"/>
        <v>199971.6094743316</v>
      </c>
      <c r="BF24" s="232">
        <f>BF22+BF8</f>
        <v>26427.00712581841</v>
      </c>
      <c r="BG24" s="232">
        <f t="shared" si="21"/>
        <v>-15918.480000000007</v>
      </c>
    </row>
    <row r="25" spans="1:59" ht="12.75">
      <c r="A25" s="5" t="s">
        <v>120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51"/>
      <c r="BD25" s="167"/>
      <c r="BE25" s="168"/>
      <c r="BF25" s="166"/>
      <c r="BG25" s="169"/>
    </row>
    <row r="26" spans="1:59" ht="12.75">
      <c r="A26" s="170" t="s">
        <v>45</v>
      </c>
      <c r="B26" s="141">
        <v>650.98</v>
      </c>
      <c r="C26" s="171">
        <f>B26*14.05</f>
        <v>9146.269</v>
      </c>
      <c r="D26" s="448">
        <v>104.55</v>
      </c>
      <c r="E26" s="200"/>
      <c r="F26" s="200"/>
      <c r="G26" s="200">
        <v>5941.08</v>
      </c>
      <c r="H26" s="200"/>
      <c r="I26" s="200"/>
      <c r="J26" s="200"/>
      <c r="K26" s="200"/>
      <c r="L26" s="200"/>
      <c r="M26" s="200">
        <v>1906.94</v>
      </c>
      <c r="N26" s="200"/>
      <c r="O26" s="200">
        <v>748.87</v>
      </c>
      <c r="P26" s="200"/>
      <c r="Q26" s="200"/>
      <c r="R26" s="200"/>
      <c r="S26" s="206"/>
      <c r="T26" s="224"/>
      <c r="U26" s="272">
        <f aca="true" t="shared" si="22" ref="U26:V31">E26+G26+I26+K26+M26+O26+Q26+S26</f>
        <v>8596.890000000001</v>
      </c>
      <c r="V26" s="221">
        <f t="shared" si="22"/>
        <v>0</v>
      </c>
      <c r="W26" s="200">
        <v>0</v>
      </c>
      <c r="X26" s="200">
        <v>3008.77</v>
      </c>
      <c r="Y26" s="200">
        <v>0</v>
      </c>
      <c r="Z26" s="200">
        <v>0</v>
      </c>
      <c r="AA26" s="200">
        <v>967.24</v>
      </c>
      <c r="AB26" s="200">
        <v>379.64</v>
      </c>
      <c r="AC26" s="200"/>
      <c r="AD26" s="200"/>
      <c r="AE26" s="206"/>
      <c r="AF26" s="271">
        <f aca="true" t="shared" si="23" ref="AF26:AF31">SUM(W26:AE26)</f>
        <v>4355.650000000001</v>
      </c>
      <c r="AG26" s="214">
        <f aca="true" t="shared" si="24" ref="AG26:AG37">D26+V26+AF26</f>
        <v>4460.200000000001</v>
      </c>
      <c r="AH26" s="186">
        <f aca="true" t="shared" si="25" ref="AH26:AI37">AC26</f>
        <v>0</v>
      </c>
      <c r="AI26" s="186">
        <f t="shared" si="25"/>
        <v>0</v>
      </c>
      <c r="AJ26" s="187"/>
      <c r="AK26" s="179">
        <f>1*B26</f>
        <v>650.98</v>
      </c>
      <c r="AL26" s="151">
        <f aca="true" t="shared" si="26" ref="AL26:AL37">B26*0.2</f>
        <v>130.196</v>
      </c>
      <c r="AM26" s="151">
        <f>B26*1</f>
        <v>650.98</v>
      </c>
      <c r="AN26" s="151">
        <f>B26*0.21</f>
        <v>136.7058</v>
      </c>
      <c r="AO26" s="151">
        <f>2.02*B26</f>
        <v>1314.9796000000001</v>
      </c>
      <c r="AP26" s="151">
        <f>B26*1.03</f>
        <v>670.5094</v>
      </c>
      <c r="AQ26" s="151">
        <f>B26*0.75</f>
        <v>488.235</v>
      </c>
      <c r="AR26" s="151">
        <f>B26*0.75</f>
        <v>488.235</v>
      </c>
      <c r="AS26" s="208">
        <v>0</v>
      </c>
      <c r="AT26" s="197"/>
      <c r="AU26" s="189"/>
      <c r="AV26" s="189"/>
      <c r="AW26" s="189"/>
      <c r="AX26" s="189"/>
      <c r="AY26" s="189"/>
      <c r="AZ26" s="189"/>
      <c r="BA26" s="179"/>
      <c r="BB26" s="188"/>
      <c r="BC26" s="209">
        <f>SUM(AK26:BB26)</f>
        <v>4530.8208</v>
      </c>
      <c r="BD26" s="190"/>
      <c r="BE26" s="157">
        <f>BC26</f>
        <v>4530.8208</v>
      </c>
      <c r="BF26" s="157">
        <f>AG26-BE26</f>
        <v>-70.62079999999969</v>
      </c>
      <c r="BG26" s="157">
        <f>AF26-U26</f>
        <v>-4241.240000000001</v>
      </c>
    </row>
    <row r="27" spans="1:59" ht="12.75">
      <c r="A27" s="170" t="s">
        <v>46</v>
      </c>
      <c r="B27" s="141">
        <v>650.98</v>
      </c>
      <c r="C27" s="122">
        <f>B27*14.05</f>
        <v>9146.269</v>
      </c>
      <c r="D27" s="448">
        <v>104.55</v>
      </c>
      <c r="E27" s="210"/>
      <c r="F27" s="210"/>
      <c r="G27" s="210">
        <v>5941.08</v>
      </c>
      <c r="H27" s="210"/>
      <c r="I27" s="210"/>
      <c r="J27" s="210"/>
      <c r="K27" s="210"/>
      <c r="L27" s="210"/>
      <c r="M27" s="210">
        <v>1906.94</v>
      </c>
      <c r="N27" s="210"/>
      <c r="O27" s="210">
        <v>748.87</v>
      </c>
      <c r="P27" s="210"/>
      <c r="Q27" s="210"/>
      <c r="R27" s="210"/>
      <c r="S27" s="211"/>
      <c r="T27" s="224"/>
      <c r="U27" s="272">
        <f t="shared" si="22"/>
        <v>8596.890000000001</v>
      </c>
      <c r="V27" s="221">
        <f t="shared" si="22"/>
        <v>0</v>
      </c>
      <c r="W27" s="210">
        <v>0</v>
      </c>
      <c r="X27" s="210">
        <v>5676.32</v>
      </c>
      <c r="Y27" s="210">
        <v>0</v>
      </c>
      <c r="Z27" s="210">
        <v>0</v>
      </c>
      <c r="AA27" s="210">
        <v>1728.81</v>
      </c>
      <c r="AB27" s="210">
        <v>691.53</v>
      </c>
      <c r="AC27" s="210"/>
      <c r="AD27" s="210"/>
      <c r="AE27" s="211"/>
      <c r="AF27" s="271">
        <f t="shared" si="23"/>
        <v>8096.659999999999</v>
      </c>
      <c r="AG27" s="214">
        <f t="shared" si="24"/>
        <v>8201.21</v>
      </c>
      <c r="AH27" s="186">
        <f t="shared" si="25"/>
        <v>0</v>
      </c>
      <c r="AI27" s="186">
        <f t="shared" si="25"/>
        <v>0</v>
      </c>
      <c r="AJ27" s="187"/>
      <c r="AK27" s="449">
        <f>1*B27</f>
        <v>650.98</v>
      </c>
      <c r="AL27" s="151">
        <f t="shared" si="26"/>
        <v>130.196</v>
      </c>
      <c r="AM27" s="151">
        <f>B27*1</f>
        <v>650.98</v>
      </c>
      <c r="AN27" s="151">
        <f>B27*0.21</f>
        <v>136.7058</v>
      </c>
      <c r="AO27" s="151">
        <f>2.02*B27</f>
        <v>1314.9796000000001</v>
      </c>
      <c r="AP27" s="151">
        <f>B27*1.03</f>
        <v>670.5094</v>
      </c>
      <c r="AQ27" s="151">
        <f>B27*0.75</f>
        <v>488.235</v>
      </c>
      <c r="AR27" s="151">
        <f>B27*0.75</f>
        <v>488.235</v>
      </c>
      <c r="AS27" s="208">
        <v>0</v>
      </c>
      <c r="AT27" s="197"/>
      <c r="AU27" s="189"/>
      <c r="AV27" s="189"/>
      <c r="AW27" s="189"/>
      <c r="AX27" s="189"/>
      <c r="AY27" s="189"/>
      <c r="AZ27" s="189"/>
      <c r="BA27" s="179"/>
      <c r="BB27" s="188"/>
      <c r="BC27" s="184">
        <f>SUM(AK27:BB27)</f>
        <v>4530.8208</v>
      </c>
      <c r="BD27" s="190"/>
      <c r="BE27" s="157">
        <f aca="true" t="shared" si="27" ref="BE27:BE37">BC27</f>
        <v>4530.8208</v>
      </c>
      <c r="BF27" s="157">
        <f aca="true" t="shared" si="28" ref="BF27:BF37">AG27-BE27</f>
        <v>3670.3891999999987</v>
      </c>
      <c r="BG27" s="157">
        <f aca="true" t="shared" si="29" ref="BG27:BG37">AF27-U27</f>
        <v>-500.2300000000023</v>
      </c>
    </row>
    <row r="28" spans="1:59" ht="12.75">
      <c r="A28" s="170" t="s">
        <v>47</v>
      </c>
      <c r="B28" s="141">
        <v>650.98</v>
      </c>
      <c r="C28" s="122">
        <f>B28*14.05</f>
        <v>9146.269</v>
      </c>
      <c r="D28" s="448">
        <v>104.55</v>
      </c>
      <c r="E28" s="210"/>
      <c r="F28" s="210"/>
      <c r="G28" s="210">
        <v>5941.08</v>
      </c>
      <c r="H28" s="210"/>
      <c r="I28" s="210"/>
      <c r="J28" s="210"/>
      <c r="K28" s="210"/>
      <c r="L28" s="210"/>
      <c r="M28" s="210">
        <v>1906.94</v>
      </c>
      <c r="N28" s="210"/>
      <c r="O28" s="210">
        <v>748.87</v>
      </c>
      <c r="P28" s="210"/>
      <c r="Q28" s="210"/>
      <c r="R28" s="210"/>
      <c r="S28" s="211"/>
      <c r="T28" s="224"/>
      <c r="U28" s="272">
        <f t="shared" si="22"/>
        <v>8596.890000000001</v>
      </c>
      <c r="V28" s="221">
        <f t="shared" si="22"/>
        <v>0</v>
      </c>
      <c r="W28" s="200">
        <v>0</v>
      </c>
      <c r="X28" s="200">
        <v>10172.17</v>
      </c>
      <c r="Y28" s="200">
        <v>0</v>
      </c>
      <c r="Z28" s="200">
        <v>0</v>
      </c>
      <c r="AA28" s="200">
        <v>3320.1</v>
      </c>
      <c r="AB28" s="200">
        <v>1287.97</v>
      </c>
      <c r="AC28" s="200"/>
      <c r="AD28" s="200"/>
      <c r="AE28" s="206"/>
      <c r="AF28" s="271">
        <f t="shared" si="23"/>
        <v>14780.24</v>
      </c>
      <c r="AG28" s="214">
        <f t="shared" si="24"/>
        <v>14884.789999999999</v>
      </c>
      <c r="AH28" s="186">
        <f t="shared" si="25"/>
        <v>0</v>
      </c>
      <c r="AI28" s="186">
        <f t="shared" si="25"/>
        <v>0</v>
      </c>
      <c r="AJ28" s="187"/>
      <c r="AK28" s="449">
        <f>1*B28</f>
        <v>650.98</v>
      </c>
      <c r="AL28" s="151">
        <f t="shared" si="26"/>
        <v>130.196</v>
      </c>
      <c r="AM28" s="151">
        <f aca="true" t="shared" si="30" ref="AM28:AM37">B28*1</f>
        <v>650.98</v>
      </c>
      <c r="AN28" s="151">
        <f aca="true" t="shared" si="31" ref="AN28:AN37">B28*0.21</f>
        <v>136.7058</v>
      </c>
      <c r="AO28" s="151">
        <f aca="true" t="shared" si="32" ref="AO28:AO37">2.02*B28</f>
        <v>1314.9796000000001</v>
      </c>
      <c r="AP28" s="151">
        <f aca="true" t="shared" si="33" ref="AP28:AP37">B28*1.03</f>
        <v>670.5094</v>
      </c>
      <c r="AQ28" s="151">
        <f aca="true" t="shared" si="34" ref="AQ28:AQ37">B28*0.75</f>
        <v>488.235</v>
      </c>
      <c r="AR28" s="151">
        <f aca="true" t="shared" si="35" ref="AR28:AR37">B28*0.75</f>
        <v>488.235</v>
      </c>
      <c r="AS28" s="208">
        <v>0</v>
      </c>
      <c r="AT28" s="197"/>
      <c r="AU28" s="189"/>
      <c r="AV28" s="189"/>
      <c r="AW28" s="189"/>
      <c r="AX28" s="189">
        <f>100</f>
        <v>100</v>
      </c>
      <c r="AY28" s="189"/>
      <c r="AZ28" s="189"/>
      <c r="BA28" s="179"/>
      <c r="BB28" s="188"/>
      <c r="BC28" s="209">
        <f>SUM(AK28:BB28)</f>
        <v>4630.8208</v>
      </c>
      <c r="BD28" s="190"/>
      <c r="BE28" s="157">
        <f t="shared" si="27"/>
        <v>4630.8208</v>
      </c>
      <c r="BF28" s="157">
        <f t="shared" si="28"/>
        <v>10253.9692</v>
      </c>
      <c r="BG28" s="157">
        <f t="shared" si="29"/>
        <v>6183.3499999999985</v>
      </c>
    </row>
    <row r="29" spans="1:59" ht="12.75">
      <c r="A29" s="170" t="s">
        <v>48</v>
      </c>
      <c r="B29" s="141">
        <v>650.98</v>
      </c>
      <c r="C29" s="122">
        <f>B29*14.05</f>
        <v>9146.269</v>
      </c>
      <c r="D29" s="448">
        <v>104.55</v>
      </c>
      <c r="E29" s="210"/>
      <c r="F29" s="210"/>
      <c r="G29" s="210">
        <v>5941.08</v>
      </c>
      <c r="H29" s="210"/>
      <c r="I29" s="210"/>
      <c r="J29" s="210"/>
      <c r="K29" s="210"/>
      <c r="L29" s="210"/>
      <c r="M29" s="210">
        <v>1906.94</v>
      </c>
      <c r="N29" s="210"/>
      <c r="O29" s="210">
        <v>748.87</v>
      </c>
      <c r="P29" s="210"/>
      <c r="Q29" s="210"/>
      <c r="R29" s="210"/>
      <c r="S29" s="211"/>
      <c r="T29" s="224"/>
      <c r="U29" s="272">
        <f t="shared" si="22"/>
        <v>8596.890000000001</v>
      </c>
      <c r="V29" s="221">
        <f t="shared" si="22"/>
        <v>0</v>
      </c>
      <c r="W29" s="222">
        <v>0</v>
      </c>
      <c r="X29" s="222">
        <v>3244.27</v>
      </c>
      <c r="Y29" s="222">
        <v>0</v>
      </c>
      <c r="Z29" s="222">
        <v>0</v>
      </c>
      <c r="AA29" s="222">
        <v>987.95</v>
      </c>
      <c r="AB29" s="222">
        <v>395.18</v>
      </c>
      <c r="AC29" s="222"/>
      <c r="AD29" s="222"/>
      <c r="AE29" s="223"/>
      <c r="AF29" s="271">
        <f t="shared" si="23"/>
        <v>4627.400000000001</v>
      </c>
      <c r="AG29" s="214">
        <f t="shared" si="24"/>
        <v>4731.950000000001</v>
      </c>
      <c r="AH29" s="186">
        <f t="shared" si="25"/>
        <v>0</v>
      </c>
      <c r="AI29" s="186">
        <f t="shared" si="25"/>
        <v>0</v>
      </c>
      <c r="AJ29" s="187"/>
      <c r="AK29" s="449">
        <f>1*B29</f>
        <v>650.98</v>
      </c>
      <c r="AL29" s="151">
        <f t="shared" si="26"/>
        <v>130.196</v>
      </c>
      <c r="AM29" s="151">
        <f t="shared" si="30"/>
        <v>650.98</v>
      </c>
      <c r="AN29" s="151">
        <f t="shared" si="31"/>
        <v>136.7058</v>
      </c>
      <c r="AO29" s="151">
        <f t="shared" si="32"/>
        <v>1314.9796000000001</v>
      </c>
      <c r="AP29" s="151">
        <f t="shared" si="33"/>
        <v>670.5094</v>
      </c>
      <c r="AQ29" s="151">
        <f t="shared" si="34"/>
        <v>488.235</v>
      </c>
      <c r="AR29" s="151">
        <f t="shared" si="35"/>
        <v>488.235</v>
      </c>
      <c r="AS29" s="208"/>
      <c r="AT29" s="197"/>
      <c r="AU29" s="189"/>
      <c r="AV29" s="189"/>
      <c r="AW29" s="189"/>
      <c r="AX29" s="189"/>
      <c r="AY29" s="189"/>
      <c r="AZ29" s="189"/>
      <c r="BA29" s="179"/>
      <c r="BB29" s="188"/>
      <c r="BC29" s="209">
        <f>SUM(AK29:BB29)</f>
        <v>4530.8208</v>
      </c>
      <c r="BD29" s="190"/>
      <c r="BE29" s="157">
        <f t="shared" si="27"/>
        <v>4530.8208</v>
      </c>
      <c r="BF29" s="157">
        <f t="shared" si="28"/>
        <v>201.1292000000003</v>
      </c>
      <c r="BG29" s="157">
        <f t="shared" si="29"/>
        <v>-3969.4900000000007</v>
      </c>
    </row>
    <row r="30" spans="1:59" ht="12.75">
      <c r="A30" s="170" t="s">
        <v>49</v>
      </c>
      <c r="B30" s="141">
        <v>650.98</v>
      </c>
      <c r="C30" s="122">
        <f>B30*14.05</f>
        <v>9146.269</v>
      </c>
      <c r="D30" s="448">
        <v>104.55</v>
      </c>
      <c r="E30" s="210"/>
      <c r="F30" s="210"/>
      <c r="G30" s="210">
        <v>5941.08</v>
      </c>
      <c r="H30" s="210"/>
      <c r="I30" s="210"/>
      <c r="J30" s="210"/>
      <c r="K30" s="210"/>
      <c r="L30" s="210"/>
      <c r="M30" s="210">
        <v>1906.94</v>
      </c>
      <c r="N30" s="210"/>
      <c r="O30" s="210">
        <v>748.87</v>
      </c>
      <c r="P30" s="210"/>
      <c r="Q30" s="210"/>
      <c r="R30" s="210"/>
      <c r="S30" s="211"/>
      <c r="T30" s="224"/>
      <c r="U30" s="220">
        <f t="shared" si="22"/>
        <v>8596.890000000001</v>
      </c>
      <c r="V30" s="221">
        <f t="shared" si="22"/>
        <v>0</v>
      </c>
      <c r="W30" s="222">
        <v>0</v>
      </c>
      <c r="X30" s="222">
        <v>4437.21</v>
      </c>
      <c r="Y30" s="222">
        <v>0</v>
      </c>
      <c r="Z30" s="222">
        <v>0</v>
      </c>
      <c r="AA30" s="222">
        <v>1332.79</v>
      </c>
      <c r="AB30" s="222">
        <v>525.33</v>
      </c>
      <c r="AC30" s="222"/>
      <c r="AD30" s="222"/>
      <c r="AE30" s="222"/>
      <c r="AF30" s="271">
        <f t="shared" si="23"/>
        <v>6295.33</v>
      </c>
      <c r="AG30" s="214">
        <f t="shared" si="24"/>
        <v>6399.88</v>
      </c>
      <c r="AH30" s="186">
        <f t="shared" si="25"/>
        <v>0</v>
      </c>
      <c r="AI30" s="186">
        <f t="shared" si="25"/>
        <v>0</v>
      </c>
      <c r="AJ30" s="187"/>
      <c r="AK30" s="449">
        <f>1*B30</f>
        <v>650.98</v>
      </c>
      <c r="AL30" s="151">
        <f t="shared" si="26"/>
        <v>130.196</v>
      </c>
      <c r="AM30" s="151">
        <f t="shared" si="30"/>
        <v>650.98</v>
      </c>
      <c r="AN30" s="151">
        <f t="shared" si="31"/>
        <v>136.7058</v>
      </c>
      <c r="AO30" s="151">
        <f t="shared" si="32"/>
        <v>1314.9796000000001</v>
      </c>
      <c r="AP30" s="151">
        <f t="shared" si="33"/>
        <v>670.5094</v>
      </c>
      <c r="AQ30" s="151">
        <f t="shared" si="34"/>
        <v>488.235</v>
      </c>
      <c r="AR30" s="151">
        <f t="shared" si="35"/>
        <v>488.235</v>
      </c>
      <c r="AS30" s="208"/>
      <c r="AT30" s="197"/>
      <c r="AU30" s="189"/>
      <c r="AV30" s="189"/>
      <c r="AW30" s="189"/>
      <c r="AX30" s="189"/>
      <c r="AY30" s="189"/>
      <c r="AZ30" s="189"/>
      <c r="BA30" s="179"/>
      <c r="BB30" s="188"/>
      <c r="BC30" s="209">
        <f>SUM(AK30:BB30)</f>
        <v>4530.8208</v>
      </c>
      <c r="BD30" s="190"/>
      <c r="BE30" s="157">
        <f t="shared" si="27"/>
        <v>4530.8208</v>
      </c>
      <c r="BF30" s="157">
        <f t="shared" si="28"/>
        <v>1869.0591999999997</v>
      </c>
      <c r="BG30" s="157">
        <f t="shared" si="29"/>
        <v>-2301.5600000000013</v>
      </c>
    </row>
    <row r="31" spans="1:59" ht="12.75">
      <c r="A31" s="170" t="s">
        <v>50</v>
      </c>
      <c r="B31" s="141">
        <v>650.98</v>
      </c>
      <c r="C31" s="122">
        <f>B31*14.05</f>
        <v>9146.269</v>
      </c>
      <c r="D31" s="448">
        <v>104.55</v>
      </c>
      <c r="E31" s="210"/>
      <c r="F31" s="210"/>
      <c r="G31" s="210">
        <v>5941.08</v>
      </c>
      <c r="H31" s="210"/>
      <c r="I31" s="210"/>
      <c r="J31" s="210"/>
      <c r="K31" s="210"/>
      <c r="L31" s="210"/>
      <c r="M31" s="210">
        <v>1906.94</v>
      </c>
      <c r="N31" s="210"/>
      <c r="O31" s="210">
        <v>748.87</v>
      </c>
      <c r="P31" s="210"/>
      <c r="Q31" s="210"/>
      <c r="R31" s="210"/>
      <c r="S31" s="211"/>
      <c r="T31" s="224"/>
      <c r="U31" s="220">
        <f t="shared" si="22"/>
        <v>8596.890000000001</v>
      </c>
      <c r="V31" s="221">
        <f t="shared" si="22"/>
        <v>0</v>
      </c>
      <c r="W31" s="222"/>
      <c r="X31" s="450">
        <v>6964.75</v>
      </c>
      <c r="Y31" s="222"/>
      <c r="Z31" s="222"/>
      <c r="AA31" s="450">
        <v>2042.72</v>
      </c>
      <c r="AB31" s="450">
        <v>809.86</v>
      </c>
      <c r="AC31" s="222"/>
      <c r="AD31" s="450"/>
      <c r="AE31" s="451"/>
      <c r="AF31" s="271">
        <f t="shared" si="23"/>
        <v>9817.33</v>
      </c>
      <c r="AG31" s="214">
        <f t="shared" si="24"/>
        <v>9921.88</v>
      </c>
      <c r="AH31" s="186">
        <f t="shared" si="25"/>
        <v>0</v>
      </c>
      <c r="AI31" s="186">
        <f t="shared" si="25"/>
        <v>0</v>
      </c>
      <c r="AJ31" s="187"/>
      <c r="AK31" s="449">
        <f>1*B31</f>
        <v>650.98</v>
      </c>
      <c r="AL31" s="151">
        <f t="shared" si="26"/>
        <v>130.196</v>
      </c>
      <c r="AM31" s="151">
        <f t="shared" si="30"/>
        <v>650.98</v>
      </c>
      <c r="AN31" s="151">
        <f t="shared" si="31"/>
        <v>136.7058</v>
      </c>
      <c r="AO31" s="151">
        <f t="shared" si="32"/>
        <v>1314.9796000000001</v>
      </c>
      <c r="AP31" s="151">
        <f t="shared" si="33"/>
        <v>670.5094</v>
      </c>
      <c r="AQ31" s="151">
        <f t="shared" si="34"/>
        <v>488.235</v>
      </c>
      <c r="AR31" s="151">
        <f t="shared" si="35"/>
        <v>488.235</v>
      </c>
      <c r="AS31" s="208"/>
      <c r="AT31" s="197"/>
      <c r="AU31" s="189"/>
      <c r="AV31" s="189"/>
      <c r="AW31" s="189"/>
      <c r="AX31" s="189"/>
      <c r="AY31" s="189"/>
      <c r="AZ31" s="189"/>
      <c r="BA31" s="179"/>
      <c r="BB31" s="188"/>
      <c r="BC31" s="209">
        <f>SUM(AK31:BB31)</f>
        <v>4530.8208</v>
      </c>
      <c r="BD31" s="190"/>
      <c r="BE31" s="157">
        <f t="shared" si="27"/>
        <v>4530.8208</v>
      </c>
      <c r="BF31" s="157">
        <f t="shared" si="28"/>
        <v>5391.059199999999</v>
      </c>
      <c r="BG31" s="157">
        <f t="shared" si="29"/>
        <v>1220.4399999999987</v>
      </c>
    </row>
    <row r="32" spans="1:59" ht="12.75">
      <c r="A32" s="170" t="s">
        <v>51</v>
      </c>
      <c r="B32" s="141">
        <v>650.98</v>
      </c>
      <c r="C32" s="171">
        <f>B32*14.05</f>
        <v>9146.269</v>
      </c>
      <c r="D32" s="448">
        <v>139.9125</v>
      </c>
      <c r="E32" s="210"/>
      <c r="F32" s="210"/>
      <c r="G32" s="210">
        <v>5941.08</v>
      </c>
      <c r="H32" s="210"/>
      <c r="I32" s="210"/>
      <c r="J32" s="210"/>
      <c r="K32" s="210"/>
      <c r="L32" s="210"/>
      <c r="M32" s="210">
        <v>1906.94</v>
      </c>
      <c r="N32" s="210"/>
      <c r="O32" s="210">
        <v>748.87</v>
      </c>
      <c r="P32" s="210"/>
      <c r="Q32" s="210"/>
      <c r="R32" s="210"/>
      <c r="S32" s="211"/>
      <c r="T32" s="224"/>
      <c r="U32" s="220">
        <f aca="true" t="shared" si="36" ref="U32:V37">G32+M32+O32+Q32+S32</f>
        <v>8596.890000000001</v>
      </c>
      <c r="V32" s="452">
        <f t="shared" si="36"/>
        <v>0</v>
      </c>
      <c r="W32" s="222"/>
      <c r="X32" s="200">
        <v>3545.24</v>
      </c>
      <c r="Y32" s="222"/>
      <c r="Z32" s="222"/>
      <c r="AA32" s="200">
        <v>1082.82</v>
      </c>
      <c r="AB32" s="200">
        <v>420.5</v>
      </c>
      <c r="AC32" s="222"/>
      <c r="AD32" s="200"/>
      <c r="AE32" s="206"/>
      <c r="AF32" s="271">
        <f aca="true" t="shared" si="37" ref="AF32:AF37">SUM(X32:AE32)</f>
        <v>5048.5599999999995</v>
      </c>
      <c r="AG32" s="214">
        <f t="shared" si="24"/>
        <v>5188.4725</v>
      </c>
      <c r="AH32" s="453">
        <v>0</v>
      </c>
      <c r="AI32" s="186">
        <f t="shared" si="25"/>
        <v>0</v>
      </c>
      <c r="AJ32" s="187"/>
      <c r="AK32" s="151">
        <f>1*B32</f>
        <v>650.98</v>
      </c>
      <c r="AL32" s="151">
        <f t="shared" si="26"/>
        <v>130.196</v>
      </c>
      <c r="AM32" s="151">
        <f t="shared" si="30"/>
        <v>650.98</v>
      </c>
      <c r="AN32" s="151">
        <f t="shared" si="31"/>
        <v>136.7058</v>
      </c>
      <c r="AO32" s="151">
        <f t="shared" si="32"/>
        <v>1314.9796000000001</v>
      </c>
      <c r="AP32" s="151">
        <f t="shared" si="33"/>
        <v>670.5094</v>
      </c>
      <c r="AQ32" s="151">
        <f t="shared" si="34"/>
        <v>488.235</v>
      </c>
      <c r="AR32" s="151">
        <f t="shared" si="35"/>
        <v>488.235</v>
      </c>
      <c r="AS32" s="208"/>
      <c r="AT32" s="197"/>
      <c r="AU32" s="189"/>
      <c r="AV32" s="189"/>
      <c r="AW32" s="189"/>
      <c r="AX32" s="189"/>
      <c r="AY32" s="189"/>
      <c r="AZ32" s="189"/>
      <c r="BA32" s="179"/>
      <c r="BB32" s="188"/>
      <c r="BC32" s="209">
        <f>SUM(AK32:BB32)</f>
        <v>4530.8208</v>
      </c>
      <c r="BD32" s="190"/>
      <c r="BE32" s="157">
        <f t="shared" si="27"/>
        <v>4530.8208</v>
      </c>
      <c r="BF32" s="157">
        <f t="shared" si="28"/>
        <v>657.6516999999994</v>
      </c>
      <c r="BG32" s="157">
        <f t="shared" si="29"/>
        <v>-3548.3300000000017</v>
      </c>
    </row>
    <row r="33" spans="1:59" ht="12.75">
      <c r="A33" s="170" t="s">
        <v>52</v>
      </c>
      <c r="B33" s="141">
        <v>650.98</v>
      </c>
      <c r="C33" s="171">
        <f>B33*14.05</f>
        <v>9146.269</v>
      </c>
      <c r="D33" s="448"/>
      <c r="E33" s="210"/>
      <c r="F33" s="210"/>
      <c r="G33" s="210">
        <v>5941.08</v>
      </c>
      <c r="H33" s="210"/>
      <c r="I33" s="210"/>
      <c r="J33" s="210"/>
      <c r="K33" s="210"/>
      <c r="L33" s="210"/>
      <c r="M33" s="210">
        <v>1906.94</v>
      </c>
      <c r="N33" s="210"/>
      <c r="O33" s="210">
        <v>748.87</v>
      </c>
      <c r="P33" s="210"/>
      <c r="Q33" s="210"/>
      <c r="R33" s="210"/>
      <c r="S33" s="211"/>
      <c r="T33" s="224"/>
      <c r="U33" s="220">
        <f t="shared" si="36"/>
        <v>8596.890000000001</v>
      </c>
      <c r="V33" s="452">
        <f t="shared" si="36"/>
        <v>0</v>
      </c>
      <c r="W33" s="222"/>
      <c r="X33" s="200">
        <v>3468.46</v>
      </c>
      <c r="Y33" s="222"/>
      <c r="Z33" s="222"/>
      <c r="AA33" s="200">
        <v>1024.44</v>
      </c>
      <c r="AB33" s="200">
        <v>409.78</v>
      </c>
      <c r="AC33" s="222"/>
      <c r="AD33" s="200"/>
      <c r="AE33" s="206"/>
      <c r="AF33" s="271">
        <f t="shared" si="37"/>
        <v>4902.679999999999</v>
      </c>
      <c r="AG33" s="214">
        <f t="shared" si="24"/>
        <v>4902.679999999999</v>
      </c>
      <c r="AH33" s="453">
        <v>0</v>
      </c>
      <c r="AI33" s="186">
        <f t="shared" si="25"/>
        <v>0</v>
      </c>
      <c r="AJ33" s="187"/>
      <c r="AK33" s="151">
        <f>1*B33</f>
        <v>650.98</v>
      </c>
      <c r="AL33" s="151">
        <f t="shared" si="26"/>
        <v>130.196</v>
      </c>
      <c r="AM33" s="151">
        <f t="shared" si="30"/>
        <v>650.98</v>
      </c>
      <c r="AN33" s="151">
        <f t="shared" si="31"/>
        <v>136.7058</v>
      </c>
      <c r="AO33" s="151">
        <f t="shared" si="32"/>
        <v>1314.9796000000001</v>
      </c>
      <c r="AP33" s="151">
        <f t="shared" si="33"/>
        <v>670.5094</v>
      </c>
      <c r="AQ33" s="151">
        <f t="shared" si="34"/>
        <v>488.235</v>
      </c>
      <c r="AR33" s="151">
        <f t="shared" si="35"/>
        <v>488.235</v>
      </c>
      <c r="AS33" s="151"/>
      <c r="AT33" s="197"/>
      <c r="AU33" s="189">
        <v>3715</v>
      </c>
      <c r="AV33" s="189"/>
      <c r="AW33" s="189"/>
      <c r="AX33" s="189">
        <f>2987+60</f>
        <v>3047</v>
      </c>
      <c r="AY33" s="189"/>
      <c r="AZ33" s="189"/>
      <c r="BA33" s="179"/>
      <c r="BB33" s="188"/>
      <c r="BC33" s="209">
        <f>SUM(AK33:BB33)</f>
        <v>11292.820800000001</v>
      </c>
      <c r="BD33" s="190"/>
      <c r="BE33" s="157">
        <f t="shared" si="27"/>
        <v>11292.820800000001</v>
      </c>
      <c r="BF33" s="157">
        <f t="shared" si="28"/>
        <v>-6390.140800000002</v>
      </c>
      <c r="BG33" s="157">
        <f t="shared" si="29"/>
        <v>-3694.210000000002</v>
      </c>
    </row>
    <row r="34" spans="1:59" ht="12.75">
      <c r="A34" s="170" t="s">
        <v>53</v>
      </c>
      <c r="B34" s="141">
        <v>650.98</v>
      </c>
      <c r="C34" s="171">
        <f>B34*14.05</f>
        <v>9146.269</v>
      </c>
      <c r="D34" s="448"/>
      <c r="E34" s="210"/>
      <c r="F34" s="210"/>
      <c r="G34" s="210">
        <v>5941.08</v>
      </c>
      <c r="H34" s="210"/>
      <c r="I34" s="210"/>
      <c r="J34" s="210"/>
      <c r="K34" s="210"/>
      <c r="L34" s="210"/>
      <c r="M34" s="210">
        <v>1906.94</v>
      </c>
      <c r="N34" s="210"/>
      <c r="O34" s="210">
        <v>748.87</v>
      </c>
      <c r="P34" s="210"/>
      <c r="Q34" s="210"/>
      <c r="R34" s="210"/>
      <c r="S34" s="211"/>
      <c r="T34" s="224"/>
      <c r="U34" s="220">
        <f t="shared" si="36"/>
        <v>8596.890000000001</v>
      </c>
      <c r="V34" s="452">
        <f t="shared" si="36"/>
        <v>0</v>
      </c>
      <c r="W34" s="222"/>
      <c r="X34" s="200">
        <v>11494.88</v>
      </c>
      <c r="Y34" s="222"/>
      <c r="Z34" s="222"/>
      <c r="AA34" s="200">
        <v>3384.51</v>
      </c>
      <c r="AB34" s="200">
        <v>1346</v>
      </c>
      <c r="AC34" s="222"/>
      <c r="AD34" s="200"/>
      <c r="AE34" s="206"/>
      <c r="AF34" s="271">
        <f t="shared" si="37"/>
        <v>16225.39</v>
      </c>
      <c r="AG34" s="214">
        <f t="shared" si="24"/>
        <v>16225.39</v>
      </c>
      <c r="AH34" s="453">
        <v>0</v>
      </c>
      <c r="AI34" s="186">
        <f t="shared" si="25"/>
        <v>0</v>
      </c>
      <c r="AJ34" s="187"/>
      <c r="AK34" s="151">
        <f>1*B34</f>
        <v>650.98</v>
      </c>
      <c r="AL34" s="151">
        <f t="shared" si="26"/>
        <v>130.196</v>
      </c>
      <c r="AM34" s="151">
        <f t="shared" si="30"/>
        <v>650.98</v>
      </c>
      <c r="AN34" s="151">
        <f t="shared" si="31"/>
        <v>136.7058</v>
      </c>
      <c r="AO34" s="151">
        <f t="shared" si="32"/>
        <v>1314.9796000000001</v>
      </c>
      <c r="AP34" s="151">
        <f t="shared" si="33"/>
        <v>670.5094</v>
      </c>
      <c r="AQ34" s="151">
        <f t="shared" si="34"/>
        <v>488.235</v>
      </c>
      <c r="AR34" s="151">
        <f t="shared" si="35"/>
        <v>488.235</v>
      </c>
      <c r="AS34" s="208"/>
      <c r="AT34" s="197"/>
      <c r="AU34" s="189"/>
      <c r="AV34" s="189"/>
      <c r="AW34" s="189">
        <v>90</v>
      </c>
      <c r="AX34" s="189"/>
      <c r="AY34" s="189"/>
      <c r="AZ34" s="189"/>
      <c r="BA34" s="179"/>
      <c r="BB34" s="188"/>
      <c r="BC34" s="209">
        <f>SUM(AK34:BB34)</f>
        <v>4620.8208</v>
      </c>
      <c r="BD34" s="190"/>
      <c r="BE34" s="157">
        <f t="shared" si="27"/>
        <v>4620.8208</v>
      </c>
      <c r="BF34" s="157">
        <f t="shared" si="28"/>
        <v>11604.569199999998</v>
      </c>
      <c r="BG34" s="157">
        <f t="shared" si="29"/>
        <v>7628.499999999998</v>
      </c>
    </row>
    <row r="35" spans="1:59" ht="12.75">
      <c r="A35" s="170" t="s">
        <v>41</v>
      </c>
      <c r="B35" s="141">
        <v>650.98</v>
      </c>
      <c r="C35" s="171">
        <f>B35*14.05</f>
        <v>9146.269</v>
      </c>
      <c r="D35" s="448"/>
      <c r="E35" s="210"/>
      <c r="F35" s="210"/>
      <c r="G35" s="210">
        <v>5941.08</v>
      </c>
      <c r="H35" s="210"/>
      <c r="I35" s="210"/>
      <c r="J35" s="210"/>
      <c r="K35" s="210"/>
      <c r="L35" s="210"/>
      <c r="M35" s="210">
        <v>1906.94</v>
      </c>
      <c r="N35" s="210"/>
      <c r="O35" s="210">
        <v>748.87</v>
      </c>
      <c r="P35" s="210"/>
      <c r="Q35" s="210"/>
      <c r="R35" s="210"/>
      <c r="S35" s="211"/>
      <c r="T35" s="224"/>
      <c r="U35" s="220">
        <f t="shared" si="36"/>
        <v>8596.890000000001</v>
      </c>
      <c r="V35" s="452">
        <f t="shared" si="36"/>
        <v>0</v>
      </c>
      <c r="W35" s="222"/>
      <c r="X35" s="200">
        <v>2345.05</v>
      </c>
      <c r="Y35" s="222"/>
      <c r="Z35" s="222"/>
      <c r="AA35" s="200">
        <v>764.28</v>
      </c>
      <c r="AB35" s="200">
        <v>298.43</v>
      </c>
      <c r="AC35" s="222"/>
      <c r="AD35" s="200"/>
      <c r="AE35" s="206"/>
      <c r="AF35" s="271">
        <f t="shared" si="37"/>
        <v>3407.7599999999998</v>
      </c>
      <c r="AG35" s="214">
        <f t="shared" si="24"/>
        <v>3407.7599999999998</v>
      </c>
      <c r="AH35" s="453">
        <v>0</v>
      </c>
      <c r="AI35" s="186">
        <f t="shared" si="25"/>
        <v>0</v>
      </c>
      <c r="AJ35" s="187"/>
      <c r="AK35" s="151">
        <f>1*B35</f>
        <v>650.98</v>
      </c>
      <c r="AL35" s="151">
        <f t="shared" si="26"/>
        <v>130.196</v>
      </c>
      <c r="AM35" s="151">
        <f t="shared" si="30"/>
        <v>650.98</v>
      </c>
      <c r="AN35" s="151">
        <f t="shared" si="31"/>
        <v>136.7058</v>
      </c>
      <c r="AO35" s="151">
        <f t="shared" si="32"/>
        <v>1314.9796000000001</v>
      </c>
      <c r="AP35" s="151">
        <f t="shared" si="33"/>
        <v>670.5094</v>
      </c>
      <c r="AQ35" s="151">
        <f t="shared" si="34"/>
        <v>488.235</v>
      </c>
      <c r="AR35" s="151">
        <f t="shared" si="35"/>
        <v>488.235</v>
      </c>
      <c r="AS35" s="454">
        <f>B35*1.15</f>
        <v>748.627</v>
      </c>
      <c r="AT35" s="197"/>
      <c r="AU35" s="455"/>
      <c r="AV35" s="189"/>
      <c r="AW35" s="189"/>
      <c r="AX35" s="189"/>
      <c r="AY35" s="189"/>
      <c r="AZ35" s="189"/>
      <c r="BA35" s="179"/>
      <c r="BB35" s="188"/>
      <c r="BC35" s="209">
        <f>SUM(AK35:BB35)</f>
        <v>5279.4478</v>
      </c>
      <c r="BD35" s="190"/>
      <c r="BE35" s="157">
        <f t="shared" si="27"/>
        <v>5279.4478</v>
      </c>
      <c r="BF35" s="157">
        <f t="shared" si="28"/>
        <v>-1871.6878000000002</v>
      </c>
      <c r="BG35" s="157">
        <f t="shared" si="29"/>
        <v>-5189.130000000001</v>
      </c>
    </row>
    <row r="36" spans="1:59" ht="12.75">
      <c r="A36" s="170" t="s">
        <v>42</v>
      </c>
      <c r="B36" s="456">
        <v>650.98</v>
      </c>
      <c r="C36" s="171">
        <f>B36*14.05</f>
        <v>9146.269</v>
      </c>
      <c r="D36" s="448"/>
      <c r="E36" s="210"/>
      <c r="F36" s="210"/>
      <c r="G36" s="200">
        <v>5941.08</v>
      </c>
      <c r="H36" s="200"/>
      <c r="I36" s="210"/>
      <c r="J36" s="210"/>
      <c r="K36" s="210"/>
      <c r="L36" s="210"/>
      <c r="M36" s="200">
        <v>1906.94</v>
      </c>
      <c r="N36" s="200"/>
      <c r="O36" s="200">
        <v>748.87</v>
      </c>
      <c r="P36" s="200"/>
      <c r="Q36" s="200"/>
      <c r="R36" s="200"/>
      <c r="S36" s="206"/>
      <c r="T36" s="224"/>
      <c r="U36" s="220">
        <f t="shared" si="36"/>
        <v>8596.890000000001</v>
      </c>
      <c r="V36" s="452">
        <f t="shared" si="36"/>
        <v>0</v>
      </c>
      <c r="W36" s="222"/>
      <c r="X36" s="200">
        <v>5415.88</v>
      </c>
      <c r="Y36" s="222"/>
      <c r="Z36" s="222"/>
      <c r="AA36" s="200">
        <v>1732.51</v>
      </c>
      <c r="AB36" s="200">
        <v>678.45</v>
      </c>
      <c r="AC36" s="222"/>
      <c r="AD36" s="200"/>
      <c r="AE36" s="206"/>
      <c r="AF36" s="271">
        <f t="shared" si="37"/>
        <v>7826.84</v>
      </c>
      <c r="AG36" s="214">
        <f t="shared" si="24"/>
        <v>7826.84</v>
      </c>
      <c r="AH36" s="453">
        <v>0</v>
      </c>
      <c r="AI36" s="186">
        <f t="shared" si="25"/>
        <v>0</v>
      </c>
      <c r="AJ36" s="187"/>
      <c r="AK36" s="151">
        <f>1*B36</f>
        <v>650.98</v>
      </c>
      <c r="AL36" s="151">
        <f t="shared" si="26"/>
        <v>130.196</v>
      </c>
      <c r="AM36" s="151">
        <f t="shared" si="30"/>
        <v>650.98</v>
      </c>
      <c r="AN36" s="151">
        <f t="shared" si="31"/>
        <v>136.7058</v>
      </c>
      <c r="AO36" s="151">
        <f t="shared" si="32"/>
        <v>1314.9796000000001</v>
      </c>
      <c r="AP36" s="151">
        <f t="shared" si="33"/>
        <v>670.5094</v>
      </c>
      <c r="AQ36" s="151">
        <f t="shared" si="34"/>
        <v>488.235</v>
      </c>
      <c r="AR36" s="151">
        <f t="shared" si="35"/>
        <v>488.235</v>
      </c>
      <c r="AS36" s="454">
        <f>B36*1.15</f>
        <v>748.627</v>
      </c>
      <c r="AT36" s="197"/>
      <c r="AU36" s="189"/>
      <c r="AV36" s="189"/>
      <c r="AW36" s="189"/>
      <c r="AX36" s="189"/>
      <c r="AY36" s="189"/>
      <c r="AZ36" s="189"/>
      <c r="BA36" s="179"/>
      <c r="BB36" s="188"/>
      <c r="BC36" s="209">
        <f>SUM(AK36:BB36)</f>
        <v>5279.4478</v>
      </c>
      <c r="BD36" s="190"/>
      <c r="BE36" s="157">
        <f t="shared" si="27"/>
        <v>5279.4478</v>
      </c>
      <c r="BF36" s="157">
        <f t="shared" si="28"/>
        <v>2547.3922000000002</v>
      </c>
      <c r="BG36" s="157">
        <f t="shared" si="29"/>
        <v>-770.0500000000011</v>
      </c>
    </row>
    <row r="37" spans="1:59" ht="13.5" thickBot="1">
      <c r="A37" s="170" t="s">
        <v>43</v>
      </c>
      <c r="B37" s="457">
        <v>647.98</v>
      </c>
      <c r="C37" s="171">
        <f>B37*14.05</f>
        <v>9104.119</v>
      </c>
      <c r="D37" s="448"/>
      <c r="E37" s="200"/>
      <c r="F37" s="200"/>
      <c r="G37" s="200">
        <v>5925.57</v>
      </c>
      <c r="H37" s="200"/>
      <c r="I37" s="200"/>
      <c r="J37" s="200"/>
      <c r="K37" s="200"/>
      <c r="L37" s="200"/>
      <c r="M37" s="200">
        <v>1899.41</v>
      </c>
      <c r="N37" s="200"/>
      <c r="O37" s="200">
        <v>746.26</v>
      </c>
      <c r="P37" s="200"/>
      <c r="Q37" s="200"/>
      <c r="R37" s="200"/>
      <c r="S37" s="206"/>
      <c r="T37" s="224"/>
      <c r="U37" s="220">
        <f t="shared" si="36"/>
        <v>8571.24</v>
      </c>
      <c r="V37" s="452">
        <f t="shared" si="36"/>
        <v>0</v>
      </c>
      <c r="W37" s="222"/>
      <c r="X37" s="200">
        <v>5635.92</v>
      </c>
      <c r="Y37" s="200"/>
      <c r="Z37" s="200"/>
      <c r="AA37" s="200">
        <v>1802.36</v>
      </c>
      <c r="AB37" s="200">
        <v>707.3</v>
      </c>
      <c r="AC37" s="200"/>
      <c r="AD37" s="200"/>
      <c r="AE37" s="206"/>
      <c r="AF37" s="271">
        <f t="shared" si="37"/>
        <v>8145.58</v>
      </c>
      <c r="AG37" s="214">
        <f t="shared" si="24"/>
        <v>8145.58</v>
      </c>
      <c r="AH37" s="453">
        <v>0</v>
      </c>
      <c r="AI37" s="186">
        <f t="shared" si="25"/>
        <v>0</v>
      </c>
      <c r="AJ37" s="187"/>
      <c r="AK37" s="151">
        <f>1*B37</f>
        <v>647.98</v>
      </c>
      <c r="AL37" s="151">
        <f t="shared" si="26"/>
        <v>129.596</v>
      </c>
      <c r="AM37" s="151">
        <f t="shared" si="30"/>
        <v>647.98</v>
      </c>
      <c r="AN37" s="151">
        <f t="shared" si="31"/>
        <v>136.0758</v>
      </c>
      <c r="AO37" s="151">
        <f t="shared" si="32"/>
        <v>1308.9196</v>
      </c>
      <c r="AP37" s="151">
        <f t="shared" si="33"/>
        <v>667.4194</v>
      </c>
      <c r="AQ37" s="151">
        <f t="shared" si="34"/>
        <v>485.985</v>
      </c>
      <c r="AR37" s="151">
        <f t="shared" si="35"/>
        <v>485.985</v>
      </c>
      <c r="AS37" s="454">
        <f>B37*1.15</f>
        <v>745.1769999999999</v>
      </c>
      <c r="AT37" s="197"/>
      <c r="AU37" s="189"/>
      <c r="AV37" s="189"/>
      <c r="AW37" s="189"/>
      <c r="AX37" s="189"/>
      <c r="AY37" s="189"/>
      <c r="AZ37" s="189"/>
      <c r="BA37" s="179"/>
      <c r="BB37" s="188"/>
      <c r="BC37" s="209">
        <f>SUM(AK37:BB37)</f>
        <v>5255.1178</v>
      </c>
      <c r="BD37" s="190"/>
      <c r="BE37" s="157">
        <f t="shared" si="27"/>
        <v>5255.1178</v>
      </c>
      <c r="BF37" s="157">
        <f t="shared" si="28"/>
        <v>2890.4622</v>
      </c>
      <c r="BG37" s="157">
        <f t="shared" si="29"/>
        <v>-425.65999999999985</v>
      </c>
    </row>
    <row r="38" spans="1:59" s="20" customFormat="1" ht="13.5" thickBot="1">
      <c r="A38" s="225" t="s">
        <v>5</v>
      </c>
      <c r="B38" s="226"/>
      <c r="C38" s="226">
        <f aca="true" t="shared" si="38" ref="C38:BF38">SUM(C26:C37)</f>
        <v>109713.07800000001</v>
      </c>
      <c r="D38" s="226">
        <f t="shared" si="38"/>
        <v>767.2125</v>
      </c>
      <c r="E38" s="226">
        <f t="shared" si="38"/>
        <v>0</v>
      </c>
      <c r="F38" s="226">
        <f t="shared" si="38"/>
        <v>0</v>
      </c>
      <c r="G38" s="226">
        <f t="shared" si="38"/>
        <v>71277.45000000001</v>
      </c>
      <c r="H38" s="226">
        <f t="shared" si="38"/>
        <v>0</v>
      </c>
      <c r="I38" s="226">
        <f t="shared" si="38"/>
        <v>0</v>
      </c>
      <c r="J38" s="226">
        <f t="shared" si="38"/>
        <v>0</v>
      </c>
      <c r="K38" s="226">
        <f t="shared" si="38"/>
        <v>0</v>
      </c>
      <c r="L38" s="226">
        <f t="shared" si="38"/>
        <v>0</v>
      </c>
      <c r="M38" s="226">
        <f t="shared" si="38"/>
        <v>22875.75</v>
      </c>
      <c r="N38" s="226">
        <f t="shared" si="38"/>
        <v>0</v>
      </c>
      <c r="O38" s="226">
        <f t="shared" si="38"/>
        <v>8983.83</v>
      </c>
      <c r="P38" s="226">
        <f t="shared" si="38"/>
        <v>0</v>
      </c>
      <c r="Q38" s="226">
        <f t="shared" si="38"/>
        <v>0</v>
      </c>
      <c r="R38" s="226">
        <f t="shared" si="38"/>
        <v>0</v>
      </c>
      <c r="S38" s="226">
        <f t="shared" si="38"/>
        <v>0</v>
      </c>
      <c r="T38" s="226">
        <f t="shared" si="38"/>
        <v>0</v>
      </c>
      <c r="U38" s="226">
        <f t="shared" si="38"/>
        <v>103137.03000000001</v>
      </c>
      <c r="V38" s="226">
        <f t="shared" si="38"/>
        <v>0</v>
      </c>
      <c r="W38" s="226">
        <f t="shared" si="38"/>
        <v>0</v>
      </c>
      <c r="X38" s="226">
        <f t="shared" si="38"/>
        <v>65408.92</v>
      </c>
      <c r="Y38" s="226">
        <f t="shared" si="38"/>
        <v>0</v>
      </c>
      <c r="Z38" s="226">
        <f t="shared" si="38"/>
        <v>0</v>
      </c>
      <c r="AA38" s="226">
        <f t="shared" si="38"/>
        <v>20170.53</v>
      </c>
      <c r="AB38" s="226">
        <f t="shared" si="38"/>
        <v>7949.97</v>
      </c>
      <c r="AC38" s="226">
        <f t="shared" si="38"/>
        <v>0</v>
      </c>
      <c r="AD38" s="226">
        <f t="shared" si="38"/>
        <v>0</v>
      </c>
      <c r="AE38" s="226">
        <f t="shared" si="38"/>
        <v>0</v>
      </c>
      <c r="AF38" s="226">
        <f t="shared" si="38"/>
        <v>93529.41999999998</v>
      </c>
      <c r="AG38" s="226">
        <f t="shared" si="38"/>
        <v>94296.63249999998</v>
      </c>
      <c r="AH38" s="226">
        <f t="shared" si="38"/>
        <v>0</v>
      </c>
      <c r="AI38" s="226">
        <f t="shared" si="38"/>
        <v>0</v>
      </c>
      <c r="AJ38" s="226">
        <f t="shared" si="38"/>
        <v>0</v>
      </c>
      <c r="AK38" s="226">
        <f t="shared" si="38"/>
        <v>7808.759999999998</v>
      </c>
      <c r="AL38" s="226">
        <f t="shared" si="38"/>
        <v>1561.7519999999997</v>
      </c>
      <c r="AM38" s="226">
        <f t="shared" si="38"/>
        <v>7808.759999999998</v>
      </c>
      <c r="AN38" s="226">
        <f t="shared" si="38"/>
        <v>1639.8395999999998</v>
      </c>
      <c r="AO38" s="226">
        <f t="shared" si="38"/>
        <v>15773.695200000004</v>
      </c>
      <c r="AP38" s="226">
        <f t="shared" si="38"/>
        <v>8043.0228</v>
      </c>
      <c r="AQ38" s="226">
        <f t="shared" si="38"/>
        <v>5856.57</v>
      </c>
      <c r="AR38" s="226">
        <f t="shared" si="38"/>
        <v>5856.57</v>
      </c>
      <c r="AS38" s="226">
        <f t="shared" si="38"/>
        <v>2242.4309999999996</v>
      </c>
      <c r="AT38" s="226">
        <f t="shared" si="38"/>
        <v>0</v>
      </c>
      <c r="AU38" s="226">
        <f t="shared" si="38"/>
        <v>3715</v>
      </c>
      <c r="AV38" s="226">
        <f t="shared" si="38"/>
        <v>0</v>
      </c>
      <c r="AW38" s="226">
        <f t="shared" si="38"/>
        <v>90</v>
      </c>
      <c r="AX38" s="226">
        <f t="shared" si="38"/>
        <v>3147</v>
      </c>
      <c r="AY38" s="226">
        <f t="shared" si="38"/>
        <v>0</v>
      </c>
      <c r="AZ38" s="226">
        <f t="shared" si="38"/>
        <v>0</v>
      </c>
      <c r="BA38" s="226">
        <f t="shared" si="38"/>
        <v>0</v>
      </c>
      <c r="BB38" s="226">
        <f t="shared" si="38"/>
        <v>0</v>
      </c>
      <c r="BC38" s="226">
        <f t="shared" si="38"/>
        <v>63543.400600000015</v>
      </c>
      <c r="BD38" s="226">
        <f t="shared" si="38"/>
        <v>0</v>
      </c>
      <c r="BE38" s="226">
        <f t="shared" si="38"/>
        <v>63543.400600000015</v>
      </c>
      <c r="BF38" s="226">
        <f t="shared" si="38"/>
        <v>30753.2319</v>
      </c>
      <c r="BG38" s="226">
        <f>SUM(BG26:BG37)</f>
        <v>-9607.610000000015</v>
      </c>
    </row>
    <row r="39" spans="1:59" s="20" customFormat="1" ht="13.5" thickBot="1">
      <c r="A39" s="227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9"/>
      <c r="BF39" s="228"/>
      <c r="BG39" s="230"/>
    </row>
    <row r="40" spans="1:59" s="20" customFormat="1" ht="13.5" thickBot="1">
      <c r="A40" s="22" t="s">
        <v>54</v>
      </c>
      <c r="B40" s="228"/>
      <c r="C40" s="231">
        <f aca="true" t="shared" si="39" ref="C40:L40">C38+C24</f>
        <v>350089.96700000006</v>
      </c>
      <c r="D40" s="231">
        <f t="shared" si="39"/>
        <v>17960.57910015002</v>
      </c>
      <c r="E40" s="231">
        <f t="shared" si="39"/>
        <v>13500.329999999998</v>
      </c>
      <c r="F40" s="231">
        <f t="shared" si="39"/>
        <v>2253.88</v>
      </c>
      <c r="G40" s="231">
        <f t="shared" si="39"/>
        <v>130053.62000000001</v>
      </c>
      <c r="H40" s="231">
        <f t="shared" si="39"/>
        <v>0</v>
      </c>
      <c r="I40" s="231">
        <f t="shared" si="39"/>
        <v>18268.97</v>
      </c>
      <c r="J40" s="231">
        <f t="shared" si="39"/>
        <v>3051.63</v>
      </c>
      <c r="K40" s="231">
        <f t="shared" si="39"/>
        <v>30419.14</v>
      </c>
      <c r="L40" s="231">
        <f t="shared" si="39"/>
        <v>5080.26</v>
      </c>
      <c r="M40" s="231" t="e">
        <f>#REF!</f>
        <v>#REF!</v>
      </c>
      <c r="N40" s="231">
        <f aca="true" t="shared" si="40" ref="N40:BE40">N38+N24</f>
        <v>7334.209999999999</v>
      </c>
      <c r="O40" s="231">
        <f t="shared" si="40"/>
        <v>27938.79</v>
      </c>
      <c r="P40" s="231">
        <f t="shared" si="40"/>
        <v>1803.1899999999998</v>
      </c>
      <c r="Q40" s="231">
        <f t="shared" si="40"/>
        <v>0</v>
      </c>
      <c r="R40" s="231">
        <f t="shared" si="40"/>
        <v>0</v>
      </c>
      <c r="S40" s="231">
        <f t="shared" si="40"/>
        <v>0</v>
      </c>
      <c r="T40" s="231">
        <f t="shared" si="40"/>
        <v>0</v>
      </c>
      <c r="U40" s="231">
        <f t="shared" si="40"/>
        <v>308737.59</v>
      </c>
      <c r="V40" s="231">
        <f t="shared" si="40"/>
        <v>19523.170000000002</v>
      </c>
      <c r="W40" s="231">
        <f t="shared" si="40"/>
        <v>13348.66</v>
      </c>
      <c r="X40" s="231">
        <f t="shared" si="40"/>
        <v>114131.59</v>
      </c>
      <c r="Y40" s="231">
        <f t="shared" si="40"/>
        <v>18062.39</v>
      </c>
      <c r="Z40" s="231">
        <f t="shared" si="40"/>
        <v>30076.12</v>
      </c>
      <c r="AA40" s="231">
        <f t="shared" si="40"/>
        <v>82087.18999999999</v>
      </c>
      <c r="AB40" s="231">
        <f t="shared" si="40"/>
        <v>25505.550000000003</v>
      </c>
      <c r="AC40" s="231">
        <f t="shared" si="40"/>
        <v>0</v>
      </c>
      <c r="AD40" s="231">
        <f t="shared" si="40"/>
        <v>0</v>
      </c>
      <c r="AE40" s="231">
        <f t="shared" si="40"/>
        <v>0</v>
      </c>
      <c r="AF40" s="231">
        <f t="shared" si="40"/>
        <v>283211.5</v>
      </c>
      <c r="AG40" s="231">
        <f t="shared" si="40"/>
        <v>320695.24910015</v>
      </c>
      <c r="AH40" s="231">
        <f t="shared" si="40"/>
        <v>0</v>
      </c>
      <c r="AI40" s="231">
        <f t="shared" si="40"/>
        <v>0</v>
      </c>
      <c r="AJ40" s="231">
        <f t="shared" si="40"/>
        <v>0</v>
      </c>
      <c r="AK40" s="231">
        <f t="shared" si="40"/>
        <v>23437.5972</v>
      </c>
      <c r="AL40" s="231">
        <f t="shared" si="40"/>
        <v>6607.084815599999</v>
      </c>
      <c r="AM40" s="231">
        <f t="shared" si="40"/>
        <v>32875.13695701699</v>
      </c>
      <c r="AN40" s="231">
        <f t="shared" si="40"/>
        <v>3281.4431999999997</v>
      </c>
      <c r="AO40" s="231">
        <f t="shared" si="40"/>
        <v>48769.5784746658</v>
      </c>
      <c r="AP40" s="231">
        <f t="shared" si="40"/>
        <v>54585.0532270488</v>
      </c>
      <c r="AQ40" s="231">
        <f t="shared" si="40"/>
        <v>11719.439999999999</v>
      </c>
      <c r="AR40" s="231">
        <f t="shared" si="40"/>
        <v>11719.439999999999</v>
      </c>
      <c r="AS40" s="231">
        <f t="shared" si="40"/>
        <v>4491.4169999999995</v>
      </c>
      <c r="AT40" s="231">
        <f t="shared" si="40"/>
        <v>0</v>
      </c>
      <c r="AU40" s="231">
        <f t="shared" si="40"/>
        <v>37162.2772</v>
      </c>
      <c r="AV40" s="231">
        <f t="shared" si="40"/>
        <v>128</v>
      </c>
      <c r="AW40" s="232">
        <f t="shared" si="40"/>
        <v>11637.109999999999</v>
      </c>
      <c r="AX40" s="232">
        <f t="shared" si="40"/>
        <v>5481.28</v>
      </c>
      <c r="AY40" s="232">
        <f t="shared" si="40"/>
        <v>71129.1888</v>
      </c>
      <c r="AZ40" s="232">
        <f t="shared" si="40"/>
        <v>0</v>
      </c>
      <c r="BA40" s="232">
        <f t="shared" si="40"/>
        <v>5033.88</v>
      </c>
      <c r="BB40" s="232">
        <f t="shared" si="40"/>
        <v>0</v>
      </c>
      <c r="BC40" s="232">
        <f t="shared" si="40"/>
        <v>263515.0100743316</v>
      </c>
      <c r="BD40" s="232">
        <f t="shared" si="40"/>
        <v>0</v>
      </c>
      <c r="BE40" s="232">
        <f t="shared" si="40"/>
        <v>263515.0100743316</v>
      </c>
      <c r="BF40" s="232">
        <f>BF38+BF24</f>
        <v>57180.23902581841</v>
      </c>
      <c r="BG40" s="232">
        <f>BG38+BG24</f>
        <v>-25526.090000000022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10.00390625" style="159" customWidth="1"/>
    <col min="2" max="2" width="10.625" style="159" customWidth="1"/>
    <col min="3" max="3" width="11.875" style="159" customWidth="1"/>
    <col min="4" max="4" width="9.25390625" style="159" customWidth="1"/>
    <col min="5" max="5" width="10.875" style="159" customWidth="1"/>
    <col min="6" max="6" width="11.75390625" style="159" customWidth="1"/>
    <col min="7" max="7" width="11.00390625" style="159" customWidth="1"/>
    <col min="8" max="8" width="11.25390625" style="159" customWidth="1"/>
    <col min="9" max="9" width="10.625" style="159" customWidth="1"/>
    <col min="10" max="10" width="9.25390625" style="159" customWidth="1"/>
    <col min="11" max="11" width="11.25390625" style="159" customWidth="1"/>
    <col min="12" max="12" width="9.625" style="159" customWidth="1"/>
    <col min="13" max="13" width="11.25390625" style="159" customWidth="1"/>
    <col min="14" max="14" width="11.625" style="159" customWidth="1"/>
    <col min="15" max="15" width="13.625" style="159" customWidth="1"/>
    <col min="16" max="16384" width="9.125" style="159" customWidth="1"/>
  </cols>
  <sheetData>
    <row r="1" spans="2:8" ht="20.25" customHeight="1">
      <c r="B1" s="323" t="s">
        <v>55</v>
      </c>
      <c r="C1" s="323"/>
      <c r="D1" s="323"/>
      <c r="E1" s="323"/>
      <c r="F1" s="323"/>
      <c r="G1" s="323"/>
      <c r="H1" s="323"/>
    </row>
    <row r="2" spans="2:11" ht="21" customHeight="1">
      <c r="B2" s="323" t="s">
        <v>56</v>
      </c>
      <c r="C2" s="323"/>
      <c r="D2" s="323"/>
      <c r="E2" s="323"/>
      <c r="F2" s="323"/>
      <c r="G2" s="323"/>
      <c r="H2" s="323"/>
      <c r="J2" s="158"/>
      <c r="K2" s="158"/>
    </row>
    <row r="5" spans="1:12" ht="12.75">
      <c r="A5" s="325" t="s">
        <v>90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2" ht="12.75">
      <c r="A6" s="326" t="s">
        <v>122</v>
      </c>
      <c r="B6" s="326"/>
      <c r="C6" s="326"/>
      <c r="D6" s="326"/>
      <c r="E6" s="326"/>
      <c r="F6" s="326"/>
      <c r="G6" s="326"/>
      <c r="H6" s="96"/>
      <c r="I6" s="96"/>
      <c r="J6" s="96"/>
      <c r="K6" s="96"/>
      <c r="L6" s="96"/>
    </row>
    <row r="7" spans="1:13" ht="13.5" thickBot="1">
      <c r="A7" s="446" t="s">
        <v>57</v>
      </c>
      <c r="B7" s="446"/>
      <c r="C7" s="446"/>
      <c r="D7" s="446"/>
      <c r="E7" s="447">
        <v>14.05</v>
      </c>
      <c r="F7" s="446"/>
      <c r="I7" s="233"/>
      <c r="J7" s="233"/>
      <c r="K7" s="233"/>
      <c r="L7" s="233"/>
      <c r="M7" s="233"/>
    </row>
    <row r="8" spans="1:15" ht="12.75" customHeight="1">
      <c r="A8" s="274" t="s">
        <v>58</v>
      </c>
      <c r="B8" s="350" t="s">
        <v>1</v>
      </c>
      <c r="C8" s="353" t="s">
        <v>119</v>
      </c>
      <c r="D8" s="356" t="s">
        <v>3</v>
      </c>
      <c r="E8" s="338" t="s">
        <v>60</v>
      </c>
      <c r="F8" s="339"/>
      <c r="G8" s="342" t="s">
        <v>61</v>
      </c>
      <c r="H8" s="343"/>
      <c r="I8" s="436" t="s">
        <v>10</v>
      </c>
      <c r="J8" s="437"/>
      <c r="K8" s="437"/>
      <c r="L8" s="437"/>
      <c r="M8" s="438"/>
      <c r="N8" s="442" t="s">
        <v>62</v>
      </c>
      <c r="O8" s="442" t="s">
        <v>12</v>
      </c>
    </row>
    <row r="9" spans="1:15" ht="12.75">
      <c r="A9" s="275"/>
      <c r="B9" s="351"/>
      <c r="C9" s="354"/>
      <c r="D9" s="357"/>
      <c r="E9" s="340"/>
      <c r="F9" s="341"/>
      <c r="G9" s="344"/>
      <c r="H9" s="345"/>
      <c r="I9" s="439"/>
      <c r="J9" s="440"/>
      <c r="K9" s="440"/>
      <c r="L9" s="440"/>
      <c r="M9" s="441"/>
      <c r="N9" s="443"/>
      <c r="O9" s="443"/>
    </row>
    <row r="10" spans="1:15" ht="26.25" customHeight="1">
      <c r="A10" s="275"/>
      <c r="B10" s="351"/>
      <c r="C10" s="354"/>
      <c r="D10" s="357"/>
      <c r="E10" s="330" t="s">
        <v>63</v>
      </c>
      <c r="F10" s="331"/>
      <c r="G10" s="84" t="s">
        <v>64</v>
      </c>
      <c r="H10" s="332" t="s">
        <v>7</v>
      </c>
      <c r="I10" s="334" t="s">
        <v>65</v>
      </c>
      <c r="J10" s="336" t="s">
        <v>116</v>
      </c>
      <c r="K10" s="336" t="s">
        <v>66</v>
      </c>
      <c r="L10" s="336" t="s">
        <v>37</v>
      </c>
      <c r="M10" s="333" t="s">
        <v>39</v>
      </c>
      <c r="N10" s="443"/>
      <c r="O10" s="443"/>
    </row>
    <row r="11" spans="1:15" ht="66.75" customHeight="1" thickBot="1">
      <c r="A11" s="349"/>
      <c r="B11" s="352"/>
      <c r="C11" s="355"/>
      <c r="D11" s="358"/>
      <c r="E11" s="63" t="s">
        <v>68</v>
      </c>
      <c r="F11" s="66" t="s">
        <v>21</v>
      </c>
      <c r="G11" s="81" t="s">
        <v>69</v>
      </c>
      <c r="H11" s="333"/>
      <c r="I11" s="335"/>
      <c r="J11" s="337"/>
      <c r="K11" s="337"/>
      <c r="L11" s="337"/>
      <c r="M11" s="445"/>
      <c r="N11" s="444"/>
      <c r="O11" s="444"/>
    </row>
    <row r="12" spans="1:15" ht="12.75">
      <c r="A12" s="234">
        <v>1</v>
      </c>
      <c r="B12" s="235">
        <v>2</v>
      </c>
      <c r="C12" s="234">
        <v>3</v>
      </c>
      <c r="D12" s="235">
        <v>4</v>
      </c>
      <c r="E12" s="234">
        <v>5</v>
      </c>
      <c r="F12" s="235">
        <v>6</v>
      </c>
      <c r="G12" s="235">
        <v>7</v>
      </c>
      <c r="H12" s="234">
        <v>8</v>
      </c>
      <c r="I12" s="235">
        <v>9</v>
      </c>
      <c r="J12" s="235">
        <v>10</v>
      </c>
      <c r="K12" s="234">
        <v>11</v>
      </c>
      <c r="L12" s="235">
        <v>12</v>
      </c>
      <c r="M12" s="235">
        <v>13</v>
      </c>
      <c r="N12" s="234">
        <v>14</v>
      </c>
      <c r="O12" s="235">
        <v>15</v>
      </c>
    </row>
    <row r="13" spans="1:15" ht="13.5" hidden="1" thickBot="1">
      <c r="A13" s="64" t="s">
        <v>5</v>
      </c>
      <c r="B13" s="236"/>
      <c r="C13" s="236">
        <f>'2012 полн'!C8</f>
        <v>152057.83100000003</v>
      </c>
      <c r="D13" s="236">
        <f>'2012 полн'!D8</f>
        <v>15938.766600150017</v>
      </c>
      <c r="E13" s="236">
        <f>'2012 полн'!U8</f>
        <v>116909.23999999999</v>
      </c>
      <c r="F13" s="236">
        <f>'2012 полн'!V8</f>
        <v>19523.170000000002</v>
      </c>
      <c r="G13" s="236">
        <f>'2012 полн'!AF8</f>
        <v>104425.34</v>
      </c>
      <c r="H13" s="236">
        <f>'2012 полн'!AG8</f>
        <v>139887.27660015004</v>
      </c>
      <c r="I13" s="236">
        <f>'2012 полн'!AK8</f>
        <v>10391.34</v>
      </c>
      <c r="J13" s="236">
        <f>'2012 полн'!AL8</f>
        <v>3481.9008156</v>
      </c>
      <c r="K13" s="236">
        <f>'2012 полн'!AM8+'2012 полн'!AN8+'2012 полн'!AO8+'2012 полн'!AP8+'2012 полн'!AQ8+'2012 полн'!AX8+'2012 полн'!AY8+'2012 полн'!BA16</f>
        <v>84564.9446587316</v>
      </c>
      <c r="L13" s="236">
        <f>'2012 полн'!AU8+'2012 полн'!AV8+'2012 полн'!AW8</f>
        <v>42024.3872</v>
      </c>
      <c r="M13" s="236">
        <f>I13+J13+K13+L13</f>
        <v>140462.5726743316</v>
      </c>
      <c r="N13" s="236">
        <f>H13-M13</f>
        <v>-575.2960741815623</v>
      </c>
      <c r="O13" s="236">
        <f>'2012 полн'!BG8</f>
        <v>-12483.900000000001</v>
      </c>
    </row>
    <row r="14" spans="1:17" ht="13.5" hidden="1" thickBot="1">
      <c r="A14" s="64" t="s">
        <v>115</v>
      </c>
      <c r="B14" s="237"/>
      <c r="C14" s="238"/>
      <c r="D14" s="238"/>
      <c r="E14" s="239"/>
      <c r="F14" s="239"/>
      <c r="G14" s="239"/>
      <c r="H14" s="239"/>
      <c r="I14" s="239"/>
      <c r="J14" s="239"/>
      <c r="K14" s="239"/>
      <c r="L14" s="240"/>
      <c r="M14" s="239"/>
      <c r="N14" s="239"/>
      <c r="O14" s="241"/>
      <c r="P14" s="158"/>
      <c r="Q14" s="158"/>
    </row>
    <row r="15" spans="1:17" ht="12.75" hidden="1">
      <c r="A15" s="242" t="s">
        <v>45</v>
      </c>
      <c r="B15" s="243">
        <f>'2012 полн'!B10</f>
        <v>651.88</v>
      </c>
      <c r="C15" s="243">
        <f>'2012 полн'!C10</f>
        <v>5573.5740000000005</v>
      </c>
      <c r="D15" s="243">
        <f>'2012 полн'!D10</f>
        <v>104.55</v>
      </c>
      <c r="E15" s="244">
        <f>'2012 полн'!U10</f>
        <v>5727.16</v>
      </c>
      <c r="F15" s="244">
        <f>'2012 полн'!V10</f>
        <v>0</v>
      </c>
      <c r="G15" s="245">
        <f>'2012 полн'!AF10</f>
        <v>4293.46</v>
      </c>
      <c r="H15" s="245">
        <f>'2012 полн'!AG10</f>
        <v>4398.01</v>
      </c>
      <c r="I15" s="245">
        <f>'2012 полн'!AK10</f>
        <v>436.75960000000003</v>
      </c>
      <c r="J15" s="245">
        <f>'2012 полн'!AL10</f>
        <v>130.376</v>
      </c>
      <c r="K15" s="244">
        <f>'2012 полн'!AM10+'2012 полн'!AN10+'2012 полн'!AO10+'2012 полн'!AP10+'2012 полн'!AQ10+'2012 полн'!AR10+'2012 полн'!AS10+'2012 полн'!AX10</f>
        <v>4504.4908</v>
      </c>
      <c r="L15" s="246">
        <f>'2012 полн'!AU10+'2012 полн'!AV10+'2012 полн'!AW10</f>
        <v>0</v>
      </c>
      <c r="M15" s="247">
        <f>I15+J15+K15+L15</f>
        <v>5071.626399999999</v>
      </c>
      <c r="N15" s="247">
        <f>H15-M15</f>
        <v>-673.616399999999</v>
      </c>
      <c r="O15" s="247">
        <f>'2012 полн'!BG10</f>
        <v>-1433.6999999999998</v>
      </c>
      <c r="P15" s="158"/>
      <c r="Q15" s="158"/>
    </row>
    <row r="16" spans="1:17" ht="12.75" hidden="1">
      <c r="A16" s="170" t="s">
        <v>46</v>
      </c>
      <c r="B16" s="243">
        <f>'2012 полн'!B11</f>
        <v>651.88</v>
      </c>
      <c r="C16" s="243">
        <f>'2012 полн'!C11</f>
        <v>5573.5740000000005</v>
      </c>
      <c r="D16" s="243">
        <f>'2012 полн'!D11</f>
        <v>104.55</v>
      </c>
      <c r="E16" s="244">
        <f>'2012 полн'!U11</f>
        <v>5727.16</v>
      </c>
      <c r="F16" s="244">
        <f>'2012 полн'!V11</f>
        <v>0</v>
      </c>
      <c r="G16" s="245">
        <f>'2012 полн'!AF11</f>
        <v>5307.65</v>
      </c>
      <c r="H16" s="245">
        <f>'2012 полн'!AG11</f>
        <v>5412.2</v>
      </c>
      <c r="I16" s="245">
        <f>'2012 полн'!AK11</f>
        <v>436.75960000000003</v>
      </c>
      <c r="J16" s="245">
        <f>'2012 полн'!AL11</f>
        <v>130.376</v>
      </c>
      <c r="K16" s="244">
        <f>'2012 полн'!AM11+'2012 полн'!AN11+'2012 полн'!AO11+'2012 полн'!AP11+'2012 полн'!AQ11+'2012 полн'!AR11+'2012 полн'!AS11+'2012 полн'!AX11</f>
        <v>4584.4908</v>
      </c>
      <c r="L16" s="246">
        <f>'2012 полн'!AU11+'2012 полн'!AV11+'2012 полн'!AW11</f>
        <v>0</v>
      </c>
      <c r="M16" s="247">
        <f aca="true" t="shared" si="0" ref="M16:M26">I16+J16+K16+L16</f>
        <v>5151.626399999999</v>
      </c>
      <c r="N16" s="247">
        <f aca="true" t="shared" si="1" ref="N16:N26">H16-M16</f>
        <v>260.5736000000006</v>
      </c>
      <c r="O16" s="247">
        <f>'2012 полн'!BG11</f>
        <v>-419.5100000000002</v>
      </c>
      <c r="P16" s="158"/>
      <c r="Q16" s="158"/>
    </row>
    <row r="17" spans="1:17" ht="12.75" hidden="1">
      <c r="A17" s="170" t="s">
        <v>47</v>
      </c>
      <c r="B17" s="243">
        <f>'2012 полн'!B12</f>
        <v>651.88</v>
      </c>
      <c r="C17" s="243">
        <f>'2012 полн'!C12</f>
        <v>5573.5740000000005</v>
      </c>
      <c r="D17" s="243">
        <f>'2012 полн'!D12</f>
        <v>104.55</v>
      </c>
      <c r="E17" s="244">
        <f>'2012 полн'!U12</f>
        <v>5727.16</v>
      </c>
      <c r="F17" s="244">
        <f>'2012 полн'!V12</f>
        <v>0</v>
      </c>
      <c r="G17" s="245">
        <f>'2012 полн'!AF12</f>
        <v>3867.79</v>
      </c>
      <c r="H17" s="245">
        <f>'2012 полн'!AG12</f>
        <v>3972.34</v>
      </c>
      <c r="I17" s="245">
        <f>'2012 полн'!AK12</f>
        <v>436.75960000000003</v>
      </c>
      <c r="J17" s="245">
        <f>'2012 полн'!AL12</f>
        <v>130.376</v>
      </c>
      <c r="K17" s="244">
        <f>'2012 полн'!AM12+'2012 полн'!AN12+'2012 полн'!AO12+'2012 полн'!AP12+'2012 полн'!AQ12+'2012 полн'!AR12+'2012 полн'!AS12+'2012 полн'!AX12</f>
        <v>4504.4908</v>
      </c>
      <c r="L17" s="246">
        <f>'2012 полн'!AU12+'2012 полн'!AV12+'2012 полн'!AW12</f>
        <v>0</v>
      </c>
      <c r="M17" s="247">
        <f t="shared" si="0"/>
        <v>5071.626399999999</v>
      </c>
      <c r="N17" s="247">
        <f t="shared" si="1"/>
        <v>-1099.286399999999</v>
      </c>
      <c r="O17" s="247">
        <f>'2012 полн'!BG12</f>
        <v>-1859.37</v>
      </c>
      <c r="P17" s="158"/>
      <c r="Q17" s="158"/>
    </row>
    <row r="18" spans="1:17" ht="12.75" hidden="1">
      <c r="A18" s="170" t="s">
        <v>48</v>
      </c>
      <c r="B18" s="243">
        <f>'2012 полн'!B13</f>
        <v>651.88</v>
      </c>
      <c r="C18" s="243">
        <f>'2012 полн'!C13</f>
        <v>5573.5740000000005</v>
      </c>
      <c r="D18" s="243">
        <f>'2012 полн'!D13</f>
        <v>104.55</v>
      </c>
      <c r="E18" s="244">
        <f>'2012 полн'!U13</f>
        <v>5727.16</v>
      </c>
      <c r="F18" s="244">
        <f>'2012 полн'!V13</f>
        <v>0</v>
      </c>
      <c r="G18" s="245">
        <f>'2012 полн'!AF13</f>
        <v>8686.949999999999</v>
      </c>
      <c r="H18" s="245">
        <f>'2012 полн'!AG13</f>
        <v>8791.499999999998</v>
      </c>
      <c r="I18" s="245">
        <f>'2012 полн'!AK13</f>
        <v>436.75960000000003</v>
      </c>
      <c r="J18" s="245">
        <f>'2012 полн'!AL13</f>
        <v>130.376</v>
      </c>
      <c r="K18" s="244">
        <f>'2012 полн'!AM13+'2012 полн'!AN13+'2012 полн'!AO13+'2012 полн'!AP13+'2012 полн'!AQ13+'2012 полн'!AR13+'2012 полн'!AS13+'2012 полн'!AX13</f>
        <v>3799.8288</v>
      </c>
      <c r="L18" s="246">
        <f>'2012 полн'!AU13+'2012 полн'!AV13+'2012 полн'!AW13</f>
        <v>0</v>
      </c>
      <c r="M18" s="247">
        <f t="shared" si="0"/>
        <v>4366.9644</v>
      </c>
      <c r="N18" s="247">
        <f t="shared" si="1"/>
        <v>4424.535599999998</v>
      </c>
      <c r="O18" s="247">
        <f>'2012 полн'!BG13</f>
        <v>2959.789999999999</v>
      </c>
      <c r="P18" s="158"/>
      <c r="Q18" s="158"/>
    </row>
    <row r="19" spans="1:17" ht="12.75" hidden="1">
      <c r="A19" s="170" t="s">
        <v>49</v>
      </c>
      <c r="B19" s="243">
        <f>'2012 полн'!B14</f>
        <v>651.88</v>
      </c>
      <c r="C19" s="243">
        <f>'2012 полн'!C14</f>
        <v>5573.5740000000005</v>
      </c>
      <c r="D19" s="243">
        <f>'2012 полн'!D14</f>
        <v>104.55</v>
      </c>
      <c r="E19" s="244">
        <f>'2012 полн'!U14</f>
        <v>5727.16</v>
      </c>
      <c r="F19" s="244">
        <f>'2012 полн'!V14</f>
        <v>0</v>
      </c>
      <c r="G19" s="245">
        <f>'2012 полн'!AF14</f>
        <v>5187.430000000001</v>
      </c>
      <c r="H19" s="245">
        <f>'2012 полн'!AG14</f>
        <v>5291.980000000001</v>
      </c>
      <c r="I19" s="245">
        <f>'2012 полн'!AK14</f>
        <v>436.75960000000003</v>
      </c>
      <c r="J19" s="245">
        <f>'2012 полн'!AL14</f>
        <v>130.376</v>
      </c>
      <c r="K19" s="244">
        <f>'2012 полн'!AM14+'2012 полн'!AN14+'2012 полн'!AO14+'2012 полн'!AP14+'2012 полн'!AQ14+'2012 полн'!AR14+'2012 полн'!AS14+'2012 полн'!AX14</f>
        <v>3764.8288</v>
      </c>
      <c r="L19" s="246">
        <f>'2012 полн'!AU14+'2012 полн'!AV14+'2012 полн'!AW14</f>
        <v>0</v>
      </c>
      <c r="M19" s="247">
        <f t="shared" si="0"/>
        <v>4331.9644</v>
      </c>
      <c r="N19" s="247">
        <f t="shared" si="1"/>
        <v>960.0156000000015</v>
      </c>
      <c r="O19" s="247">
        <f>'2012 полн'!BG14</f>
        <v>-539.7299999999987</v>
      </c>
      <c r="P19" s="158"/>
      <c r="Q19" s="158"/>
    </row>
    <row r="20" spans="1:17" ht="12.75" hidden="1">
      <c r="A20" s="170" t="s">
        <v>50</v>
      </c>
      <c r="B20" s="243">
        <f>'2012 полн'!B15</f>
        <v>651.88</v>
      </c>
      <c r="C20" s="243">
        <f>'2012 полн'!C15</f>
        <v>5573.5740000000005</v>
      </c>
      <c r="D20" s="243">
        <f>'2012 полн'!D15</f>
        <v>104.55</v>
      </c>
      <c r="E20" s="244">
        <f>'2012 полн'!U15</f>
        <v>5727.16</v>
      </c>
      <c r="F20" s="244">
        <f>'2012 полн'!V15</f>
        <v>0</v>
      </c>
      <c r="G20" s="245">
        <f>'2012 полн'!AF15</f>
        <v>5838.02</v>
      </c>
      <c r="H20" s="245">
        <f>'2012 полн'!AG15</f>
        <v>5942.570000000001</v>
      </c>
      <c r="I20" s="245">
        <f>'2012 полн'!AK15</f>
        <v>436.75960000000003</v>
      </c>
      <c r="J20" s="245">
        <f>'2012 полн'!AL15</f>
        <v>130.376</v>
      </c>
      <c r="K20" s="244">
        <f>'2012 полн'!AM15+'2012 полн'!AN15+'2012 полн'!AO15+'2012 полн'!AP15+'2012 полн'!AQ15+'2012 полн'!AR15+'2012 полн'!AS15+'2012 полн'!AX15</f>
        <v>3754.8288</v>
      </c>
      <c r="L20" s="246">
        <f>'2012 полн'!AU15+'2012 полн'!AV15+'2012 полн'!AW15</f>
        <v>0</v>
      </c>
      <c r="M20" s="247">
        <f t="shared" si="0"/>
        <v>4321.9644</v>
      </c>
      <c r="N20" s="247">
        <f t="shared" si="1"/>
        <v>1620.6056000000008</v>
      </c>
      <c r="O20" s="247">
        <f>'2012 полн'!BG15</f>
        <v>110.86000000000058</v>
      </c>
      <c r="P20" s="158"/>
      <c r="Q20" s="158"/>
    </row>
    <row r="21" spans="1:15" ht="12.75" hidden="1">
      <c r="A21" s="170" t="s">
        <v>51</v>
      </c>
      <c r="B21" s="243">
        <f>'2012 полн'!B16</f>
        <v>650.98</v>
      </c>
      <c r="C21" s="243">
        <f>'2012 полн'!C16</f>
        <v>9146.269</v>
      </c>
      <c r="D21" s="243">
        <f>'2012 полн'!D16</f>
        <v>104.55</v>
      </c>
      <c r="E21" s="244">
        <f>'2012 полн'!U16</f>
        <v>9146.29</v>
      </c>
      <c r="F21" s="244">
        <f>'2012 полн'!V16</f>
        <v>0</v>
      </c>
      <c r="G21" s="245">
        <f>'2012 полн'!AF16</f>
        <v>6165.47</v>
      </c>
      <c r="H21" s="245">
        <f>'2012 полн'!AG16</f>
        <v>6270.02</v>
      </c>
      <c r="I21" s="245">
        <f>'2012 полн'!AK16</f>
        <v>436.1566</v>
      </c>
      <c r="J21" s="245">
        <f>'2012 полн'!AL16</f>
        <v>130.196</v>
      </c>
      <c r="K21" s="244">
        <f>'2012 полн'!AM16+'2012 полн'!AN16+'2012 полн'!AO16+'2012 полн'!AP16+'2012 полн'!AQ16+'2012 полн'!AR16+'2012 полн'!AS16+'2012 полн'!AX16</f>
        <v>4115.9248</v>
      </c>
      <c r="L21" s="246">
        <f>'2012 полн'!AU16+'2012 полн'!AV16+'2012 полн'!AW16</f>
        <v>2970</v>
      </c>
      <c r="M21" s="247">
        <f t="shared" si="0"/>
        <v>7652.2774</v>
      </c>
      <c r="N21" s="247">
        <f t="shared" si="1"/>
        <v>-1382.2573999999995</v>
      </c>
      <c r="O21" s="247">
        <f>'2012 полн'!BG16</f>
        <v>-2980.8200000000006</v>
      </c>
    </row>
    <row r="22" spans="1:15" ht="12.75" hidden="1">
      <c r="A22" s="170" t="s">
        <v>52</v>
      </c>
      <c r="B22" s="243">
        <f>'2012 полн'!B17</f>
        <v>650.98</v>
      </c>
      <c r="C22" s="243">
        <f>'2012 полн'!C17</f>
        <v>9146.269</v>
      </c>
      <c r="D22" s="243">
        <f>'2012 полн'!D17</f>
        <v>104.55</v>
      </c>
      <c r="E22" s="244">
        <f>'2012 полн'!U17</f>
        <v>9146.29</v>
      </c>
      <c r="F22" s="244">
        <f>'2012 полн'!V17</f>
        <v>0</v>
      </c>
      <c r="G22" s="245">
        <f>'2012 полн'!AF17</f>
        <v>10653.89</v>
      </c>
      <c r="H22" s="245">
        <f>'2012 полн'!AG17</f>
        <v>10758.439999999999</v>
      </c>
      <c r="I22" s="245">
        <f>'2012 полн'!AK17</f>
        <v>436.1566</v>
      </c>
      <c r="J22" s="245">
        <f>'2012 полн'!AL17</f>
        <v>130.196</v>
      </c>
      <c r="K22" s="244">
        <f>'2012 полн'!AM17+'2012 полн'!AN17+'2012 полн'!AO17+'2012 полн'!AP17+'2012 полн'!AQ17+'2012 полн'!AR17+'2012 полн'!AS17+'2012 полн'!AX17</f>
        <v>3976.6448</v>
      </c>
      <c r="L22" s="246">
        <f>'2012 полн'!AU17+'2012 полн'!AV17+'2012 полн'!AW17</f>
        <v>0</v>
      </c>
      <c r="M22" s="247">
        <f t="shared" si="0"/>
        <v>4542.9974</v>
      </c>
      <c r="N22" s="247">
        <f t="shared" si="1"/>
        <v>6215.4425999999985</v>
      </c>
      <c r="O22" s="247">
        <f>'2012 полн'!BG17</f>
        <v>1507.5999999999985</v>
      </c>
    </row>
    <row r="23" spans="1:15" ht="12.75" hidden="1">
      <c r="A23" s="170" t="s">
        <v>53</v>
      </c>
      <c r="B23" s="243">
        <f>'2012 полн'!B18</f>
        <v>650.98</v>
      </c>
      <c r="C23" s="243">
        <f>'2012 полн'!C18</f>
        <v>9146.269</v>
      </c>
      <c r="D23" s="243">
        <f>'2012 полн'!D18</f>
        <v>104.55</v>
      </c>
      <c r="E23" s="244">
        <f>'2012 полн'!U18</f>
        <v>9146.300000000001</v>
      </c>
      <c r="F23" s="244">
        <f>'2012 полн'!V18</f>
        <v>0</v>
      </c>
      <c r="G23" s="245">
        <f>'2012 полн'!AF18</f>
        <v>10633.640000000001</v>
      </c>
      <c r="H23" s="245">
        <f>'2012 полн'!AG18</f>
        <v>10738.19</v>
      </c>
      <c r="I23" s="245">
        <f>'2012 полн'!AK18</f>
        <v>436.1566</v>
      </c>
      <c r="J23" s="245">
        <f>'2012 полн'!AL18</f>
        <v>130.196</v>
      </c>
      <c r="K23" s="244">
        <f>'2012 полн'!AM18+'2012 полн'!AN18+'2012 полн'!AO18+'2012 полн'!AP18+'2012 полн'!AQ18+'2012 полн'!AR18+'2012 полн'!AS18+'2012 полн'!AX18</f>
        <v>3749.6448</v>
      </c>
      <c r="L23" s="246">
        <f>'2012 полн'!AU18+'2012 полн'!AV18+'2012 полн'!AW18</f>
        <v>0</v>
      </c>
      <c r="M23" s="247">
        <f t="shared" si="0"/>
        <v>4315.9974</v>
      </c>
      <c r="N23" s="247">
        <f t="shared" si="1"/>
        <v>6422.1926</v>
      </c>
      <c r="O23" s="247">
        <f>'2012 полн'!BG18</f>
        <v>1487.3400000000001</v>
      </c>
    </row>
    <row r="24" spans="1:15" ht="12.75" hidden="1">
      <c r="A24" s="170" t="s">
        <v>41</v>
      </c>
      <c r="B24" s="243">
        <f>'2012 полн'!B19</f>
        <v>650.98</v>
      </c>
      <c r="C24" s="243">
        <f>'2012 полн'!C19</f>
        <v>9146.269</v>
      </c>
      <c r="D24" s="243">
        <f>'2012 полн'!D19</f>
        <v>104.55</v>
      </c>
      <c r="E24" s="244">
        <f>'2012 полн'!U19</f>
        <v>9146.300000000001</v>
      </c>
      <c r="F24" s="244">
        <f>'2012 полн'!V19</f>
        <v>0</v>
      </c>
      <c r="G24" s="245">
        <f>'2012 полн'!AF19</f>
        <v>4621.45</v>
      </c>
      <c r="H24" s="245">
        <f>'2012 полн'!AG19</f>
        <v>4726</v>
      </c>
      <c r="I24" s="245">
        <f>'2012 полн'!AK19</f>
        <v>436.1566</v>
      </c>
      <c r="J24" s="245">
        <f>'2012 полн'!AL19</f>
        <v>130.196</v>
      </c>
      <c r="K24" s="244">
        <f>'2012 полн'!AM19+'2012 полн'!AN19+'2012 полн'!AO19+'2012 полн'!AP19+'2012 полн'!AQ19+'2012 полн'!AR19+'2012 полн'!AS19+'2012 полн'!AX19</f>
        <v>3749.6448</v>
      </c>
      <c r="L24" s="246">
        <f>'2012 полн'!AU19+'2012 полн'!AV19+'2012 полн'!AW19</f>
        <v>0</v>
      </c>
      <c r="M24" s="247">
        <f t="shared" si="0"/>
        <v>4315.9974</v>
      </c>
      <c r="N24" s="247">
        <f t="shared" si="1"/>
        <v>410.0025999999998</v>
      </c>
      <c r="O24" s="247">
        <f>'2012 полн'!BG19</f>
        <v>-4524.850000000001</v>
      </c>
    </row>
    <row r="25" spans="1:15" ht="12.75" hidden="1">
      <c r="A25" s="170" t="s">
        <v>42</v>
      </c>
      <c r="B25" s="243">
        <f>'2012 полн'!B20</f>
        <v>650.98</v>
      </c>
      <c r="C25" s="243">
        <f>'2012 полн'!C20</f>
        <v>9146.269</v>
      </c>
      <c r="D25" s="243">
        <f>'2012 полн'!D20</f>
        <v>104.55</v>
      </c>
      <c r="E25" s="244">
        <f>'2012 полн'!U20</f>
        <v>9146.300000000001</v>
      </c>
      <c r="F25" s="244">
        <f>'2012 полн'!V20</f>
        <v>0</v>
      </c>
      <c r="G25" s="245">
        <f>'2012 полн'!AF20</f>
        <v>7785.81</v>
      </c>
      <c r="H25" s="245">
        <f>'2012 полн'!AG20</f>
        <v>7890.360000000001</v>
      </c>
      <c r="I25" s="245">
        <f>'2012 полн'!AK20</f>
        <v>436.1566</v>
      </c>
      <c r="J25" s="245">
        <f>'2012 полн'!AL20</f>
        <v>130.196</v>
      </c>
      <c r="K25" s="244">
        <f>'2012 полн'!AM20+'2012 полн'!AN20+'2012 полн'!AO20+'2012 полн'!AP20+'2012 полн'!AQ20+'2012 полн'!AR20+'2012 полн'!AS20+'2012 полн'!AX20</f>
        <v>4655.6448</v>
      </c>
      <c r="L25" s="246">
        <f>'2012 полн'!AU20+'2012 полн'!AV20+'2012 полн'!AW20</f>
        <v>0</v>
      </c>
      <c r="M25" s="247">
        <f t="shared" si="0"/>
        <v>5221.9974</v>
      </c>
      <c r="N25" s="247">
        <f t="shared" si="1"/>
        <v>2668.3626000000004</v>
      </c>
      <c r="O25" s="247">
        <f>'2012 полн'!BG20</f>
        <v>-1360.4900000000007</v>
      </c>
    </row>
    <row r="26" spans="1:15" ht="13.5" hidden="1" thickBot="1">
      <c r="A26" s="248" t="s">
        <v>43</v>
      </c>
      <c r="B26" s="243">
        <f>'2012 полн'!B21</f>
        <v>650.98</v>
      </c>
      <c r="C26" s="243">
        <f>'2012 полн'!C21</f>
        <v>9146.269</v>
      </c>
      <c r="D26" s="243">
        <f>'2012 полн'!D21</f>
        <v>104.55</v>
      </c>
      <c r="E26" s="244">
        <f>'2012 полн'!U21</f>
        <v>8596.880000000001</v>
      </c>
      <c r="F26" s="244">
        <f>'2012 полн'!V21</f>
        <v>0</v>
      </c>
      <c r="G26" s="245">
        <f>'2012 полн'!AF21</f>
        <v>12215.179999999998</v>
      </c>
      <c r="H26" s="245">
        <f>'2012 полн'!AG21</f>
        <v>12319.729999999998</v>
      </c>
      <c r="I26" s="245">
        <f>'2012 полн'!AK21</f>
        <v>436.1566</v>
      </c>
      <c r="J26" s="245">
        <f>'2012 полн'!AL21</f>
        <v>130.196</v>
      </c>
      <c r="K26" s="244">
        <f>'2012 полн'!AM21+'2012 полн'!AN21+'2012 полн'!AO21+'2012 полн'!AP21+'2012 полн'!AQ21+'2012 полн'!AR21+'2012 полн'!AS21+'2012 полн'!AX21</f>
        <v>4449.6448</v>
      </c>
      <c r="L26" s="246">
        <f>'2012 полн'!AU21+'2012 полн'!AV21+'2012 полн'!AW21</f>
        <v>128</v>
      </c>
      <c r="M26" s="247">
        <f t="shared" si="0"/>
        <v>5143.9974</v>
      </c>
      <c r="N26" s="247">
        <f t="shared" si="1"/>
        <v>7175.732599999998</v>
      </c>
      <c r="O26" s="247">
        <f>'2012 полн'!BG21</f>
        <v>3618.2999999999975</v>
      </c>
    </row>
    <row r="27" spans="1:15" ht="13.5" hidden="1" thickBot="1">
      <c r="A27" s="249" t="s">
        <v>5</v>
      </c>
      <c r="B27" s="250"/>
      <c r="C27" s="251">
        <f>SUM(C15:C26)</f>
        <v>88319.058</v>
      </c>
      <c r="D27" s="251">
        <f aca="true" t="shared" si="2" ref="D27:O27">SUM(D15:D26)</f>
        <v>1254.5999999999997</v>
      </c>
      <c r="E27" s="251">
        <f t="shared" si="2"/>
        <v>88691.32</v>
      </c>
      <c r="F27" s="251">
        <f t="shared" si="2"/>
        <v>0</v>
      </c>
      <c r="G27" s="251">
        <f t="shared" si="2"/>
        <v>85256.73999999999</v>
      </c>
      <c r="H27" s="251">
        <f t="shared" si="2"/>
        <v>86511.34</v>
      </c>
      <c r="I27" s="251">
        <f t="shared" si="2"/>
        <v>5237.497200000002</v>
      </c>
      <c r="J27" s="251">
        <f t="shared" si="2"/>
        <v>1563.4319999999996</v>
      </c>
      <c r="K27" s="251">
        <f t="shared" si="2"/>
        <v>49610.1076</v>
      </c>
      <c r="L27" s="251">
        <f t="shared" si="2"/>
        <v>3098</v>
      </c>
      <c r="M27" s="251">
        <f t="shared" si="2"/>
        <v>59509.0368</v>
      </c>
      <c r="N27" s="251">
        <f t="shared" si="2"/>
        <v>27002.303200000002</v>
      </c>
      <c r="O27" s="251">
        <f t="shared" si="2"/>
        <v>-3434.5800000000054</v>
      </c>
    </row>
    <row r="28" spans="1:15" ht="13.5" hidden="1" thickBot="1">
      <c r="A28" s="431" t="s">
        <v>70</v>
      </c>
      <c r="B28" s="432"/>
      <c r="C28" s="432"/>
      <c r="D28" s="432"/>
      <c r="E28" s="252"/>
      <c r="F28" s="252"/>
      <c r="G28" s="253"/>
      <c r="H28" s="252"/>
      <c r="I28" s="253"/>
      <c r="J28" s="252"/>
      <c r="K28" s="252"/>
      <c r="L28" s="252"/>
      <c r="M28" s="254"/>
      <c r="N28" s="255"/>
      <c r="O28" s="256"/>
    </row>
    <row r="29" spans="1:17" s="20" customFormat="1" ht="13.5" thickBot="1">
      <c r="A29" s="257" t="s">
        <v>54</v>
      </c>
      <c r="B29" s="258"/>
      <c r="C29" s="259">
        <f>C27+C13</f>
        <v>240376.88900000002</v>
      </c>
      <c r="D29" s="259">
        <f>D27+D13</f>
        <v>17193.366600150017</v>
      </c>
      <c r="E29" s="259">
        <f>E27+E13</f>
        <v>205600.56</v>
      </c>
      <c r="F29" s="259">
        <f>F27+F13</f>
        <v>19523.170000000002</v>
      </c>
      <c r="G29" s="259">
        <f>G27+G13</f>
        <v>189682.08</v>
      </c>
      <c r="H29" s="259">
        <f>H27+H13</f>
        <v>226398.61660015004</v>
      </c>
      <c r="I29" s="259">
        <f>I27+I13</f>
        <v>15628.837200000002</v>
      </c>
      <c r="J29" s="259">
        <f>J27+J13</f>
        <v>5045.3328156</v>
      </c>
      <c r="K29" s="259">
        <f>K27+K13</f>
        <v>134175.05225873162</v>
      </c>
      <c r="L29" s="259">
        <f>L27+L13</f>
        <v>45122.3872</v>
      </c>
      <c r="M29" s="259">
        <f>M27+M13</f>
        <v>199971.6094743316</v>
      </c>
      <c r="N29" s="259">
        <f>N27+N13</f>
        <v>26427.00712581844</v>
      </c>
      <c r="O29" s="259">
        <f>O27+O13</f>
        <v>-15918.480000000007</v>
      </c>
      <c r="P29" s="72"/>
      <c r="Q29" s="71"/>
    </row>
    <row r="30" spans="1:17" ht="13.5" thickBot="1">
      <c r="A30" s="64" t="s">
        <v>120</v>
      </c>
      <c r="B30" s="237"/>
      <c r="C30" s="238"/>
      <c r="D30" s="238"/>
      <c r="E30" s="239"/>
      <c r="F30" s="239"/>
      <c r="G30" s="239"/>
      <c r="H30" s="239"/>
      <c r="I30" s="239"/>
      <c r="J30" s="239"/>
      <c r="K30" s="239"/>
      <c r="L30" s="240"/>
      <c r="M30" s="239"/>
      <c r="N30" s="239"/>
      <c r="O30" s="241"/>
      <c r="P30" s="158"/>
      <c r="Q30" s="158"/>
    </row>
    <row r="31" spans="1:17" ht="12.75">
      <c r="A31" s="242" t="s">
        <v>45</v>
      </c>
      <c r="B31" s="243">
        <f>'2012 полн'!B26</f>
        <v>650.98</v>
      </c>
      <c r="C31" s="243">
        <f>'2012 полн'!C26</f>
        <v>9146.269</v>
      </c>
      <c r="D31" s="243">
        <f>'2012 полн'!D26</f>
        <v>104.55</v>
      </c>
      <c r="E31" s="244">
        <f>'2012 полн'!U26</f>
        <v>8596.890000000001</v>
      </c>
      <c r="F31" s="244">
        <f>'2012 полн'!V26</f>
        <v>0</v>
      </c>
      <c r="G31" s="245">
        <f>'2012 полн'!AF26</f>
        <v>4355.650000000001</v>
      </c>
      <c r="H31" s="245">
        <f>'2012 полн'!AG26</f>
        <v>4460.200000000001</v>
      </c>
      <c r="I31" s="245">
        <f>'2012 полн'!AK26</f>
        <v>650.98</v>
      </c>
      <c r="J31" s="245">
        <f>'2012 полн'!AL26</f>
        <v>130.196</v>
      </c>
      <c r="K31" s="244">
        <f>'2012 полн'!AM26+'2012 полн'!AN26+'2012 полн'!AO26+'2012 полн'!AP26+'2012 полн'!AQ26+'2012 полн'!AR26+'2012 полн'!AS26</f>
        <v>3749.6448</v>
      </c>
      <c r="L31" s="246">
        <f>'2012 полн'!AU26+'2012 полн'!AV26+'2012 полн'!AW26+'2012 полн'!AX26</f>
        <v>0</v>
      </c>
      <c r="M31" s="247">
        <f>I31+J31+K31+L31</f>
        <v>4530.8208</v>
      </c>
      <c r="N31" s="247">
        <f>H31-M31</f>
        <v>-70.62079999999969</v>
      </c>
      <c r="O31" s="247">
        <f>'2012 полн'!BG26</f>
        <v>-4241.240000000001</v>
      </c>
      <c r="P31" s="158"/>
      <c r="Q31" s="158"/>
    </row>
    <row r="32" spans="1:17" ht="12.75">
      <c r="A32" s="170" t="s">
        <v>46</v>
      </c>
      <c r="B32" s="243">
        <f>'2012 полн'!B27</f>
        <v>650.98</v>
      </c>
      <c r="C32" s="243">
        <f>'2012 полн'!C27</f>
        <v>9146.269</v>
      </c>
      <c r="D32" s="243">
        <f>'2012 полн'!D27</f>
        <v>104.55</v>
      </c>
      <c r="E32" s="244">
        <f>'2012 полн'!U27</f>
        <v>8596.890000000001</v>
      </c>
      <c r="F32" s="244">
        <f>'2012 полн'!V27</f>
        <v>0</v>
      </c>
      <c r="G32" s="245">
        <f>'2012 полн'!AF27</f>
        <v>8096.659999999999</v>
      </c>
      <c r="H32" s="245">
        <f>'2012 полн'!AG27</f>
        <v>8201.21</v>
      </c>
      <c r="I32" s="245">
        <f>'2012 полн'!AK27</f>
        <v>650.98</v>
      </c>
      <c r="J32" s="245">
        <f>'2012 полн'!AL27</f>
        <v>130.196</v>
      </c>
      <c r="K32" s="244">
        <f>'2012 полн'!AM27+'2012 полн'!AN27+'2012 полн'!AO27+'2012 полн'!AP27+'2012 полн'!AQ27+'2012 полн'!AR27+'2012 полн'!AS27</f>
        <v>3749.6448</v>
      </c>
      <c r="L32" s="246">
        <f>'2012 полн'!AU27+'2012 полн'!AV27+'2012 полн'!AW27+'2012 полн'!AX27</f>
        <v>0</v>
      </c>
      <c r="M32" s="247">
        <f aca="true" t="shared" si="3" ref="M32:M42">I32+J32+K32+L32</f>
        <v>4530.8208</v>
      </c>
      <c r="N32" s="247">
        <f aca="true" t="shared" si="4" ref="N32:N42">H32-M32</f>
        <v>3670.3891999999987</v>
      </c>
      <c r="O32" s="247">
        <f>'2012 полн'!BG27</f>
        <v>-500.2300000000023</v>
      </c>
      <c r="P32" s="158"/>
      <c r="Q32" s="158"/>
    </row>
    <row r="33" spans="1:17" ht="12.75">
      <c r="A33" s="170" t="s">
        <v>47</v>
      </c>
      <c r="B33" s="243">
        <f>'2012 полн'!B28</f>
        <v>650.98</v>
      </c>
      <c r="C33" s="243">
        <f>'2012 полн'!C28</f>
        <v>9146.269</v>
      </c>
      <c r="D33" s="243">
        <f>'2012 полн'!D28</f>
        <v>104.55</v>
      </c>
      <c r="E33" s="244">
        <f>'2012 полн'!U28</f>
        <v>8596.890000000001</v>
      </c>
      <c r="F33" s="244">
        <f>'2012 полн'!V28</f>
        <v>0</v>
      </c>
      <c r="G33" s="245">
        <f>'2012 полн'!AF28</f>
        <v>14780.24</v>
      </c>
      <c r="H33" s="245">
        <f>'2012 полн'!AG28</f>
        <v>14884.789999999999</v>
      </c>
      <c r="I33" s="245">
        <f>'2012 полн'!AK28</f>
        <v>650.98</v>
      </c>
      <c r="J33" s="245">
        <f>'2012 полн'!AL28</f>
        <v>130.196</v>
      </c>
      <c r="K33" s="244">
        <f>'2012 полн'!AM28+'2012 полн'!AN28+'2012 полн'!AO28+'2012 полн'!AP28+'2012 полн'!AQ28+'2012 полн'!AR28+'2012 полн'!AS28</f>
        <v>3749.6448</v>
      </c>
      <c r="L33" s="246">
        <f>'2012 полн'!AU28+'2012 полн'!AV28+'2012 полн'!AW28+'2012 полн'!AX28</f>
        <v>100</v>
      </c>
      <c r="M33" s="247">
        <f t="shared" si="3"/>
        <v>4630.8208</v>
      </c>
      <c r="N33" s="247">
        <f t="shared" si="4"/>
        <v>10253.9692</v>
      </c>
      <c r="O33" s="247">
        <f>'2012 полн'!BG28</f>
        <v>6183.3499999999985</v>
      </c>
      <c r="P33" s="158"/>
      <c r="Q33" s="158"/>
    </row>
    <row r="34" spans="1:17" ht="12.75">
      <c r="A34" s="170" t="s">
        <v>48</v>
      </c>
      <c r="B34" s="243">
        <f>'2012 полн'!B29</f>
        <v>650.98</v>
      </c>
      <c r="C34" s="243">
        <f>'2012 полн'!C29</f>
        <v>9146.269</v>
      </c>
      <c r="D34" s="243">
        <f>'2012 полн'!D29</f>
        <v>104.55</v>
      </c>
      <c r="E34" s="244">
        <f>'2012 полн'!U29</f>
        <v>8596.890000000001</v>
      </c>
      <c r="F34" s="244">
        <f>'2012 полн'!V29</f>
        <v>0</v>
      </c>
      <c r="G34" s="245">
        <f>'2012 полн'!AF29</f>
        <v>4627.400000000001</v>
      </c>
      <c r="H34" s="245">
        <f>'2012 полн'!AG29</f>
        <v>4731.950000000001</v>
      </c>
      <c r="I34" s="245">
        <f>'2012 полн'!AK29</f>
        <v>650.98</v>
      </c>
      <c r="J34" s="245">
        <f>'2012 полн'!AL29</f>
        <v>130.196</v>
      </c>
      <c r="K34" s="244">
        <f>'2012 полн'!AM29+'2012 полн'!AN29+'2012 полн'!AO29+'2012 полн'!AP29+'2012 полн'!AQ29+'2012 полн'!AR29+'2012 полн'!AS29</f>
        <v>3749.6448</v>
      </c>
      <c r="L34" s="246">
        <f>'2012 полн'!AU29+'2012 полн'!AV29+'2012 полн'!AW29+'2012 полн'!AX29</f>
        <v>0</v>
      </c>
      <c r="M34" s="247">
        <f t="shared" si="3"/>
        <v>4530.8208</v>
      </c>
      <c r="N34" s="247">
        <f t="shared" si="4"/>
        <v>201.1292000000003</v>
      </c>
      <c r="O34" s="247">
        <f>'2012 полн'!BG29</f>
        <v>-3969.4900000000007</v>
      </c>
      <c r="P34" s="158"/>
      <c r="Q34" s="158"/>
    </row>
    <row r="35" spans="1:17" ht="12.75">
      <c r="A35" s="170" t="s">
        <v>49</v>
      </c>
      <c r="B35" s="243">
        <f>'2012 полн'!B30</f>
        <v>650.98</v>
      </c>
      <c r="C35" s="243">
        <f>'2012 полн'!C30</f>
        <v>9146.269</v>
      </c>
      <c r="D35" s="243">
        <f>'2012 полн'!D30</f>
        <v>104.55</v>
      </c>
      <c r="E35" s="244">
        <f>'2012 полн'!U30</f>
        <v>8596.890000000001</v>
      </c>
      <c r="F35" s="244">
        <f>'2012 полн'!V30</f>
        <v>0</v>
      </c>
      <c r="G35" s="245">
        <f>'2012 полн'!AF30</f>
        <v>6295.33</v>
      </c>
      <c r="H35" s="245">
        <f>'2012 полн'!AG30</f>
        <v>6399.88</v>
      </c>
      <c r="I35" s="245">
        <f>'2012 полн'!AK30</f>
        <v>650.98</v>
      </c>
      <c r="J35" s="245">
        <f>'2012 полн'!AL30</f>
        <v>130.196</v>
      </c>
      <c r="K35" s="244">
        <f>'2012 полн'!AM30+'2012 полн'!AN30+'2012 полн'!AO30+'2012 полн'!AP30+'2012 полн'!AQ30+'2012 полн'!AR30+'2012 полн'!AS30</f>
        <v>3749.6448</v>
      </c>
      <c r="L35" s="246">
        <f>'2012 полн'!AU30+'2012 полн'!AV30+'2012 полн'!AW30+'2012 полн'!AX30</f>
        <v>0</v>
      </c>
      <c r="M35" s="247">
        <f t="shared" si="3"/>
        <v>4530.8208</v>
      </c>
      <c r="N35" s="247">
        <f t="shared" si="4"/>
        <v>1869.0591999999997</v>
      </c>
      <c r="O35" s="247">
        <f>'2012 полн'!BG30</f>
        <v>-2301.5600000000013</v>
      </c>
      <c r="P35" s="158"/>
      <c r="Q35" s="158"/>
    </row>
    <row r="36" spans="1:17" ht="12.75">
      <c r="A36" s="170" t="s">
        <v>50</v>
      </c>
      <c r="B36" s="243">
        <f>'2012 полн'!B31</f>
        <v>650.98</v>
      </c>
      <c r="C36" s="243">
        <f>'2012 полн'!C31</f>
        <v>9146.269</v>
      </c>
      <c r="D36" s="243">
        <f>'2012 полн'!D31</f>
        <v>104.55</v>
      </c>
      <c r="E36" s="244">
        <f>'2012 полн'!U31</f>
        <v>8596.890000000001</v>
      </c>
      <c r="F36" s="244">
        <f>'2012 полн'!V31</f>
        <v>0</v>
      </c>
      <c r="G36" s="245">
        <f>'2012 полн'!AF31</f>
        <v>9817.33</v>
      </c>
      <c r="H36" s="245">
        <f>'2012 полн'!AG31</f>
        <v>9921.88</v>
      </c>
      <c r="I36" s="245">
        <f>'2012 полн'!AK31</f>
        <v>650.98</v>
      </c>
      <c r="J36" s="245">
        <f>'2012 полн'!AL31</f>
        <v>130.196</v>
      </c>
      <c r="K36" s="244">
        <f>'2012 полн'!AM31+'2012 полн'!AN31+'2012 полн'!AO31+'2012 полн'!AP31+'2012 полн'!AQ31+'2012 полн'!AR31+'2012 полн'!AS31</f>
        <v>3749.6448</v>
      </c>
      <c r="L36" s="246">
        <f>'2012 полн'!AU31+'2012 полн'!AV31+'2012 полн'!AW31+'2012 полн'!AX31</f>
        <v>0</v>
      </c>
      <c r="M36" s="247">
        <f t="shared" si="3"/>
        <v>4530.8208</v>
      </c>
      <c r="N36" s="247">
        <f t="shared" si="4"/>
        <v>5391.059199999999</v>
      </c>
      <c r="O36" s="247">
        <f>'2012 полн'!BG31</f>
        <v>1220.4399999999987</v>
      </c>
      <c r="P36" s="158"/>
      <c r="Q36" s="158"/>
    </row>
    <row r="37" spans="1:15" ht="12.75">
      <c r="A37" s="170" t="s">
        <v>51</v>
      </c>
      <c r="B37" s="243">
        <f>'2012 полн'!B32</f>
        <v>650.98</v>
      </c>
      <c r="C37" s="243">
        <f>'2012 полн'!C32</f>
        <v>9146.269</v>
      </c>
      <c r="D37" s="243">
        <f>'2012 полн'!D32</f>
        <v>139.9125</v>
      </c>
      <c r="E37" s="244">
        <f>'2012 полн'!U32</f>
        <v>8596.890000000001</v>
      </c>
      <c r="F37" s="244">
        <f>'2012 полн'!V32</f>
        <v>0</v>
      </c>
      <c r="G37" s="245">
        <f>'2012 полн'!AF32</f>
        <v>5048.5599999999995</v>
      </c>
      <c r="H37" s="245">
        <f>'2012 полн'!AG32</f>
        <v>5188.4725</v>
      </c>
      <c r="I37" s="245">
        <f>'2012 полн'!AK32</f>
        <v>650.98</v>
      </c>
      <c r="J37" s="245">
        <f>'2012 полн'!AL32</f>
        <v>130.196</v>
      </c>
      <c r="K37" s="244">
        <f>'2012 полн'!AM32+'2012 полн'!AN32+'2012 полн'!AO32+'2012 полн'!AP32+'2012 полн'!AQ32+'2012 полн'!AR32+'2012 полн'!AS32</f>
        <v>3749.6448</v>
      </c>
      <c r="L37" s="246">
        <f>'2012 полн'!AU32+'2012 полн'!AV32+'2012 полн'!AW32+'2012 полн'!AX32</f>
        <v>0</v>
      </c>
      <c r="M37" s="247">
        <f t="shared" si="3"/>
        <v>4530.8208</v>
      </c>
      <c r="N37" s="247">
        <f t="shared" si="4"/>
        <v>657.6516999999994</v>
      </c>
      <c r="O37" s="247">
        <f>'2012 полн'!BG32</f>
        <v>-3548.3300000000017</v>
      </c>
    </row>
    <row r="38" spans="1:15" ht="12.75">
      <c r="A38" s="170" t="s">
        <v>52</v>
      </c>
      <c r="B38" s="243">
        <f>'2012 полн'!B33</f>
        <v>650.98</v>
      </c>
      <c r="C38" s="243">
        <f>'2012 полн'!C33</f>
        <v>9146.269</v>
      </c>
      <c r="D38" s="243">
        <f>'2012 полн'!D33</f>
        <v>0</v>
      </c>
      <c r="E38" s="244">
        <f>'2012 полн'!U33</f>
        <v>8596.890000000001</v>
      </c>
      <c r="F38" s="244">
        <f>'2012 полн'!V33</f>
        <v>0</v>
      </c>
      <c r="G38" s="245">
        <f>'2012 полн'!AF33</f>
        <v>4902.679999999999</v>
      </c>
      <c r="H38" s="245">
        <f>'2012 полн'!AG33</f>
        <v>4902.679999999999</v>
      </c>
      <c r="I38" s="245">
        <f>'2012 полн'!AK33</f>
        <v>650.98</v>
      </c>
      <c r="J38" s="245">
        <f>'2012 полн'!AL33</f>
        <v>130.196</v>
      </c>
      <c r="K38" s="244">
        <f>'2012 полн'!AM33+'2012 полн'!AN33+'2012 полн'!AO33+'2012 полн'!AP33+'2012 полн'!AQ33+'2012 полн'!AR33+'2012 полн'!AS33</f>
        <v>3749.6448</v>
      </c>
      <c r="L38" s="246">
        <f>'2012 полн'!AU33+'2012 полн'!AV33+'2012 полн'!AW33+'2012 полн'!AX33</f>
        <v>6762</v>
      </c>
      <c r="M38" s="247">
        <f t="shared" si="3"/>
        <v>11292.820800000001</v>
      </c>
      <c r="N38" s="247">
        <f t="shared" si="4"/>
        <v>-6390.140800000002</v>
      </c>
      <c r="O38" s="247">
        <f>'2012 полн'!BG33</f>
        <v>-3694.210000000002</v>
      </c>
    </row>
    <row r="39" spans="1:15" ht="12.75">
      <c r="A39" s="170" t="s">
        <v>53</v>
      </c>
      <c r="B39" s="243">
        <f>'2012 полн'!B34</f>
        <v>650.98</v>
      </c>
      <c r="C39" s="243">
        <f>'2012 полн'!C34</f>
        <v>9146.269</v>
      </c>
      <c r="D39" s="243">
        <f>'2012 полн'!D34</f>
        <v>0</v>
      </c>
      <c r="E39" s="244">
        <f>'2012 полн'!U34</f>
        <v>8596.890000000001</v>
      </c>
      <c r="F39" s="244">
        <f>'2012 полн'!V34</f>
        <v>0</v>
      </c>
      <c r="G39" s="245">
        <f>'2012 полн'!AF34</f>
        <v>16225.39</v>
      </c>
      <c r="H39" s="245">
        <f>'2012 полн'!AG34</f>
        <v>16225.39</v>
      </c>
      <c r="I39" s="245">
        <f>'2012 полн'!AK34</f>
        <v>650.98</v>
      </c>
      <c r="J39" s="245">
        <f>'2012 полн'!AL34</f>
        <v>130.196</v>
      </c>
      <c r="K39" s="244">
        <f>'2012 полн'!AM34+'2012 полн'!AN34+'2012 полн'!AO34+'2012 полн'!AP34+'2012 полн'!AQ34+'2012 полн'!AR34+'2012 полн'!AS34</f>
        <v>3749.6448</v>
      </c>
      <c r="L39" s="246">
        <f>'2012 полн'!AU34+'2012 полн'!AV34+'2012 полн'!AW34+'2012 полн'!AX34</f>
        <v>90</v>
      </c>
      <c r="M39" s="247">
        <f t="shared" si="3"/>
        <v>4620.8208</v>
      </c>
      <c r="N39" s="247">
        <f t="shared" si="4"/>
        <v>11604.569199999998</v>
      </c>
      <c r="O39" s="247">
        <f>'2012 полн'!BG34</f>
        <v>7628.499999999998</v>
      </c>
    </row>
    <row r="40" spans="1:15" ht="12.75">
      <c r="A40" s="170" t="s">
        <v>41</v>
      </c>
      <c r="B40" s="243">
        <f>'2012 полн'!B35</f>
        <v>650.98</v>
      </c>
      <c r="C40" s="243">
        <f>'2012 полн'!C35</f>
        <v>9146.269</v>
      </c>
      <c r="D40" s="243">
        <f>'2012 полн'!D35</f>
        <v>0</v>
      </c>
      <c r="E40" s="244">
        <f>'2012 полн'!U35</f>
        <v>8596.890000000001</v>
      </c>
      <c r="F40" s="244">
        <f>'2012 полн'!V35</f>
        <v>0</v>
      </c>
      <c r="G40" s="245">
        <f>'2012 полн'!AF35</f>
        <v>3407.7599999999998</v>
      </c>
      <c r="H40" s="245">
        <f>'2012 полн'!AG35</f>
        <v>3407.7599999999998</v>
      </c>
      <c r="I40" s="245">
        <f>'2012 полн'!AK35</f>
        <v>650.98</v>
      </c>
      <c r="J40" s="245">
        <f>'2012 полн'!AL35</f>
        <v>130.196</v>
      </c>
      <c r="K40" s="244">
        <f>'2012 полн'!AM35+'2012 полн'!AN35+'2012 полн'!AO35+'2012 полн'!AP35+'2012 полн'!AQ35+'2012 полн'!AR35+'2012 полн'!AS35</f>
        <v>4498.2718</v>
      </c>
      <c r="L40" s="246">
        <f>'2012 полн'!AU35+'2012 полн'!AV35+'2012 полн'!AW35+'2012 полн'!AX35</f>
        <v>0</v>
      </c>
      <c r="M40" s="247">
        <f t="shared" si="3"/>
        <v>5279.447800000001</v>
      </c>
      <c r="N40" s="247">
        <f t="shared" si="4"/>
        <v>-1871.687800000001</v>
      </c>
      <c r="O40" s="247">
        <f>'2012 полн'!BG35</f>
        <v>-5189.130000000001</v>
      </c>
    </row>
    <row r="41" spans="1:15" ht="12.75">
      <c r="A41" s="170" t="s">
        <v>42</v>
      </c>
      <c r="B41" s="243">
        <f>'2012 полн'!B36</f>
        <v>650.98</v>
      </c>
      <c r="C41" s="243">
        <f>'2012 полн'!C36</f>
        <v>9146.269</v>
      </c>
      <c r="D41" s="243">
        <f>'2012 полн'!D36</f>
        <v>0</v>
      </c>
      <c r="E41" s="244">
        <f>'2012 полн'!U36</f>
        <v>8596.890000000001</v>
      </c>
      <c r="F41" s="244">
        <f>'2012 полн'!V36</f>
        <v>0</v>
      </c>
      <c r="G41" s="245">
        <f>'2012 полн'!AF36</f>
        <v>7826.84</v>
      </c>
      <c r="H41" s="245">
        <f>'2012 полн'!AG36</f>
        <v>7826.84</v>
      </c>
      <c r="I41" s="245">
        <f>'2012 полн'!AK36</f>
        <v>650.98</v>
      </c>
      <c r="J41" s="245">
        <f>'2012 полн'!AL36</f>
        <v>130.196</v>
      </c>
      <c r="K41" s="244">
        <f>'2012 полн'!AM36+'2012 полн'!AN36+'2012 полн'!AO36+'2012 полн'!AP36+'2012 полн'!AQ36+'2012 полн'!AR36+'2012 полн'!AS36</f>
        <v>4498.2718</v>
      </c>
      <c r="L41" s="246">
        <f>'2012 полн'!AU36+'2012 полн'!AV36+'2012 полн'!AW36+'2012 полн'!AX36</f>
        <v>0</v>
      </c>
      <c r="M41" s="247">
        <f t="shared" si="3"/>
        <v>5279.447800000001</v>
      </c>
      <c r="N41" s="247">
        <f t="shared" si="4"/>
        <v>2547.3921999999993</v>
      </c>
      <c r="O41" s="247">
        <f>'2012 полн'!BG36</f>
        <v>-770.0500000000011</v>
      </c>
    </row>
    <row r="42" spans="1:15" ht="13.5" thickBot="1">
      <c r="A42" s="248" t="s">
        <v>43</v>
      </c>
      <c r="B42" s="243">
        <f>'2012 полн'!B37</f>
        <v>647.98</v>
      </c>
      <c r="C42" s="243">
        <f>'2012 полн'!C37</f>
        <v>9104.119</v>
      </c>
      <c r="D42" s="243">
        <f>'2012 полн'!D37</f>
        <v>0</v>
      </c>
      <c r="E42" s="244">
        <f>'2012 полн'!U37</f>
        <v>8571.24</v>
      </c>
      <c r="F42" s="244">
        <f>'2012 полн'!V37</f>
        <v>0</v>
      </c>
      <c r="G42" s="245">
        <f>'2012 полн'!AF37</f>
        <v>8145.58</v>
      </c>
      <c r="H42" s="245">
        <f>'2012 полн'!AG37</f>
        <v>8145.58</v>
      </c>
      <c r="I42" s="245">
        <f>'2012 полн'!AK37</f>
        <v>647.98</v>
      </c>
      <c r="J42" s="245">
        <f>'2012 полн'!AL37</f>
        <v>129.596</v>
      </c>
      <c r="K42" s="244">
        <f>'2012 полн'!AM37+'2012 полн'!AN37+'2012 полн'!AO37+'2012 полн'!AP37+'2012 полн'!AQ37+'2012 полн'!AR37+'2012 полн'!AS37</f>
        <v>4477.5418</v>
      </c>
      <c r="L42" s="246">
        <f>'2012 полн'!AU37+'2012 полн'!AV37+'2012 полн'!AW37+'2012 полн'!AX37</f>
        <v>0</v>
      </c>
      <c r="M42" s="247">
        <f t="shared" si="3"/>
        <v>5255.1178</v>
      </c>
      <c r="N42" s="247">
        <f t="shared" si="4"/>
        <v>2890.4622</v>
      </c>
      <c r="O42" s="247">
        <f>'2012 полн'!BG37</f>
        <v>-425.65999999999985</v>
      </c>
    </row>
    <row r="43" spans="1:15" ht="13.5" thickBot="1">
      <c r="A43" s="249" t="s">
        <v>5</v>
      </c>
      <c r="B43" s="250"/>
      <c r="C43" s="251">
        <f>SUM(C31:C42)</f>
        <v>109713.07800000001</v>
      </c>
      <c r="D43" s="251">
        <f aca="true" t="shared" si="5" ref="D43:O43">SUM(D31:D42)</f>
        <v>767.2125</v>
      </c>
      <c r="E43" s="251">
        <f t="shared" si="5"/>
        <v>103137.03000000001</v>
      </c>
      <c r="F43" s="251">
        <f t="shared" si="5"/>
        <v>0</v>
      </c>
      <c r="G43" s="251">
        <f t="shared" si="5"/>
        <v>93529.41999999998</v>
      </c>
      <c r="H43" s="251">
        <f t="shared" si="5"/>
        <v>94296.63249999998</v>
      </c>
      <c r="I43" s="251">
        <f t="shared" si="5"/>
        <v>7808.759999999998</v>
      </c>
      <c r="J43" s="251">
        <f t="shared" si="5"/>
        <v>1561.7519999999997</v>
      </c>
      <c r="K43" s="251">
        <f t="shared" si="5"/>
        <v>47220.88860000001</v>
      </c>
      <c r="L43" s="251">
        <f t="shared" si="5"/>
        <v>6952</v>
      </c>
      <c r="M43" s="251">
        <f t="shared" si="5"/>
        <v>63543.400600000015</v>
      </c>
      <c r="N43" s="251">
        <f t="shared" si="5"/>
        <v>30753.23189999999</v>
      </c>
      <c r="O43" s="251">
        <f t="shared" si="5"/>
        <v>-9607.610000000015</v>
      </c>
    </row>
    <row r="44" spans="1:15" ht="13.5" thickBot="1">
      <c r="A44" s="431" t="s">
        <v>70</v>
      </c>
      <c r="B44" s="432"/>
      <c r="C44" s="432"/>
      <c r="D44" s="432"/>
      <c r="E44" s="252"/>
      <c r="F44" s="252"/>
      <c r="G44" s="253"/>
      <c r="H44" s="252"/>
      <c r="I44" s="253"/>
      <c r="J44" s="252"/>
      <c r="K44" s="252"/>
      <c r="L44" s="252"/>
      <c r="M44" s="254"/>
      <c r="N44" s="255"/>
      <c r="O44" s="256"/>
    </row>
    <row r="45" spans="1:17" s="20" customFormat="1" ht="13.5" thickBot="1">
      <c r="A45" s="257" t="s">
        <v>54</v>
      </c>
      <c r="B45" s="258"/>
      <c r="C45" s="259">
        <f>C43+C29</f>
        <v>350089.96700000006</v>
      </c>
      <c r="D45" s="259">
        <f>D43+D29</f>
        <v>17960.57910015002</v>
      </c>
      <c r="E45" s="259">
        <f>E43+E29</f>
        <v>308737.59</v>
      </c>
      <c r="F45" s="259">
        <f>F43+F29</f>
        <v>19523.170000000002</v>
      </c>
      <c r="G45" s="259">
        <f>G43+G29</f>
        <v>283211.5</v>
      </c>
      <c r="H45" s="259">
        <f>H43+H29</f>
        <v>320695.24910015</v>
      </c>
      <c r="I45" s="259">
        <f>I43+I29</f>
        <v>23437.5972</v>
      </c>
      <c r="J45" s="259">
        <f>J43+J29</f>
        <v>6607.084815599999</v>
      </c>
      <c r="K45" s="259">
        <f>K43+K29</f>
        <v>181395.94085873163</v>
      </c>
      <c r="L45" s="259">
        <f>L43+L29</f>
        <v>52074.3872</v>
      </c>
      <c r="M45" s="259">
        <f>M43+M29</f>
        <v>263515.0100743316</v>
      </c>
      <c r="N45" s="259">
        <f>N43+N29</f>
        <v>57180.23902581843</v>
      </c>
      <c r="O45" s="259">
        <f>O43+O29</f>
        <v>-25526.090000000022</v>
      </c>
      <c r="P45" s="72"/>
      <c r="Q45" s="71"/>
    </row>
    <row r="47" spans="1:16" ht="12.75">
      <c r="A47" s="20" t="s">
        <v>88</v>
      </c>
      <c r="D47" s="83" t="s">
        <v>121</v>
      </c>
      <c r="O47" s="158"/>
      <c r="P47" s="158"/>
    </row>
    <row r="48" spans="1:16" ht="12.75">
      <c r="A48" s="167" t="s">
        <v>71</v>
      </c>
      <c r="B48" s="167" t="s">
        <v>72</v>
      </c>
      <c r="C48" s="433" t="s">
        <v>73</v>
      </c>
      <c r="D48" s="433"/>
      <c r="O48" s="158"/>
      <c r="P48" s="158"/>
    </row>
    <row r="49" spans="1:16" ht="12.75">
      <c r="A49" s="124">
        <v>62730.85</v>
      </c>
      <c r="B49" s="124">
        <v>71489.55</v>
      </c>
      <c r="C49" s="434">
        <f>A49-B49</f>
        <v>-8758.700000000004</v>
      </c>
      <c r="D49" s="435"/>
      <c r="O49" s="158"/>
      <c r="P49" s="158"/>
    </row>
    <row r="50" spans="1:16" ht="12.75">
      <c r="A50" s="46"/>
      <c r="O50" s="158"/>
      <c r="P50" s="158"/>
    </row>
    <row r="51" spans="1:16" ht="12.75">
      <c r="A51" s="159" t="s">
        <v>76</v>
      </c>
      <c r="G51" s="159" t="s">
        <v>77</v>
      </c>
      <c r="O51" s="158"/>
      <c r="P51" s="158"/>
    </row>
    <row r="52" ht="12.75">
      <c r="A52" s="158"/>
    </row>
    <row r="53" ht="12.75">
      <c r="A53" s="83" t="s">
        <v>117</v>
      </c>
    </row>
    <row r="54" ht="12.75">
      <c r="A54" s="159" t="s">
        <v>78</v>
      </c>
    </row>
  </sheetData>
  <sheetProtection/>
  <mergeCells count="26">
    <mergeCell ref="A44:D44"/>
    <mergeCell ref="B1:H1"/>
    <mergeCell ref="B2:H2"/>
    <mergeCell ref="A5:L5"/>
    <mergeCell ref="A6:G6"/>
    <mergeCell ref="A7:D7"/>
    <mergeCell ref="E7:F7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A28:D28"/>
    <mergeCell ref="C48:D48"/>
    <mergeCell ref="C49:D49"/>
    <mergeCell ref="I8:M9"/>
    <mergeCell ref="N8:N11"/>
    <mergeCell ref="O8:O11"/>
    <mergeCell ref="E10:F10"/>
    <mergeCell ref="H10:H11"/>
    <mergeCell ref="I10:I11"/>
    <mergeCell ref="J10:J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2010-08-17T07:53:17Z</cp:lastPrinted>
  <dcterms:created xsi:type="dcterms:W3CDTF">2010-04-02T05:03:24Z</dcterms:created>
  <dcterms:modified xsi:type="dcterms:W3CDTF">2013-05-18T15:56:38Z</dcterms:modified>
  <cp:category/>
  <cp:version/>
  <cp:contentType/>
  <cp:contentStatus/>
</cp:coreProperties>
</file>