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<sst xmlns="http://schemas.openxmlformats.org/spreadsheetml/2006/main" count="337" uniqueCount="122">
  <si>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</si>
  <si>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</si>
  <si>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</si>
  <si>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</si>
  <si>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</si>
  <si>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</si>
  <si>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</si>
  <si>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</si>
  <si>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</si>
  <si>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</si>
  <si>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</si>
  <si>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</si>
  <si>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</si>
  <si>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</si>
  <si>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</si>
  <si>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</si>
  <si>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</si>
  <si>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</si>
  <si>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</si>
  <si>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</si>
  <si>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</si>
  <si>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</si>
  <si>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</si>
  <si>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</si>
  <si>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</si>
  <si>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</si>
  <si>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</si>
  <si>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</si>
  <si>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</si>
  <si>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</si>
  <si>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</si>
  <si>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</si>
  <si>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</si>
  <si>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</si>
  <si>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</si>
  <si>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</si>
  <si>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</si>
  <si>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</si>
  <si>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</si>
  <si>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</si>
  <si>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</si>
  <si>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</si>
  <si>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</si>
  <si>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</si>
  <si>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</si>
  <si>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</si>
  <si>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</si>
  <si>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</si>
  <si>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</si>
  <si>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</si>
  <si>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</si>
  <si>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</si>
  <si>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</si>
  <si>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</si>
  <si>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</si>
  <si>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</si>
  <si>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</si>
  <si>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</si>
  <si>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</si>
  <si>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</si>
  <si>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</si>
  <si>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</si>
  <si>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</si>
  <si>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</si>
  <si>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</si>
  <si>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</si>
  <si>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</si>
  <si>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</si>
  <si>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</si>
  <si>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</si>
  <si>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</si>
  <si>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</si>
  <si>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</si>
  <si>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</si>
  <si>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</si>
  <si>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</si>
  <si>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</si>
  <si>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</si>
  <si>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</si>
  <si>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</si>
  <si>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</si>
  <si>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</si>
  <si>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</si>
  <si>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</si>
  <si>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2010 год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</si>
  <si>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</si>
  <si>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</si>
  <si>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</si>
  <si>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</si>
  <si>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</si>
  <si>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</si>
  <si>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</si>
  <si>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</si>
  <si>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</si>
  <si>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</si>
  <si>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</si>
  <si>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</si>
  <si>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</si>
  <si>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</si>
  <si>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</si>
  <si>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</si>
  <si>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</si>
  <si>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</si>
  <si>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</si>
  <si>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</si>
  <si>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</si>
  <si>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</si>
  <si>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</si>
  <si>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Услуга начисления</t>
  </si>
  <si>
    <t>Директор ООО "Таштагольская управляющая компания"</t>
  </si>
  <si>
    <t>_______________________________/ С.С. Малыгин</t>
  </si>
  <si>
    <t>тел. 3-48-80</t>
  </si>
  <si>
    <t>Исп. В.В. Колмогорова</t>
  </si>
  <si>
    <t>на 01.01.2011 г.</t>
  </si>
  <si>
    <t>Выписка по лицевому счету по адресу г. Таштагол ул. Советская, д.34</t>
  </si>
  <si>
    <t>Капитальный ремонт</t>
  </si>
  <si>
    <t>Лицевой счет по адресу г. Таштагол, ул. Советская, д.34</t>
  </si>
  <si>
    <t>Выписка по лицевому счету по адресу г. Таштагол ул. Советская, д. 34</t>
  </si>
  <si>
    <t>2012 год</t>
  </si>
  <si>
    <t>*по состоянию на 01.05.2013 г.</t>
  </si>
  <si>
    <t>на 01.01.2013 г.</t>
  </si>
  <si>
    <t>Тариф по содержанию и тек.ремонту 100 % (9,51руб.*площадь)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</si>
</sst>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9"/>
      <color indexed="8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2" fillId="0" borderId="17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27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29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0" fontId="1" fillId="0" borderId="30" xfId="0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34" borderId="18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2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0" fillId="33" borderId="3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0" fillId="35" borderId="35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35" borderId="35" xfId="0" applyFont="1" applyFill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2" fontId="8" fillId="34" borderId="13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2" fontId="0" fillId="0" borderId="17" xfId="0" applyNumberFormat="1" applyBorder="1" applyAlignment="1">
      <alignment horizontal="center"/>
    </xf>
    <xf numFmtId="4" fontId="1" fillId="0" borderId="45" xfId="0" applyNumberFormat="1" applyFont="1" applyFill="1" applyBorder="1" applyAlignment="1">
      <alignment horizontal="right" wrapText="1"/>
    </xf>
    <xf numFmtId="4" fontId="0" fillId="0" borderId="46" xfId="0" applyNumberFormat="1" applyFont="1" applyFill="1" applyBorder="1" applyAlignment="1">
      <alignment/>
    </xf>
    <xf numFmtId="2" fontId="11" fillId="0" borderId="37" xfId="34" applyNumberFormat="1" applyFont="1" applyFill="1" applyBorder="1" applyAlignment="1">
      <alignment horizontal="center" vertical="center" wrapText="1"/>
      <protection/>
    </xf>
    <xf numFmtId="2" fontId="0" fillId="0" borderId="1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" fontId="2" fillId="0" borderId="15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4" fontId="0" fillId="34" borderId="35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33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4" fontId="1" fillId="0" borderId="47" xfId="0" applyNumberFormat="1" applyFont="1" applyFill="1" applyBorder="1" applyAlignment="1">
      <alignment horizontal="right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164" fontId="0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1" fillId="33" borderId="47" xfId="0" applyNumberFormat="1" applyFont="1" applyFill="1" applyBorder="1" applyAlignment="1">
      <alignment horizontal="right"/>
    </xf>
    <xf numFmtId="4" fontId="1" fillId="34" borderId="47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0" fillId="35" borderId="29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18" xfId="0" applyNumberFormat="1" applyFont="1" applyFill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2" fillId="38" borderId="11" xfId="34" applyNumberFormat="1" applyFont="1" applyFill="1" applyBorder="1" applyAlignment="1">
      <alignment horizontal="center" vertical="center" wrapText="1"/>
      <protection/>
    </xf>
    <xf numFmtId="4" fontId="0" fillId="38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0" borderId="37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35" borderId="35" xfId="0" applyFont="1" applyFill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2" fillId="0" borderId="49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6" fillId="0" borderId="18" xfId="0" applyNumberFormat="1" applyFont="1" applyFill="1" applyBorder="1" applyAlignment="1">
      <alignment/>
    </xf>
    <xf numFmtId="4" fontId="0" fillId="39" borderId="18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2" fillId="34" borderId="38" xfId="0" applyNumberFormat="1" applyFont="1" applyFill="1" applyBorder="1" applyAlignment="1">
      <alignment horizontal="right" wrapText="1"/>
    </xf>
    <xf numFmtId="4" fontId="8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8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47" xfId="0" applyFont="1" applyFill="1" applyBorder="1" applyAlignment="1">
      <alignment horizontal="center" textRotation="90"/>
    </xf>
    <xf numFmtId="0" fontId="1" fillId="33" borderId="50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2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28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5" fillId="34" borderId="32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36" borderId="31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6" borderId="32" xfId="0" applyNumberFormat="1" applyFont="1" applyFill="1" applyBorder="1" applyAlignment="1">
      <alignment horizontal="center" vertical="center" wrapText="1"/>
    </xf>
    <xf numFmtId="2" fontId="1" fillId="36" borderId="28" xfId="0" applyNumberFormat="1" applyFont="1" applyFill="1" applyBorder="1" applyAlignment="1">
      <alignment horizontal="center" vertical="center" wrapText="1"/>
    </xf>
    <xf numFmtId="2" fontId="1" fillId="33" borderId="56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43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39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34" borderId="32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 textRotation="90"/>
    </xf>
    <xf numFmtId="0" fontId="1" fillId="35" borderId="28" xfId="0" applyFont="1" applyFill="1" applyBorder="1" applyAlignment="1">
      <alignment horizontal="center" textRotation="90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textRotation="90"/>
    </xf>
    <xf numFmtId="0" fontId="1" fillId="0" borderId="28" xfId="0" applyFont="1" applyFill="1" applyBorder="1" applyAlignment="1">
      <alignment horizontal="center" textRotation="90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37" borderId="32" xfId="0" applyNumberFormat="1" applyFont="1" applyFill="1" applyBorder="1" applyAlignment="1">
      <alignment horizontal="center" vertical="center" wrapText="1"/>
    </xf>
    <xf numFmtId="2" fontId="1" fillId="37" borderId="28" xfId="0" applyNumberFormat="1" applyFont="1" applyFill="1" applyBorder="1" applyAlignment="1">
      <alignment horizontal="center" vertical="center" wrapText="1"/>
    </xf>
    <xf numFmtId="0" fontId="1" fillId="40" borderId="59" xfId="0" applyFont="1" applyFill="1" applyBorder="1" applyAlignment="1">
      <alignment horizontal="center" vertical="center" wrapText="1"/>
    </xf>
    <xf numFmtId="0" fontId="1" fillId="40" borderId="66" xfId="0" applyFont="1" applyFill="1" applyBorder="1" applyAlignment="1">
      <alignment horizontal="center" vertical="center" wrapText="1"/>
    </xf>
    <xf numFmtId="0" fontId="1" fillId="40" borderId="67" xfId="0" applyFont="1" applyFill="1" applyBorder="1" applyAlignment="1">
      <alignment horizontal="center" vertical="center" wrapText="1"/>
    </xf>
    <xf numFmtId="0" fontId="1" fillId="40" borderId="32" xfId="0" applyFont="1" applyFill="1" applyBorder="1" applyAlignment="1">
      <alignment horizontal="center" vertical="center" wrapText="1"/>
    </xf>
    <xf numFmtId="0" fontId="1" fillId="40" borderId="46" xfId="0" applyFont="1" applyFill="1" applyBorder="1" applyAlignment="1">
      <alignment horizontal="center" vertical="center" wrapText="1"/>
    </xf>
    <xf numFmtId="0" fontId="1" fillId="40" borderId="28" xfId="0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164" fontId="2" fillId="33" borderId="11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43" fontId="0" fillId="37" borderId="11" xfId="0" applyNumberFormat="1" applyFont="1" applyFill="1" applyBorder="1" applyAlignment="1">
      <alignment/>
    </xf>
    <xf numFmtId="43" fontId="0" fillId="37" borderId="11" xfId="0" applyNumberFormat="1" applyFont="1" applyFill="1" applyBorder="1" applyAlignment="1">
      <alignment horizontal="center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4" fontId="0" fillId="41" borderId="15" xfId="0" applyNumberFormat="1" applyFont="1" applyFill="1" applyBorder="1" applyAlignment="1">
      <alignment horizontal="center" wrapText="1"/>
    </xf>
    <xf numFmtId="4" fontId="0" fillId="42" borderId="15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9;&#1074;&#1072;&#1083;&#1100;&#1085;&#1072;&#1103;,%208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7;&#1086;&#1074;&#1077;&#1090;&#1089;&#1082;&#1072;&#1103;,%2034%20&#1089;%202010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  <sheetName val="сентябрь"/>
      <sheetName val="сентябрь Шалым"/>
      <sheetName val="октябрь Шалым "/>
      <sheetName val="собств. нужды ООО &quot;Форум&quot;"/>
      <sheetName val="ноябрь Шалым "/>
    </sheetNames>
    <sheetDataSet>
      <sheetData sheetId="0">
        <row r="100">
          <cell r="F100">
            <v>116.39999999999999</v>
          </cell>
        </row>
      </sheetData>
      <sheetData sheetId="1">
        <row r="125">
          <cell r="F125">
            <v>33.839999999999996</v>
          </cell>
        </row>
      </sheetData>
      <sheetData sheetId="2">
        <row r="102">
          <cell r="F102">
            <v>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B9">
            <v>3550.2</v>
          </cell>
          <cell r="D9">
            <v>7397.239322400001</v>
          </cell>
          <cell r="S9">
            <v>19016.100000000002</v>
          </cell>
          <cell r="T9">
            <v>4642.63</v>
          </cell>
          <cell r="AB9">
            <v>682</v>
          </cell>
          <cell r="AC9">
            <v>12721.869322400002</v>
          </cell>
          <cell r="AG9">
            <v>2130.12</v>
          </cell>
          <cell r="AH9">
            <v>751.4069304</v>
          </cell>
          <cell r="AI9">
            <v>3024.0503599999997</v>
          </cell>
          <cell r="AJ9">
            <v>544.3290648</v>
          </cell>
          <cell r="AK9">
            <v>3519.0434448</v>
          </cell>
          <cell r="AL9">
            <v>633.427820064</v>
          </cell>
          <cell r="AM9">
            <v>6462.858634199999</v>
          </cell>
          <cell r="AN9">
            <v>1163.3145541559998</v>
          </cell>
          <cell r="AP9">
            <v>0</v>
          </cell>
          <cell r="AS9">
            <v>44475.18</v>
          </cell>
          <cell r="AU9">
            <v>8005.5324</v>
          </cell>
          <cell r="AX9">
            <v>0</v>
          </cell>
          <cell r="BB9">
            <v>70709.26320842</v>
          </cell>
          <cell r="BD9">
            <v>-57987.39388602</v>
          </cell>
          <cell r="BE9">
            <v>-18334.100000000002</v>
          </cell>
        </row>
        <row r="10">
          <cell r="B10">
            <v>3550.2</v>
          </cell>
          <cell r="D10">
            <v>7397.239322400001</v>
          </cell>
          <cell r="S10">
            <v>19016.100000000002</v>
          </cell>
          <cell r="T10">
            <v>4642.63</v>
          </cell>
          <cell r="AB10">
            <v>12248.16</v>
          </cell>
          <cell r="AC10">
            <v>24288.0293224</v>
          </cell>
          <cell r="AG10">
            <v>2130.12</v>
          </cell>
          <cell r="AH10">
            <v>713.5902</v>
          </cell>
          <cell r="AI10">
            <v>3024.0503599999997</v>
          </cell>
          <cell r="AJ10">
            <v>544.3290648</v>
          </cell>
          <cell r="AK10">
            <v>3519.4126656000003</v>
          </cell>
          <cell r="AL10">
            <v>633.494279808</v>
          </cell>
          <cell r="AM10">
            <v>6462.858634199999</v>
          </cell>
          <cell r="AN10">
            <v>1163.3145541559998</v>
          </cell>
          <cell r="AP10">
            <v>0</v>
          </cell>
          <cell r="AS10">
            <v>9824</v>
          </cell>
          <cell r="AU10">
            <v>1768.32</v>
          </cell>
          <cell r="AX10">
            <v>0</v>
          </cell>
          <cell r="BB10">
            <v>29783.489758564</v>
          </cell>
          <cell r="BD10">
            <v>-5495.460436163998</v>
          </cell>
          <cell r="BE10">
            <v>-6767.940000000002</v>
          </cell>
        </row>
        <row r="11">
          <cell r="B11">
            <v>3550.2</v>
          </cell>
          <cell r="D11">
            <v>7380.9634305</v>
          </cell>
          <cell r="S11">
            <v>20880</v>
          </cell>
          <cell r="T11">
            <v>4233.9800000000005</v>
          </cell>
          <cell r="AB11">
            <v>19383.31</v>
          </cell>
          <cell r="AC11">
            <v>30998.2534305</v>
          </cell>
          <cell r="AG11">
            <v>2130.12</v>
          </cell>
          <cell r="AH11">
            <v>727.9614095999999</v>
          </cell>
          <cell r="AI11">
            <v>3015.2558639999997</v>
          </cell>
          <cell r="AJ11">
            <v>542.7460555199999</v>
          </cell>
          <cell r="AK11">
            <v>3508.8160286400002</v>
          </cell>
          <cell r="AL11">
            <v>631.5868851552</v>
          </cell>
          <cell r="AM11">
            <v>6444.07559106</v>
          </cell>
          <cell r="AN11">
            <v>1159.9336063908</v>
          </cell>
          <cell r="AP11">
            <v>0</v>
          </cell>
          <cell r="AS11">
            <v>11610</v>
          </cell>
          <cell r="AU11">
            <v>2089.7999999999997</v>
          </cell>
          <cell r="AX11">
            <v>0</v>
          </cell>
          <cell r="BB11">
            <v>31860.295440366</v>
          </cell>
          <cell r="BD11">
            <v>-862.0420098659997</v>
          </cell>
          <cell r="BE11">
            <v>-1496.6899999999987</v>
          </cell>
        </row>
        <row r="14">
          <cell r="B14">
            <v>3550.2</v>
          </cell>
          <cell r="D14">
            <v>3838.65375</v>
          </cell>
          <cell r="S14">
            <v>18589.750000000004</v>
          </cell>
          <cell r="T14">
            <v>4433.65</v>
          </cell>
          <cell r="AB14">
            <v>13668.919999999998</v>
          </cell>
          <cell r="AC14">
            <v>21941.223749999997</v>
          </cell>
          <cell r="AG14">
            <v>1917.108</v>
          </cell>
          <cell r="AH14">
            <v>632.64564</v>
          </cell>
          <cell r="AI14">
            <v>2616.29989</v>
          </cell>
          <cell r="AJ14">
            <v>470.93398019999995</v>
          </cell>
          <cell r="AK14">
            <v>2559.4740876</v>
          </cell>
          <cell r="AL14">
            <v>460.705335768</v>
          </cell>
          <cell r="AM14">
            <v>5889.8741052</v>
          </cell>
          <cell r="AN14">
            <v>1060.1773389359998</v>
          </cell>
          <cell r="AP14">
            <v>0</v>
          </cell>
          <cell r="AR14">
            <v>0</v>
          </cell>
          <cell r="AS14">
            <v>6988</v>
          </cell>
          <cell r="AU14">
            <v>1257.85</v>
          </cell>
          <cell r="AX14">
            <v>700.448</v>
          </cell>
          <cell r="BA14">
            <v>0</v>
          </cell>
          <cell r="BB14">
            <v>24553.516377703996</v>
          </cell>
          <cell r="BD14">
            <v>-2612.2926277039987</v>
          </cell>
          <cell r="BE14">
            <v>-4920.830000000005</v>
          </cell>
        </row>
        <row r="15">
          <cell r="B15">
            <v>3549.6</v>
          </cell>
          <cell r="D15">
            <v>3838.005</v>
          </cell>
          <cell r="S15">
            <v>20644.89</v>
          </cell>
          <cell r="T15">
            <v>4535.72</v>
          </cell>
          <cell r="AB15">
            <v>13082.33</v>
          </cell>
          <cell r="AC15">
            <v>21456.055</v>
          </cell>
          <cell r="AG15">
            <v>1916.7839999999999</v>
          </cell>
          <cell r="AH15">
            <v>649.7897760000001</v>
          </cell>
          <cell r="AI15">
            <v>2612.8605599999996</v>
          </cell>
          <cell r="AJ15">
            <v>470.3149007999999</v>
          </cell>
          <cell r="AK15">
            <v>2558.4522911999998</v>
          </cell>
          <cell r="AL15">
            <v>460.5214124159999</v>
          </cell>
          <cell r="AM15">
            <v>5887.5227423999995</v>
          </cell>
          <cell r="AN15">
            <v>1059.754093632</v>
          </cell>
          <cell r="AP15">
            <v>0</v>
          </cell>
          <cell r="AR15">
            <v>0</v>
          </cell>
          <cell r="AS15">
            <v>30214</v>
          </cell>
          <cell r="AU15">
            <v>5438.5199999999995</v>
          </cell>
          <cell r="AX15">
            <v>864.3263999999999</v>
          </cell>
          <cell r="BA15">
            <v>0</v>
          </cell>
          <cell r="BB15">
            <v>52132.846176447994</v>
          </cell>
          <cell r="BD15">
            <v>-30676.791176447994</v>
          </cell>
          <cell r="BE15">
            <v>-7562.5599999999995</v>
          </cell>
        </row>
        <row r="16">
          <cell r="B16">
            <v>3549.6</v>
          </cell>
          <cell r="D16">
            <v>3838.005</v>
          </cell>
          <cell r="S16">
            <v>20299.96</v>
          </cell>
          <cell r="T16">
            <v>4535.72</v>
          </cell>
          <cell r="AB16">
            <v>22262.31</v>
          </cell>
          <cell r="AC16">
            <v>30636.035000000003</v>
          </cell>
          <cell r="AG16">
            <v>1916.7839999999999</v>
          </cell>
          <cell r="AH16">
            <v>644.7393440000001</v>
          </cell>
          <cell r="AI16">
            <v>2617.3963000000003</v>
          </cell>
          <cell r="AJ16">
            <v>471.13133400000004</v>
          </cell>
          <cell r="AK16">
            <v>2468.8887839999998</v>
          </cell>
          <cell r="AL16">
            <v>444.39998111999995</v>
          </cell>
          <cell r="AM16">
            <v>5681.418768</v>
          </cell>
          <cell r="AN16">
            <v>1022.6553782399999</v>
          </cell>
          <cell r="AP16">
            <v>0</v>
          </cell>
          <cell r="AR16">
            <v>0</v>
          </cell>
          <cell r="AS16">
            <v>2484</v>
          </cell>
          <cell r="AU16">
            <v>447.12</v>
          </cell>
          <cell r="AX16">
            <v>815.4272000000001</v>
          </cell>
          <cell r="BA16">
            <v>0</v>
          </cell>
          <cell r="BB16">
            <v>19013.961089359997</v>
          </cell>
          <cell r="BD16">
            <v>11622.073910640007</v>
          </cell>
          <cell r="BE16">
            <v>1962.3500000000022</v>
          </cell>
        </row>
        <row r="17">
          <cell r="B17">
            <v>3549.6</v>
          </cell>
          <cell r="D17">
            <v>3838.005</v>
          </cell>
          <cell r="S17">
            <v>21023.22</v>
          </cell>
          <cell r="T17">
            <v>4535.72</v>
          </cell>
          <cell r="AB17">
            <v>16599.41</v>
          </cell>
          <cell r="AC17">
            <v>24973.135000000002</v>
          </cell>
          <cell r="AG17">
            <v>1916.7839999999999</v>
          </cell>
          <cell r="AH17">
            <v>655.5401280000001</v>
          </cell>
          <cell r="AI17">
            <v>2695.5307439999997</v>
          </cell>
          <cell r="AJ17">
            <v>485.19553391999995</v>
          </cell>
          <cell r="AK17">
            <v>2503.6535664</v>
          </cell>
          <cell r="AL17">
            <v>450.65764195199995</v>
          </cell>
          <cell r="AM17">
            <v>5761.4196528</v>
          </cell>
          <cell r="AN17">
            <v>1037.055537504</v>
          </cell>
          <cell r="AP17">
            <v>0</v>
          </cell>
          <cell r="AQ17">
            <v>4923.83</v>
          </cell>
          <cell r="AR17">
            <v>886.2894</v>
          </cell>
          <cell r="AS17">
            <v>1144.53</v>
          </cell>
          <cell r="AU17">
            <v>206.0154</v>
          </cell>
          <cell r="AX17">
            <v>886.7936000000001</v>
          </cell>
          <cell r="BB17">
            <v>23553.295204576003</v>
          </cell>
          <cell r="BD17">
            <v>1419.839795423999</v>
          </cell>
          <cell r="BE17">
            <v>-4423.810000000001</v>
          </cell>
        </row>
        <row r="18">
          <cell r="B18">
            <v>3549.6</v>
          </cell>
          <cell r="D18">
            <v>2616.520000000001</v>
          </cell>
          <cell r="S18">
            <v>23091.020000000004</v>
          </cell>
          <cell r="T18">
            <v>4996.5</v>
          </cell>
          <cell r="AB18">
            <v>17019.47</v>
          </cell>
          <cell r="AC18">
            <v>24632.49</v>
          </cell>
          <cell r="AG18">
            <v>2129.7599999999998</v>
          </cell>
          <cell r="AH18">
            <v>717.0192000000001</v>
          </cell>
          <cell r="AI18">
            <v>3017.16</v>
          </cell>
          <cell r="AJ18">
            <v>543.0888</v>
          </cell>
          <cell r="AK18">
            <v>2946.1679999999997</v>
          </cell>
          <cell r="AL18">
            <v>530.3102399999999</v>
          </cell>
          <cell r="AM18">
            <v>6779.736</v>
          </cell>
          <cell r="AN18">
            <v>1220.35248</v>
          </cell>
          <cell r="AP18">
            <v>0</v>
          </cell>
          <cell r="AR18">
            <v>0</v>
          </cell>
          <cell r="AS18">
            <v>2807.67</v>
          </cell>
          <cell r="AT18">
            <v>540</v>
          </cell>
          <cell r="AU18">
            <v>602.5806</v>
          </cell>
          <cell r="AX18">
            <v>737.4528</v>
          </cell>
          <cell r="BA18">
            <v>0</v>
          </cell>
          <cell r="BB18">
            <v>22571.29812</v>
          </cell>
          <cell r="BD18">
            <v>2061.191880000002</v>
          </cell>
          <cell r="BE18">
            <v>-6071.550000000003</v>
          </cell>
        </row>
        <row r="19">
          <cell r="B19">
            <v>3549.6</v>
          </cell>
          <cell r="D19">
            <v>2455.5200000000036</v>
          </cell>
          <cell r="S19">
            <v>23304.839999999997</v>
          </cell>
          <cell r="T19">
            <v>4943.679999999999</v>
          </cell>
          <cell r="AB19">
            <v>19039.309999999998</v>
          </cell>
          <cell r="AC19">
            <v>26438.510000000002</v>
          </cell>
          <cell r="AG19">
            <v>2129.7599999999998</v>
          </cell>
          <cell r="AH19">
            <v>717.3286640000001</v>
          </cell>
          <cell r="AI19">
            <v>3017.16</v>
          </cell>
          <cell r="AJ19">
            <v>543.0888</v>
          </cell>
          <cell r="AK19">
            <v>2946.1679999999997</v>
          </cell>
          <cell r="AL19">
            <v>530.3102399999999</v>
          </cell>
          <cell r="AM19">
            <v>6779.746</v>
          </cell>
          <cell r="AN19">
            <v>1220.35428</v>
          </cell>
          <cell r="AP19">
            <v>0</v>
          </cell>
          <cell r="AQ19">
            <v>9319.15</v>
          </cell>
          <cell r="AR19">
            <v>1677.447</v>
          </cell>
          <cell r="AT19">
            <v>665</v>
          </cell>
          <cell r="AU19">
            <v>119.69999999999999</v>
          </cell>
          <cell r="AX19">
            <v>866.9696</v>
          </cell>
          <cell r="BA19">
            <v>0</v>
          </cell>
          <cell r="BB19">
            <v>30532.182584000002</v>
          </cell>
          <cell r="BD19">
            <v>-4093.672584</v>
          </cell>
          <cell r="BE19">
            <v>-4265.529999999999</v>
          </cell>
        </row>
        <row r="20">
          <cell r="B20">
            <v>3549</v>
          </cell>
          <cell r="D20">
            <v>2432.450000000005</v>
          </cell>
          <cell r="S20">
            <v>23325.08</v>
          </cell>
          <cell r="T20">
            <v>4941.32</v>
          </cell>
          <cell r="AB20">
            <v>21975.489999999998</v>
          </cell>
          <cell r="AC20">
            <v>29349.260000000002</v>
          </cell>
          <cell r="AG20">
            <v>2129.4</v>
          </cell>
          <cell r="AH20">
            <v>705.71865</v>
          </cell>
          <cell r="AI20">
            <v>2973.8135700000003</v>
          </cell>
          <cell r="AJ20">
            <v>535.2864426</v>
          </cell>
          <cell r="AK20">
            <v>2917.6861350000004</v>
          </cell>
          <cell r="AL20">
            <v>525.1835043000001</v>
          </cell>
          <cell r="AM20">
            <v>6713.515536</v>
          </cell>
          <cell r="AN20">
            <v>1208.43279648</v>
          </cell>
          <cell r="AP20">
            <v>0</v>
          </cell>
          <cell r="AR20">
            <v>0</v>
          </cell>
          <cell r="AU20">
            <v>0</v>
          </cell>
          <cell r="AX20">
            <v>687.2320000000001</v>
          </cell>
          <cell r="BA20">
            <v>0</v>
          </cell>
          <cell r="BB20">
            <v>18396.268634379998</v>
          </cell>
          <cell r="BD20">
            <v>10952.991365620004</v>
          </cell>
          <cell r="BE20">
            <v>-1349.5900000000038</v>
          </cell>
        </row>
        <row r="21">
          <cell r="B21">
            <v>3549</v>
          </cell>
          <cell r="D21">
            <v>2432.4500000000053</v>
          </cell>
          <cell r="S21">
            <v>23325.07</v>
          </cell>
          <cell r="T21">
            <v>4941.33</v>
          </cell>
          <cell r="AB21">
            <v>26528.859999999997</v>
          </cell>
          <cell r="AC21">
            <v>33902.64</v>
          </cell>
          <cell r="AG21">
            <v>2129.4</v>
          </cell>
          <cell r="AH21">
            <v>708.919848</v>
          </cell>
          <cell r="AI21">
            <v>2972.1544125</v>
          </cell>
          <cell r="AJ21">
            <v>534.98779425</v>
          </cell>
          <cell r="AK21">
            <v>2916.2133</v>
          </cell>
          <cell r="AL21">
            <v>524.9183939999999</v>
          </cell>
          <cell r="AM21">
            <v>6710.126241</v>
          </cell>
          <cell r="AN21">
            <v>1207.8227233799998</v>
          </cell>
          <cell r="AP21">
            <v>0</v>
          </cell>
          <cell r="AR21">
            <v>0</v>
          </cell>
          <cell r="AS21">
            <v>3268</v>
          </cell>
          <cell r="AU21">
            <v>588.24</v>
          </cell>
          <cell r="AX21">
            <v>663.4431999999999</v>
          </cell>
          <cell r="BA21">
            <v>0</v>
          </cell>
          <cell r="BB21">
            <v>22224.22591313</v>
          </cell>
          <cell r="BD21">
            <v>11678.414086869998</v>
          </cell>
          <cell r="BE21">
            <v>3203.7899999999972</v>
          </cell>
        </row>
        <row r="22">
          <cell r="B22">
            <v>3549</v>
          </cell>
          <cell r="D22">
            <v>2469.3900000000026</v>
          </cell>
          <cell r="S22">
            <v>23288.15</v>
          </cell>
          <cell r="T22">
            <v>4941.3099999999995</v>
          </cell>
          <cell r="AB22">
            <v>17220.53</v>
          </cell>
          <cell r="AC22">
            <v>24631.230000000003</v>
          </cell>
          <cell r="AG22">
            <v>2129.4</v>
          </cell>
          <cell r="AH22">
            <v>709.5870600000001</v>
          </cell>
          <cell r="AI22">
            <v>2971.6415819999997</v>
          </cell>
          <cell r="AJ22">
            <v>534.8954847599999</v>
          </cell>
          <cell r="AK22">
            <v>2915.6536227</v>
          </cell>
          <cell r="AL22">
            <v>524.817652086</v>
          </cell>
          <cell r="AM22">
            <v>6709.5161679</v>
          </cell>
          <cell r="AN22">
            <v>1207.712910222</v>
          </cell>
          <cell r="AP22">
            <v>0</v>
          </cell>
          <cell r="AR22">
            <v>0</v>
          </cell>
          <cell r="AU22">
            <v>0</v>
          </cell>
          <cell r="AX22">
            <v>1100.8928</v>
          </cell>
          <cell r="BA22">
            <v>0</v>
          </cell>
          <cell r="BB22">
            <v>18804.117279668</v>
          </cell>
          <cell r="BD22">
            <v>5827.112720332003</v>
          </cell>
          <cell r="BE22">
            <v>-6067.620000000003</v>
          </cell>
        </row>
        <row r="23">
          <cell r="B23">
            <v>3549</v>
          </cell>
          <cell r="D23">
            <v>2480.680000000002</v>
          </cell>
          <cell r="S23">
            <v>23276.85</v>
          </cell>
          <cell r="T23">
            <v>4941.32</v>
          </cell>
          <cell r="AB23">
            <v>20631.82</v>
          </cell>
          <cell r="AC23">
            <v>28053.82</v>
          </cell>
          <cell r="AG23">
            <v>2129.4</v>
          </cell>
          <cell r="AH23">
            <v>709.8000000000001</v>
          </cell>
          <cell r="AI23">
            <v>3006.0029999999997</v>
          </cell>
          <cell r="AJ23">
            <v>541.0805399999999</v>
          </cell>
          <cell r="AK23">
            <v>2945.67</v>
          </cell>
          <cell r="AL23">
            <v>530.2206</v>
          </cell>
          <cell r="AM23">
            <v>6767.161016949152</v>
          </cell>
          <cell r="AN23">
            <v>1218.0889830508474</v>
          </cell>
          <cell r="AP23">
            <v>0</v>
          </cell>
          <cell r="AR23">
            <v>0</v>
          </cell>
          <cell r="AS23">
            <v>3254.84</v>
          </cell>
          <cell r="AU23">
            <v>585.8712</v>
          </cell>
          <cell r="AX23">
            <v>733.4879999999999</v>
          </cell>
          <cell r="BA23">
            <v>0</v>
          </cell>
          <cell r="BB23">
            <v>22421.62334</v>
          </cell>
          <cell r="BD23">
            <v>5632.196660000001</v>
          </cell>
          <cell r="BE23">
            <v>-2645.029999999999</v>
          </cell>
        </row>
        <row r="24">
          <cell r="B24">
            <v>3549</v>
          </cell>
          <cell r="D24">
            <v>2480.700000000006</v>
          </cell>
          <cell r="S24">
            <v>23276.85</v>
          </cell>
          <cell r="T24">
            <v>4941.300000000001</v>
          </cell>
          <cell r="AB24">
            <v>20221.520000000004</v>
          </cell>
          <cell r="AC24">
            <v>27643.52000000001</v>
          </cell>
          <cell r="AG24">
            <v>2129.4</v>
          </cell>
          <cell r="AH24">
            <v>709.8000000000001</v>
          </cell>
          <cell r="AI24">
            <v>3016.65</v>
          </cell>
          <cell r="AJ24">
            <v>542.997</v>
          </cell>
          <cell r="AK24">
            <v>2945.67</v>
          </cell>
          <cell r="AL24">
            <v>530.2206</v>
          </cell>
          <cell r="AM24">
            <v>6778.59</v>
          </cell>
          <cell r="AN24">
            <v>1220.1462</v>
          </cell>
          <cell r="AP24">
            <v>0</v>
          </cell>
          <cell r="AR24">
            <v>0</v>
          </cell>
          <cell r="AS24">
            <v>0</v>
          </cell>
          <cell r="AT24">
            <v>14400</v>
          </cell>
          <cell r="AU24">
            <v>2592</v>
          </cell>
          <cell r="AX24">
            <v>841.8592</v>
          </cell>
          <cell r="BA24">
            <v>0</v>
          </cell>
          <cell r="BB24">
            <v>35707.333</v>
          </cell>
          <cell r="BD24">
            <v>-8063.812999999987</v>
          </cell>
          <cell r="BE24">
            <v>-3055.3299999999945</v>
          </cell>
        </row>
        <row r="25">
          <cell r="B25">
            <v>3548.5</v>
          </cell>
          <cell r="D25">
            <v>2480.2649999999985</v>
          </cell>
          <cell r="S25">
            <v>23274.89</v>
          </cell>
          <cell r="T25">
            <v>4939.37</v>
          </cell>
          <cell r="AB25">
            <v>31434.510000000002</v>
          </cell>
          <cell r="AC25">
            <v>38854.145000000004</v>
          </cell>
          <cell r="AG25">
            <v>2129.1</v>
          </cell>
          <cell r="AH25">
            <v>709.7</v>
          </cell>
          <cell r="AI25">
            <v>3016.225</v>
          </cell>
          <cell r="AJ25">
            <v>542.9205</v>
          </cell>
          <cell r="AK25">
            <v>2945.2549999999997</v>
          </cell>
          <cell r="AL25">
            <v>530.1458999999999</v>
          </cell>
          <cell r="AM25">
            <v>6777.634999999999</v>
          </cell>
          <cell r="AN25">
            <v>1219.9742999999999</v>
          </cell>
          <cell r="AP25">
            <v>0</v>
          </cell>
          <cell r="AR25">
            <v>0</v>
          </cell>
          <cell r="AS25">
            <v>0</v>
          </cell>
          <cell r="AU25">
            <v>0</v>
          </cell>
          <cell r="AX25">
            <v>849.7888</v>
          </cell>
          <cell r="BA25">
            <v>0</v>
          </cell>
          <cell r="BB25">
            <v>18720.744499999997</v>
          </cell>
          <cell r="BD25">
            <v>20133.400500000007</v>
          </cell>
          <cell r="BE25">
            <v>8159.620000000003</v>
          </cell>
        </row>
        <row r="30">
          <cell r="B30">
            <v>3548.5</v>
          </cell>
          <cell r="D30">
            <v>2480.2450000000003</v>
          </cell>
          <cell r="S30">
            <v>23274.91</v>
          </cell>
          <cell r="T30">
            <v>4939.37</v>
          </cell>
          <cell r="AB30">
            <v>18518.07</v>
          </cell>
          <cell r="AC30">
            <v>25937.684999999998</v>
          </cell>
          <cell r="AG30">
            <v>2129.1</v>
          </cell>
          <cell r="AH30">
            <v>709.7</v>
          </cell>
          <cell r="AI30">
            <v>3548.5</v>
          </cell>
          <cell r="AJ30">
            <v>0</v>
          </cell>
          <cell r="AK30">
            <v>3477.5299999999997</v>
          </cell>
          <cell r="AL30">
            <v>0</v>
          </cell>
          <cell r="AM30">
            <v>7984.125</v>
          </cell>
          <cell r="AN30">
            <v>0</v>
          </cell>
          <cell r="AP30">
            <v>0</v>
          </cell>
          <cell r="AS30">
            <v>2246</v>
          </cell>
          <cell r="AU30">
            <v>0</v>
          </cell>
          <cell r="AX30">
            <v>1085</v>
          </cell>
          <cell r="BA30">
            <v>0</v>
          </cell>
          <cell r="BB30">
            <v>21179.955</v>
          </cell>
          <cell r="BD30">
            <v>4757.729999999996</v>
          </cell>
          <cell r="BE30">
            <v>-4756.84</v>
          </cell>
        </row>
        <row r="31">
          <cell r="B31">
            <v>3548.5</v>
          </cell>
          <cell r="D31">
            <v>2501.2950000000046</v>
          </cell>
          <cell r="S31">
            <v>23253.86</v>
          </cell>
          <cell r="T31">
            <v>4939.37</v>
          </cell>
          <cell r="AB31">
            <v>14476.84</v>
          </cell>
          <cell r="AC31">
            <v>21917.505000000005</v>
          </cell>
          <cell r="AG31">
            <v>2129.1</v>
          </cell>
          <cell r="AH31">
            <v>709.7</v>
          </cell>
          <cell r="AI31">
            <v>3548.5</v>
          </cell>
          <cell r="AJ31">
            <v>0</v>
          </cell>
          <cell r="AK31">
            <v>3477.5299999999997</v>
          </cell>
          <cell r="AL31">
            <v>0</v>
          </cell>
          <cell r="AM31">
            <v>7984.125</v>
          </cell>
          <cell r="AN31">
            <v>0</v>
          </cell>
          <cell r="AS31">
            <v>1492</v>
          </cell>
          <cell r="AU31">
            <v>0</v>
          </cell>
          <cell r="AX31">
            <v>1034.6</v>
          </cell>
          <cell r="BA31">
            <v>0</v>
          </cell>
          <cell r="BB31">
            <v>20375.555</v>
          </cell>
          <cell r="BD31">
            <v>1541.9500000000044</v>
          </cell>
          <cell r="BE31">
            <v>-8777.02</v>
          </cell>
        </row>
        <row r="32">
          <cell r="B32">
            <v>3548.5</v>
          </cell>
          <cell r="D32">
            <v>2495.485000000004</v>
          </cell>
          <cell r="S32">
            <v>23438.95</v>
          </cell>
          <cell r="T32">
            <v>4760.089999999999</v>
          </cell>
          <cell r="AB32">
            <v>25747.01</v>
          </cell>
          <cell r="AC32">
            <v>33002.585</v>
          </cell>
          <cell r="AG32">
            <v>2129.1</v>
          </cell>
          <cell r="AH32">
            <v>709.7</v>
          </cell>
          <cell r="AI32">
            <v>3548.5</v>
          </cell>
          <cell r="AJ32">
            <v>0</v>
          </cell>
          <cell r="AK32">
            <v>3477.5299999999997</v>
          </cell>
          <cell r="AL32">
            <v>0</v>
          </cell>
          <cell r="AM32">
            <v>7984.125</v>
          </cell>
          <cell r="AN32">
            <v>0</v>
          </cell>
          <cell r="AS32">
            <v>550</v>
          </cell>
          <cell r="AU32">
            <v>0</v>
          </cell>
          <cell r="AX32">
            <v>974.4</v>
          </cell>
          <cell r="BA32">
            <v>0</v>
          </cell>
          <cell r="BB32">
            <v>19373.355000000003</v>
          </cell>
          <cell r="BD32">
            <v>13629.229999999996</v>
          </cell>
          <cell r="BE32">
            <v>2308.0599999999977</v>
          </cell>
        </row>
        <row r="33">
          <cell r="B33">
            <v>3548.5</v>
          </cell>
          <cell r="D33">
            <v>2508.335000000002</v>
          </cell>
          <cell r="S33">
            <v>23354.07</v>
          </cell>
          <cell r="T33">
            <v>4832.120000000001</v>
          </cell>
          <cell r="AB33">
            <v>16599.41</v>
          </cell>
          <cell r="AC33">
            <v>23939.865</v>
          </cell>
          <cell r="AG33">
            <v>2129.1</v>
          </cell>
          <cell r="AH33">
            <v>709.7</v>
          </cell>
          <cell r="AI33">
            <v>3548.5</v>
          </cell>
          <cell r="AJ33">
            <v>0</v>
          </cell>
          <cell r="AK33">
            <v>3477.5299999999997</v>
          </cell>
          <cell r="AL33">
            <v>0</v>
          </cell>
          <cell r="AM33">
            <v>7984.125</v>
          </cell>
          <cell r="AN33">
            <v>0</v>
          </cell>
          <cell r="AS33">
            <v>2374</v>
          </cell>
          <cell r="AU33">
            <v>0</v>
          </cell>
          <cell r="AX33">
            <v>840</v>
          </cell>
          <cell r="BB33">
            <v>21062.955</v>
          </cell>
          <cell r="BD33">
            <v>2876.91</v>
          </cell>
          <cell r="BE33">
            <v>-6754.66</v>
          </cell>
        </row>
        <row r="34">
          <cell r="B34">
            <v>3549.12</v>
          </cell>
          <cell r="D34">
            <v>2500.2779999999975</v>
          </cell>
          <cell r="S34">
            <v>23260.239999999998</v>
          </cell>
          <cell r="T34">
            <v>4939.37</v>
          </cell>
          <cell r="AB34">
            <v>22189.17</v>
          </cell>
          <cell r="AC34">
            <v>29628.817999999996</v>
          </cell>
          <cell r="AG34">
            <v>2129.4719999999998</v>
          </cell>
          <cell r="AH34">
            <v>709.8240000000001</v>
          </cell>
          <cell r="AI34">
            <v>3549.12</v>
          </cell>
          <cell r="AJ34">
            <v>0</v>
          </cell>
          <cell r="AK34">
            <v>3478.1376</v>
          </cell>
          <cell r="AL34">
            <v>0</v>
          </cell>
          <cell r="AM34">
            <v>7985.5199999999995</v>
          </cell>
          <cell r="AN34">
            <v>0</v>
          </cell>
          <cell r="AO34">
            <v>4379.4</v>
          </cell>
          <cell r="AS34">
            <v>3090</v>
          </cell>
          <cell r="AU34">
            <v>0</v>
          </cell>
          <cell r="AX34">
            <v>698.5999999999999</v>
          </cell>
          <cell r="BA34">
            <v>0</v>
          </cell>
          <cell r="BB34">
            <v>26020.073599999996</v>
          </cell>
          <cell r="BD34">
            <v>3608.7443999999996</v>
          </cell>
          <cell r="BE34">
            <v>-1071.0699999999997</v>
          </cell>
        </row>
        <row r="35">
          <cell r="B35">
            <v>3549.12</v>
          </cell>
          <cell r="D35">
            <v>2457.7280000000023</v>
          </cell>
          <cell r="S35">
            <v>23345.82</v>
          </cell>
          <cell r="T35">
            <v>4896.34</v>
          </cell>
          <cell r="AB35">
            <v>22853.23</v>
          </cell>
          <cell r="AC35">
            <v>30207.298000000003</v>
          </cell>
          <cell r="AG35">
            <v>2129.4719999999998</v>
          </cell>
          <cell r="AH35">
            <v>709.8240000000001</v>
          </cell>
          <cell r="AI35">
            <v>3549.12</v>
          </cell>
          <cell r="AJ35">
            <v>0</v>
          </cell>
          <cell r="AK35">
            <v>3478.1376</v>
          </cell>
          <cell r="AL35">
            <v>0</v>
          </cell>
          <cell r="AM35">
            <v>7985.5199999999995</v>
          </cell>
          <cell r="AN35">
            <v>0</v>
          </cell>
          <cell r="AS35">
            <v>7797</v>
          </cell>
          <cell r="AU35">
            <v>0</v>
          </cell>
          <cell r="AX35">
            <v>950.5999999999999</v>
          </cell>
          <cell r="BA35">
            <v>0</v>
          </cell>
          <cell r="BB35">
            <v>26599.6736</v>
          </cell>
          <cell r="BD35">
            <v>3607.6244000000042</v>
          </cell>
          <cell r="BE35">
            <v>-492.59000000000015</v>
          </cell>
        </row>
        <row r="36">
          <cell r="B36">
            <v>3549.12</v>
          </cell>
          <cell r="D36">
            <v>2498.0579999999964</v>
          </cell>
          <cell r="S36">
            <v>28201.83</v>
          </cell>
          <cell r="T36">
            <v>0</v>
          </cell>
          <cell r="AB36">
            <v>21250.99</v>
          </cell>
          <cell r="AC36">
            <v>23749.048</v>
          </cell>
          <cell r="AG36">
            <v>2129.4719999999998</v>
          </cell>
          <cell r="AH36">
            <v>709.8240000000001</v>
          </cell>
          <cell r="AI36">
            <v>3549.12</v>
          </cell>
          <cell r="AJ36">
            <v>0</v>
          </cell>
          <cell r="AK36">
            <v>3478.1376</v>
          </cell>
          <cell r="AL36">
            <v>0</v>
          </cell>
          <cell r="AM36">
            <v>7985.5199999999995</v>
          </cell>
          <cell r="AN36">
            <v>0</v>
          </cell>
          <cell r="AU36">
            <v>0</v>
          </cell>
          <cell r="AX36">
            <v>1016.4</v>
          </cell>
          <cell r="BA36">
            <v>0</v>
          </cell>
          <cell r="BB36">
            <v>18868.4736</v>
          </cell>
          <cell r="BD36">
            <v>4880.574399999998</v>
          </cell>
          <cell r="BE36">
            <v>-6950.84</v>
          </cell>
        </row>
        <row r="37">
          <cell r="B37">
            <v>3549.12</v>
          </cell>
          <cell r="D37">
            <v>2296.5779999999986</v>
          </cell>
          <cell r="S37">
            <v>28403.31</v>
          </cell>
          <cell r="T37">
            <v>0</v>
          </cell>
          <cell r="AB37">
            <v>23237.559999999998</v>
          </cell>
          <cell r="AC37">
            <v>25534.137999999995</v>
          </cell>
          <cell r="AG37">
            <v>2129.4719999999998</v>
          </cell>
          <cell r="AH37">
            <v>709.8240000000001</v>
          </cell>
          <cell r="AI37">
            <v>3549.12</v>
          </cell>
          <cell r="AJ37">
            <v>0</v>
          </cell>
          <cell r="AK37">
            <v>3478.1376</v>
          </cell>
          <cell r="AL37">
            <v>0</v>
          </cell>
          <cell r="AM37">
            <v>7985.5199999999995</v>
          </cell>
          <cell r="AN37">
            <v>0</v>
          </cell>
          <cell r="AS37">
            <v>157</v>
          </cell>
          <cell r="AT37">
            <v>47.8</v>
          </cell>
          <cell r="AU37">
            <v>0</v>
          </cell>
          <cell r="AX37">
            <v>753.1999999999999</v>
          </cell>
          <cell r="BA37">
            <v>0</v>
          </cell>
          <cell r="BB37">
            <v>18810.0736</v>
          </cell>
          <cell r="BD37">
            <v>6724.064399999996</v>
          </cell>
          <cell r="BE37">
            <v>-5165.750000000004</v>
          </cell>
        </row>
        <row r="38">
          <cell r="B38">
            <v>3549.12</v>
          </cell>
          <cell r="D38">
            <v>2505.708</v>
          </cell>
          <cell r="S38">
            <v>28194.18</v>
          </cell>
          <cell r="T38">
            <v>0</v>
          </cell>
          <cell r="AB38">
            <v>35065.61</v>
          </cell>
          <cell r="AC38">
            <v>37571.318</v>
          </cell>
          <cell r="AG38">
            <v>2129.4719999999998</v>
          </cell>
          <cell r="AH38">
            <v>709.8240000000001</v>
          </cell>
          <cell r="AI38">
            <v>3549.12</v>
          </cell>
          <cell r="AJ38">
            <v>0</v>
          </cell>
          <cell r="AK38">
            <v>3478.1376</v>
          </cell>
          <cell r="AL38">
            <v>0</v>
          </cell>
          <cell r="AM38">
            <v>7985.5199999999995</v>
          </cell>
          <cell r="AN38">
            <v>0</v>
          </cell>
          <cell r="AS38">
            <v>2981</v>
          </cell>
          <cell r="AU38">
            <v>0</v>
          </cell>
          <cell r="AX38">
            <v>950.5999999999999</v>
          </cell>
          <cell r="BA38">
            <v>0</v>
          </cell>
          <cell r="BB38">
            <v>21783.6736</v>
          </cell>
          <cell r="BD38">
            <v>15787.644400000001</v>
          </cell>
          <cell r="BE38">
            <v>6871.43</v>
          </cell>
        </row>
        <row r="39">
          <cell r="B39">
            <v>3549.12</v>
          </cell>
          <cell r="D39">
            <v>42505.708</v>
          </cell>
          <cell r="S39">
            <v>28194.18</v>
          </cell>
          <cell r="T39">
            <v>0</v>
          </cell>
          <cell r="AB39">
            <v>26663.95</v>
          </cell>
          <cell r="AC39">
            <v>69169.658</v>
          </cell>
          <cell r="AG39">
            <v>2129.4719999999998</v>
          </cell>
          <cell r="AH39">
            <v>709.8240000000001</v>
          </cell>
          <cell r="AI39">
            <v>3549.12</v>
          </cell>
          <cell r="AJ39">
            <v>0</v>
          </cell>
          <cell r="AK39">
            <v>3478.1376</v>
          </cell>
          <cell r="AL39">
            <v>0</v>
          </cell>
          <cell r="AM39">
            <v>7985.5199999999995</v>
          </cell>
          <cell r="AN39">
            <v>0</v>
          </cell>
          <cell r="AS39">
            <v>298</v>
          </cell>
          <cell r="AU39">
            <v>0</v>
          </cell>
          <cell r="AX39">
            <v>935.1999999999999</v>
          </cell>
          <cell r="BA39">
            <v>0</v>
          </cell>
          <cell r="BB39">
            <v>19085.2736</v>
          </cell>
          <cell r="BD39">
            <v>50084.384399999995</v>
          </cell>
          <cell r="BE39">
            <v>-1530.2299999999996</v>
          </cell>
        </row>
        <row r="40">
          <cell r="B40">
            <v>3549.12</v>
          </cell>
          <cell r="D40">
            <v>2505.6779999999994</v>
          </cell>
          <cell r="S40">
            <v>28194.209999999995</v>
          </cell>
          <cell r="T40">
            <v>0</v>
          </cell>
          <cell r="AB40">
            <v>28636.510000000002</v>
          </cell>
          <cell r="AC40">
            <v>31142.188000000002</v>
          </cell>
          <cell r="AG40">
            <v>2129.4719999999998</v>
          </cell>
          <cell r="AH40">
            <v>709.8240000000001</v>
          </cell>
          <cell r="AI40">
            <v>3549.12</v>
          </cell>
          <cell r="AJ40">
            <v>0</v>
          </cell>
          <cell r="AK40">
            <v>3478.1376</v>
          </cell>
          <cell r="AL40">
            <v>0</v>
          </cell>
          <cell r="AM40">
            <v>7985.5199999999995</v>
          </cell>
          <cell r="AN40">
            <v>0</v>
          </cell>
          <cell r="AS40">
            <v>1212</v>
          </cell>
          <cell r="AT40">
            <v>40000</v>
          </cell>
          <cell r="AU40">
            <v>0</v>
          </cell>
          <cell r="AX40">
            <v>1166.1999999999998</v>
          </cell>
          <cell r="BA40">
            <v>0</v>
          </cell>
          <cell r="BB40">
            <v>60230.2736</v>
          </cell>
          <cell r="BD40">
            <v>-29088.0856</v>
          </cell>
          <cell r="BE40">
            <v>442.30000000000655</v>
          </cell>
        </row>
        <row r="41">
          <cell r="B41">
            <v>3549.12</v>
          </cell>
          <cell r="D41">
            <v>2517.547999999995</v>
          </cell>
          <cell r="S41">
            <v>28182.34</v>
          </cell>
          <cell r="T41">
            <v>0</v>
          </cell>
          <cell r="AB41">
            <v>32231.58</v>
          </cell>
          <cell r="AC41">
            <v>34749.128</v>
          </cell>
          <cell r="AG41">
            <v>2129.4719999999998</v>
          </cell>
          <cell r="AH41">
            <v>709.8240000000001</v>
          </cell>
          <cell r="AI41">
            <v>3549.12</v>
          </cell>
          <cell r="AJ41">
            <v>0</v>
          </cell>
          <cell r="AK41">
            <v>3478.1376</v>
          </cell>
          <cell r="AL41">
            <v>0</v>
          </cell>
          <cell r="AM41">
            <v>7985.5199999999995</v>
          </cell>
          <cell r="AN41">
            <v>0</v>
          </cell>
          <cell r="AS41">
            <v>7668</v>
          </cell>
          <cell r="AT41">
            <v>402.84000000000003</v>
          </cell>
          <cell r="AU41">
            <v>72.5112</v>
          </cell>
          <cell r="AX41">
            <v>1226.3999999999999</v>
          </cell>
          <cell r="BA41">
            <v>0</v>
          </cell>
          <cell r="BB41">
            <v>27221.824800000002</v>
          </cell>
          <cell r="BD41">
            <v>7527.303199999995</v>
          </cell>
          <cell r="BE41">
            <v>4049.2400000000016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5">
        <row r="190">
          <cell r="J190">
            <v>100</v>
          </cell>
          <cell r="S190">
            <v>25</v>
          </cell>
        </row>
      </sheetData>
      <sheetData sheetId="6">
        <row r="192">
          <cell r="J192">
            <v>100</v>
          </cell>
          <cell r="S192">
            <v>25</v>
          </cell>
        </row>
      </sheetData>
      <sheetData sheetId="7">
        <row r="192">
          <cell r="J192">
            <v>100</v>
          </cell>
          <cell r="S192">
            <v>25</v>
          </cell>
        </row>
      </sheetData>
      <sheetData sheetId="8">
        <row r="195">
          <cell r="J195">
            <v>100</v>
          </cell>
          <cell r="S195">
            <v>25</v>
          </cell>
        </row>
      </sheetData>
      <sheetData sheetId="9">
        <row r="194">
          <cell r="J194">
            <v>100</v>
          </cell>
          <cell r="S194">
            <v>25</v>
          </cell>
        </row>
      </sheetData>
      <sheetData sheetId="10">
        <row r="196">
          <cell r="J196">
            <v>100</v>
          </cell>
          <cell r="S196">
            <v>25</v>
          </cell>
        </row>
      </sheetData>
      <sheetData sheetId="11">
        <row r="198">
          <cell r="J198">
            <v>100</v>
          </cell>
          <cell r="S198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H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U41" sqref="AU41"/>
    </sheetView>
  </sheetViews>
  <sheetFormatPr defaultColWidth="9.00390625" defaultRowHeight="12.75"/>
  <cols>
    <col min="1" max="1" width="8.75390625" style="80" bestFit="1" customWidth="1"/>
    <col min="2" max="2" width="9.125" style="80" customWidth="1"/>
    <col min="3" max="3" width="10.125" style="80" customWidth="1"/>
    <col min="4" max="4" width="10.375" style="80" customWidth="1"/>
    <col min="5" max="6" width="9.125" style="80" customWidth="1"/>
    <col min="7" max="7" width="10.25390625" style="80" customWidth="1"/>
    <col min="8" max="8" width="9.125" style="80" customWidth="1"/>
    <col min="9" max="9" width="9.875" style="80" customWidth="1"/>
    <col min="10" max="10" width="9.125" style="80" customWidth="1"/>
    <col min="11" max="11" width="10.375" style="80" customWidth="1"/>
    <col min="12" max="14" width="9.125" style="80" customWidth="1"/>
    <col min="15" max="15" width="10.125" style="80" bestFit="1" customWidth="1"/>
    <col min="16" max="18" width="9.125" style="80" customWidth="1"/>
    <col min="19" max="19" width="10.125" style="80" bestFit="1" customWidth="1"/>
    <col min="20" max="20" width="10.125" style="80" customWidth="1"/>
    <col min="21" max="22" width="9.125" style="80" customWidth="1"/>
    <col min="23" max="23" width="10.625" style="80" customWidth="1"/>
    <col min="24" max="24" width="10.125" style="80" customWidth="1"/>
    <col min="25" max="27" width="9.125" style="80" customWidth="1"/>
    <col min="28" max="28" width="10.125" style="80" bestFit="1" customWidth="1"/>
    <col min="29" max="30" width="11.375" style="80" customWidth="1"/>
    <col min="31" max="32" width="9.25390625" style="80" bestFit="1" customWidth="1"/>
    <col min="33" max="33" width="10.25390625" style="80" customWidth="1"/>
    <col min="34" max="38" width="9.25390625" style="80" bestFit="1" customWidth="1"/>
    <col min="39" max="39" width="10.125" style="80" bestFit="1" customWidth="1"/>
    <col min="40" max="42" width="9.25390625" style="80" bestFit="1" customWidth="1"/>
    <col min="43" max="44" width="9.25390625" style="80" customWidth="1"/>
    <col min="45" max="45" width="10.125" style="80" bestFit="1" customWidth="1"/>
    <col min="46" max="46" width="10.125" style="80" customWidth="1"/>
    <col min="47" max="47" width="9.25390625" style="80" bestFit="1" customWidth="1"/>
    <col min="48" max="49" width="9.25390625" style="80" customWidth="1"/>
    <col min="50" max="50" width="10.625" style="80" customWidth="1"/>
    <col min="51" max="51" width="9.25390625" style="80" bestFit="1" customWidth="1"/>
    <col min="52" max="53" width="10.125" style="80" bestFit="1" customWidth="1"/>
    <col min="54" max="55" width="10.375" style="80" customWidth="1"/>
    <col min="56" max="56" width="10.75390625" style="80" customWidth="1"/>
    <col min="57" max="57" width="14.00390625" style="80" customWidth="1"/>
    <col min="58" max="16384" width="9.125" style="80" customWidth="1"/>
  </cols>
  <sheetData>
    <row r="1" spans="1:18" ht="21" customHeight="1">
      <c r="A1" s="219" t="s">
        <v>116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79"/>
      <c r="P1" s="79"/>
      <c r="Q1" s="79"/>
      <c r="R1" s="79"/>
    </row>
    <row r="2" spans="1:18" ht="13.5" thickBot="1">
      <c r="A2" s="79"/>
      <c r="B2" s="81"/>
      <c r="C2" s="82"/>
      <c r="D2" s="82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57" ht="13.5" customHeight="1">
      <c r="A3" s="220" t="s">
        <v>0</v>
      </c>
      <c r="B3" s="223" t="s">
        <v>1</v>
      </c>
      <c r="C3" s="223" t="s">
        <v>2</v>
      </c>
      <c r="D3" s="223" t="s">
        <v>3</v>
      </c>
      <c r="E3" s="226" t="s">
        <v>4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30" t="s">
        <v>5</v>
      </c>
      <c r="T3" s="230"/>
      <c r="U3" s="231" t="s">
        <v>6</v>
      </c>
      <c r="V3" s="231"/>
      <c r="W3" s="231"/>
      <c r="X3" s="231"/>
      <c r="Y3" s="231"/>
      <c r="Z3" s="231"/>
      <c r="AA3" s="231"/>
      <c r="AB3" s="231"/>
      <c r="AC3" s="233" t="s">
        <v>83</v>
      </c>
      <c r="AD3" s="233" t="s">
        <v>8</v>
      </c>
      <c r="AE3" s="236" t="s">
        <v>9</v>
      </c>
      <c r="AF3" s="239" t="s">
        <v>74</v>
      </c>
      <c r="AG3" s="244" t="s">
        <v>10</v>
      </c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6" t="s">
        <v>75</v>
      </c>
      <c r="BD3" s="249" t="s">
        <v>11</v>
      </c>
      <c r="BE3" s="252" t="s">
        <v>12</v>
      </c>
    </row>
    <row r="4" spans="1:57" ht="36" customHeight="1" thickBot="1">
      <c r="A4" s="221"/>
      <c r="B4" s="224"/>
      <c r="C4" s="224"/>
      <c r="D4" s="224"/>
      <c r="E4" s="227" t="s">
        <v>13</v>
      </c>
      <c r="F4" s="227"/>
      <c r="G4" s="227" t="s">
        <v>14</v>
      </c>
      <c r="H4" s="227"/>
      <c r="I4" s="227" t="s">
        <v>15</v>
      </c>
      <c r="J4" s="227"/>
      <c r="K4" s="227" t="s">
        <v>16</v>
      </c>
      <c r="L4" s="227"/>
      <c r="M4" s="227" t="s">
        <v>17</v>
      </c>
      <c r="N4" s="227"/>
      <c r="O4" s="227" t="s">
        <v>18</v>
      </c>
      <c r="P4" s="227"/>
      <c r="Q4" s="227" t="s">
        <v>19</v>
      </c>
      <c r="R4" s="227"/>
      <c r="S4" s="227"/>
      <c r="T4" s="227"/>
      <c r="U4" s="232"/>
      <c r="V4" s="232"/>
      <c r="W4" s="232"/>
      <c r="X4" s="232"/>
      <c r="Y4" s="232"/>
      <c r="Z4" s="232"/>
      <c r="AA4" s="232"/>
      <c r="AB4" s="232"/>
      <c r="AC4" s="234"/>
      <c r="AD4" s="234"/>
      <c r="AE4" s="237"/>
      <c r="AF4" s="240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7"/>
      <c r="BD4" s="250"/>
      <c r="BE4" s="253"/>
    </row>
    <row r="5" spans="1:57" ht="29.25" customHeight="1" thickBot="1">
      <c r="A5" s="221"/>
      <c r="B5" s="224"/>
      <c r="C5" s="224"/>
      <c r="D5" s="224"/>
      <c r="E5" s="228" t="s">
        <v>20</v>
      </c>
      <c r="F5" s="228" t="s">
        <v>21</v>
      </c>
      <c r="G5" s="228" t="s">
        <v>20</v>
      </c>
      <c r="H5" s="228" t="s">
        <v>21</v>
      </c>
      <c r="I5" s="228" t="s">
        <v>20</v>
      </c>
      <c r="J5" s="228" t="s">
        <v>21</v>
      </c>
      <c r="K5" s="228" t="s">
        <v>20</v>
      </c>
      <c r="L5" s="228" t="s">
        <v>21</v>
      </c>
      <c r="M5" s="228" t="s">
        <v>20</v>
      </c>
      <c r="N5" s="228" t="s">
        <v>21</v>
      </c>
      <c r="O5" s="228" t="s">
        <v>20</v>
      </c>
      <c r="P5" s="228" t="s">
        <v>21</v>
      </c>
      <c r="Q5" s="228" t="s">
        <v>20</v>
      </c>
      <c r="R5" s="228" t="s">
        <v>21</v>
      </c>
      <c r="S5" s="228" t="s">
        <v>20</v>
      </c>
      <c r="T5" s="228" t="s">
        <v>21</v>
      </c>
      <c r="U5" s="242" t="s">
        <v>22</v>
      </c>
      <c r="V5" s="242" t="s">
        <v>23</v>
      </c>
      <c r="W5" s="242" t="s">
        <v>24</v>
      </c>
      <c r="X5" s="242" t="s">
        <v>25</v>
      </c>
      <c r="Y5" s="242" t="s">
        <v>26</v>
      </c>
      <c r="Z5" s="242" t="s">
        <v>27</v>
      </c>
      <c r="AA5" s="242" t="s">
        <v>28</v>
      </c>
      <c r="AB5" s="242" t="s">
        <v>29</v>
      </c>
      <c r="AC5" s="234"/>
      <c r="AD5" s="234"/>
      <c r="AE5" s="237"/>
      <c r="AF5" s="240"/>
      <c r="AG5" s="245" t="s">
        <v>30</v>
      </c>
      <c r="AH5" s="245" t="s">
        <v>31</v>
      </c>
      <c r="AI5" s="245" t="s">
        <v>32</v>
      </c>
      <c r="AJ5" s="245" t="s">
        <v>33</v>
      </c>
      <c r="AK5" s="245" t="s">
        <v>34</v>
      </c>
      <c r="AL5" s="245" t="s">
        <v>33</v>
      </c>
      <c r="AM5" s="245" t="s">
        <v>35</v>
      </c>
      <c r="AN5" s="245" t="s">
        <v>33</v>
      </c>
      <c r="AO5" s="245" t="s">
        <v>36</v>
      </c>
      <c r="AP5" s="245" t="s">
        <v>33</v>
      </c>
      <c r="AQ5" s="256" t="s">
        <v>76</v>
      </c>
      <c r="AR5" s="258" t="s">
        <v>33</v>
      </c>
      <c r="AS5" s="260" t="s">
        <v>77</v>
      </c>
      <c r="AT5" s="262" t="s">
        <v>78</v>
      </c>
      <c r="AU5" s="262" t="s">
        <v>33</v>
      </c>
      <c r="AV5" s="264" t="s">
        <v>79</v>
      </c>
      <c r="AW5" s="265"/>
      <c r="AX5" s="266"/>
      <c r="AY5" s="245" t="s">
        <v>19</v>
      </c>
      <c r="AZ5" s="245" t="s">
        <v>38</v>
      </c>
      <c r="BA5" s="245" t="s">
        <v>33</v>
      </c>
      <c r="BB5" s="245" t="s">
        <v>39</v>
      </c>
      <c r="BC5" s="247"/>
      <c r="BD5" s="250"/>
      <c r="BE5" s="253"/>
    </row>
    <row r="6" spans="1:57" ht="54" customHeight="1" thickBot="1">
      <c r="A6" s="222"/>
      <c r="B6" s="225"/>
      <c r="C6" s="225"/>
      <c r="D6" s="225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43"/>
      <c r="V6" s="243"/>
      <c r="W6" s="243"/>
      <c r="X6" s="243"/>
      <c r="Y6" s="243"/>
      <c r="Z6" s="243"/>
      <c r="AA6" s="243"/>
      <c r="AB6" s="243"/>
      <c r="AC6" s="235"/>
      <c r="AD6" s="235"/>
      <c r="AE6" s="238"/>
      <c r="AF6" s="241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7"/>
      <c r="AR6" s="259"/>
      <c r="AS6" s="261"/>
      <c r="AT6" s="263"/>
      <c r="AU6" s="263"/>
      <c r="AV6" s="50" t="s">
        <v>80</v>
      </c>
      <c r="AW6" s="50" t="s">
        <v>81</v>
      </c>
      <c r="AX6" s="50" t="s">
        <v>82</v>
      </c>
      <c r="AY6" s="255"/>
      <c r="AZ6" s="255"/>
      <c r="BA6" s="255"/>
      <c r="BB6" s="255"/>
      <c r="BC6" s="248"/>
      <c r="BD6" s="251"/>
      <c r="BE6" s="254"/>
    </row>
    <row r="7" spans="1:57" ht="12.75">
      <c r="A7" s="3">
        <v>1</v>
      </c>
      <c r="B7" s="4">
        <v>2</v>
      </c>
      <c r="C7" s="3">
        <v>3</v>
      </c>
      <c r="D7" s="4">
        <v>4</v>
      </c>
      <c r="E7" s="3">
        <v>5</v>
      </c>
      <c r="F7" s="4">
        <v>6</v>
      </c>
      <c r="G7" s="3">
        <v>7</v>
      </c>
      <c r="H7" s="4">
        <v>8</v>
      </c>
      <c r="I7" s="3">
        <v>9</v>
      </c>
      <c r="J7" s="4">
        <v>10</v>
      </c>
      <c r="K7" s="3">
        <v>11</v>
      </c>
      <c r="L7" s="4">
        <v>12</v>
      </c>
      <c r="M7" s="3">
        <v>13</v>
      </c>
      <c r="N7" s="4">
        <v>14</v>
      </c>
      <c r="O7" s="3">
        <v>15</v>
      </c>
      <c r="P7" s="4">
        <v>16</v>
      </c>
      <c r="Q7" s="3">
        <v>17</v>
      </c>
      <c r="R7" s="4">
        <v>18</v>
      </c>
      <c r="S7" s="3">
        <v>19</v>
      </c>
      <c r="T7" s="4">
        <v>20</v>
      </c>
      <c r="U7" s="3">
        <v>21</v>
      </c>
      <c r="V7" s="4">
        <v>22</v>
      </c>
      <c r="W7" s="3">
        <v>23</v>
      </c>
      <c r="X7" s="4">
        <v>24</v>
      </c>
      <c r="Y7" s="3">
        <v>25</v>
      </c>
      <c r="Z7" s="4">
        <v>26</v>
      </c>
      <c r="AA7" s="3">
        <v>27</v>
      </c>
      <c r="AB7" s="4">
        <v>28</v>
      </c>
      <c r="AC7" s="3">
        <v>29</v>
      </c>
      <c r="AD7" s="4">
        <v>30</v>
      </c>
      <c r="AE7" s="3">
        <v>31</v>
      </c>
      <c r="AF7" s="4">
        <v>32</v>
      </c>
      <c r="AG7" s="3">
        <v>33</v>
      </c>
      <c r="AH7" s="4">
        <v>34</v>
      </c>
      <c r="AI7" s="3">
        <v>35</v>
      </c>
      <c r="AJ7" s="4">
        <v>36</v>
      </c>
      <c r="AK7" s="3">
        <v>37</v>
      </c>
      <c r="AL7" s="4">
        <v>38</v>
      </c>
      <c r="AM7" s="3">
        <v>39</v>
      </c>
      <c r="AN7" s="4">
        <v>40</v>
      </c>
      <c r="AO7" s="3">
        <v>41</v>
      </c>
      <c r="AP7" s="4">
        <v>42</v>
      </c>
      <c r="AQ7" s="3">
        <v>43</v>
      </c>
      <c r="AR7" s="4">
        <v>44</v>
      </c>
      <c r="AS7" s="3">
        <v>45</v>
      </c>
      <c r="AT7" s="4">
        <v>46</v>
      </c>
      <c r="AU7" s="3">
        <v>47</v>
      </c>
      <c r="AV7" s="4">
        <v>48</v>
      </c>
      <c r="AW7" s="3">
        <v>49</v>
      </c>
      <c r="AX7" s="4">
        <v>50</v>
      </c>
      <c r="AY7" s="3">
        <v>51</v>
      </c>
      <c r="AZ7" s="4">
        <v>52</v>
      </c>
      <c r="BA7" s="3">
        <v>53</v>
      </c>
      <c r="BB7" s="4">
        <v>54</v>
      </c>
      <c r="BC7" s="3">
        <v>55</v>
      </c>
      <c r="BD7" s="4">
        <v>56</v>
      </c>
      <c r="BE7" s="3">
        <v>57</v>
      </c>
    </row>
    <row r="8" spans="1:57" ht="12.75">
      <c r="A8" s="1" t="s">
        <v>40</v>
      </c>
      <c r="B8" s="2"/>
      <c r="C8" s="2"/>
      <c r="D8" s="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3"/>
      <c r="AT8" s="23"/>
      <c r="AU8" s="23"/>
      <c r="AV8" s="23"/>
      <c r="AW8" s="23"/>
      <c r="AX8" s="2"/>
      <c r="AY8" s="2"/>
      <c r="AZ8" s="2"/>
      <c r="BA8" s="2"/>
      <c r="BB8" s="2"/>
      <c r="BC8" s="2"/>
      <c r="BD8" s="2"/>
      <c r="BE8" s="158"/>
    </row>
    <row r="9" spans="1:57" ht="12.75">
      <c r="A9" s="91" t="s">
        <v>41</v>
      </c>
      <c r="B9" s="58">
        <v>3550.2</v>
      </c>
      <c r="C9" s="47">
        <f>B9*8.65</f>
        <v>30709.23</v>
      </c>
      <c r="D9" s="48">
        <f>C9*0.24088</f>
        <v>7397.239322400001</v>
      </c>
      <c r="E9" s="109">
        <v>2198.37</v>
      </c>
      <c r="F9" s="109">
        <v>536.72</v>
      </c>
      <c r="G9" s="109">
        <v>2967.84</v>
      </c>
      <c r="H9" s="109">
        <v>724.58</v>
      </c>
      <c r="I9" s="109">
        <v>7144.79</v>
      </c>
      <c r="J9" s="109">
        <v>1744.34</v>
      </c>
      <c r="K9" s="109">
        <v>4946.38</v>
      </c>
      <c r="L9" s="109">
        <v>1207.62</v>
      </c>
      <c r="M9" s="109">
        <v>1758.72</v>
      </c>
      <c r="N9" s="109">
        <v>429.37</v>
      </c>
      <c r="O9" s="109">
        <v>0</v>
      </c>
      <c r="P9" s="109">
        <v>0</v>
      </c>
      <c r="Q9" s="109">
        <v>0</v>
      </c>
      <c r="R9" s="109">
        <v>0</v>
      </c>
      <c r="S9" s="59">
        <f>E9+G9+I9+K9+M9+O9+Q9</f>
        <v>19016.100000000002</v>
      </c>
      <c r="T9" s="61">
        <f>P9+N9+L9+J9+H9+F9+R9</f>
        <v>4642.63</v>
      </c>
      <c r="U9" s="59">
        <v>79</v>
      </c>
      <c r="V9" s="59">
        <v>110</v>
      </c>
      <c r="W9" s="59">
        <v>231</v>
      </c>
      <c r="X9" s="59">
        <v>189</v>
      </c>
      <c r="Y9" s="59">
        <v>73</v>
      </c>
      <c r="Z9" s="60">
        <v>0</v>
      </c>
      <c r="AA9" s="60">
        <v>0</v>
      </c>
      <c r="AB9" s="60">
        <f>SUM(U9:AA9)</f>
        <v>682</v>
      </c>
      <c r="AC9" s="159">
        <f>D9+T9+AB9</f>
        <v>12721.869322400002</v>
      </c>
      <c r="AD9" s="160">
        <f>P9+Z9</f>
        <v>0</v>
      </c>
      <c r="AE9" s="64">
        <f>R9+AA9</f>
        <v>0</v>
      </c>
      <c r="AF9" s="64"/>
      <c r="AG9" s="65">
        <f>0.6*B9</f>
        <v>2130.12</v>
      </c>
      <c r="AH9" s="65">
        <f>B9*0.2*1.05826</f>
        <v>751.4069304</v>
      </c>
      <c r="AI9" s="65">
        <f>0.8518*B9-0.01</f>
        <v>3024.0503599999997</v>
      </c>
      <c r="AJ9" s="65">
        <f>AI9*0.18</f>
        <v>544.3290648</v>
      </c>
      <c r="AK9" s="65">
        <f>1.04*B9*0.9531</f>
        <v>3519.0434448</v>
      </c>
      <c r="AL9" s="65">
        <f>AK9*0.18</f>
        <v>633.427820064</v>
      </c>
      <c r="AM9" s="65">
        <f>(1.91)*B9*0.9531</f>
        <v>6462.858634199999</v>
      </c>
      <c r="AN9" s="65">
        <f>AM9*0.18</f>
        <v>1163.3145541559998</v>
      </c>
      <c r="AO9" s="65"/>
      <c r="AP9" s="65">
        <f>AO9*0.18</f>
        <v>0</v>
      </c>
      <c r="AQ9" s="66"/>
      <c r="AR9" s="66"/>
      <c r="AS9" s="67">
        <v>44475.18</v>
      </c>
      <c r="AT9" s="67"/>
      <c r="AU9" s="67">
        <f>(AS9+AT9)*0.18</f>
        <v>8005.5324</v>
      </c>
      <c r="AV9" s="68"/>
      <c r="AW9" s="179"/>
      <c r="AX9" s="65">
        <f>AW9*1.12*1.18</f>
        <v>0</v>
      </c>
      <c r="AY9" s="51"/>
      <c r="AZ9" s="69"/>
      <c r="BA9" s="69">
        <f>AZ9*0.18</f>
        <v>0</v>
      </c>
      <c r="BB9" s="69">
        <f>SUM(AG9:BA9)-AV9-AW9</f>
        <v>70709.26320842</v>
      </c>
      <c r="BC9" s="70"/>
      <c r="BD9" s="139">
        <f>AC9-BB9</f>
        <v>-57987.39388602</v>
      </c>
      <c r="BE9" s="141">
        <f>AB9-S9</f>
        <v>-18334.100000000002</v>
      </c>
    </row>
    <row r="10" spans="1:57" ht="12.75">
      <c r="A10" s="91" t="s">
        <v>42</v>
      </c>
      <c r="B10" s="58">
        <v>3550.2</v>
      </c>
      <c r="C10" s="47">
        <f>B10*8.65</f>
        <v>30709.23</v>
      </c>
      <c r="D10" s="48">
        <f>C10*0.24088</f>
        <v>7397.239322400001</v>
      </c>
      <c r="E10" s="109">
        <v>2198.37</v>
      </c>
      <c r="F10" s="109">
        <v>536.72</v>
      </c>
      <c r="G10" s="109">
        <v>2967.84</v>
      </c>
      <c r="H10" s="109">
        <v>724.58</v>
      </c>
      <c r="I10" s="109">
        <v>7144.79</v>
      </c>
      <c r="J10" s="109">
        <v>1744.34</v>
      </c>
      <c r="K10" s="109">
        <v>4946.38</v>
      </c>
      <c r="L10" s="109">
        <v>1207.62</v>
      </c>
      <c r="M10" s="109">
        <v>1758.72</v>
      </c>
      <c r="N10" s="109">
        <v>429.37</v>
      </c>
      <c r="O10" s="109">
        <v>0</v>
      </c>
      <c r="P10" s="109">
        <v>0</v>
      </c>
      <c r="Q10" s="109">
        <v>0</v>
      </c>
      <c r="R10" s="109">
        <v>0</v>
      </c>
      <c r="S10" s="59">
        <f>E10+G10+I10+K10+M10+O10+Q10</f>
        <v>19016.100000000002</v>
      </c>
      <c r="T10" s="61">
        <f>P10+N10+L10+J10+H10+F10+R10</f>
        <v>4642.63</v>
      </c>
      <c r="U10" s="59">
        <v>1417.88</v>
      </c>
      <c r="V10" s="59">
        <v>1914.15</v>
      </c>
      <c r="W10" s="59">
        <v>4591.54</v>
      </c>
      <c r="X10" s="59">
        <v>3190.24</v>
      </c>
      <c r="Y10" s="59">
        <v>1134.35</v>
      </c>
      <c r="Z10" s="60">
        <v>0</v>
      </c>
      <c r="AA10" s="60">
        <v>0</v>
      </c>
      <c r="AB10" s="103">
        <f>SUM(U10:AA10)</f>
        <v>12248.16</v>
      </c>
      <c r="AC10" s="63">
        <f>D10+T10+AB10</f>
        <v>24288.0293224</v>
      </c>
      <c r="AD10" s="64">
        <f>P10+Z10</f>
        <v>0</v>
      </c>
      <c r="AE10" s="64">
        <f>R10+AA10</f>
        <v>0</v>
      </c>
      <c r="AF10" s="64"/>
      <c r="AG10" s="65">
        <f>0.6*B10</f>
        <v>2130.12</v>
      </c>
      <c r="AH10" s="65">
        <f>B10*0.201</f>
        <v>713.5902</v>
      </c>
      <c r="AI10" s="65">
        <f>0.8518*B10-0.01</f>
        <v>3024.0503599999997</v>
      </c>
      <c r="AJ10" s="65">
        <f>AI10*0.18</f>
        <v>544.3290648</v>
      </c>
      <c r="AK10" s="65">
        <f>1.04*B10*0.9532</f>
        <v>3519.4126656000003</v>
      </c>
      <c r="AL10" s="65">
        <f>AK10*0.18</f>
        <v>633.494279808</v>
      </c>
      <c r="AM10" s="65">
        <f>(1.91)*B10*0.9531</f>
        <v>6462.858634199999</v>
      </c>
      <c r="AN10" s="65">
        <f>AM10*0.18</f>
        <v>1163.3145541559998</v>
      </c>
      <c r="AO10" s="65"/>
      <c r="AP10" s="65">
        <f>AO10*0.18</f>
        <v>0</v>
      </c>
      <c r="AQ10" s="66"/>
      <c r="AR10" s="66"/>
      <c r="AS10" s="67">
        <v>9824</v>
      </c>
      <c r="AT10" s="67"/>
      <c r="AU10" s="67">
        <f>(AS10+AT10)*0.18</f>
        <v>1768.32</v>
      </c>
      <c r="AV10" s="68"/>
      <c r="AW10" s="179"/>
      <c r="AX10" s="65">
        <f>AW10*1.12*1.18</f>
        <v>0</v>
      </c>
      <c r="AY10" s="51"/>
      <c r="AZ10" s="69"/>
      <c r="BA10" s="69">
        <f>AZ10*0.18</f>
        <v>0</v>
      </c>
      <c r="BB10" s="69">
        <f>SUM(AG10:BA10)-AV10-AW10</f>
        <v>29783.489758564</v>
      </c>
      <c r="BC10" s="70"/>
      <c r="BD10" s="139">
        <f>AC10-BB10</f>
        <v>-5495.460436163998</v>
      </c>
      <c r="BE10" s="141">
        <f>AB10-S10</f>
        <v>-6767.940000000002</v>
      </c>
    </row>
    <row r="11" spans="1:57" ht="12.75">
      <c r="A11" s="91" t="s">
        <v>43</v>
      </c>
      <c r="B11" s="58">
        <v>3550.2</v>
      </c>
      <c r="C11" s="47">
        <f>B11*8.65</f>
        <v>30709.23</v>
      </c>
      <c r="D11" s="48">
        <f>C11*0.24035</f>
        <v>7380.9634305</v>
      </c>
      <c r="E11" s="109">
        <v>2413.87</v>
      </c>
      <c r="F11" s="109">
        <v>489.47</v>
      </c>
      <c r="G11" s="109">
        <v>3258.74</v>
      </c>
      <c r="H11" s="109">
        <v>660.8</v>
      </c>
      <c r="I11" s="109">
        <v>7845.08</v>
      </c>
      <c r="J11" s="109">
        <v>1590.79</v>
      </c>
      <c r="K11" s="109">
        <v>5431.23</v>
      </c>
      <c r="L11" s="109">
        <v>1101.32</v>
      </c>
      <c r="M11" s="109">
        <v>1931.08</v>
      </c>
      <c r="N11" s="109">
        <v>391.6</v>
      </c>
      <c r="O11" s="109">
        <v>0</v>
      </c>
      <c r="P11" s="62">
        <v>0</v>
      </c>
      <c r="Q11" s="109">
        <v>0</v>
      </c>
      <c r="R11" s="62">
        <v>0</v>
      </c>
      <c r="S11" s="59">
        <f>E11+G11+I11+K11+M11+O11+Q11</f>
        <v>20880</v>
      </c>
      <c r="T11" s="61">
        <f>P11+N11+L11+J11+H11+F11+R11</f>
        <v>4233.9800000000005</v>
      </c>
      <c r="U11" s="59">
        <v>2236.87</v>
      </c>
      <c r="V11" s="59">
        <v>3019.84</v>
      </c>
      <c r="W11" s="59">
        <v>7304.81</v>
      </c>
      <c r="X11" s="59">
        <v>5032.49</v>
      </c>
      <c r="Y11" s="59">
        <v>1789.3</v>
      </c>
      <c r="Z11" s="60">
        <v>0</v>
      </c>
      <c r="AA11" s="60">
        <v>0</v>
      </c>
      <c r="AB11" s="103">
        <f>SUM(U11:AA11)</f>
        <v>19383.31</v>
      </c>
      <c r="AC11" s="63">
        <f>D11+T11+AB11</f>
        <v>30998.2534305</v>
      </c>
      <c r="AD11" s="64">
        <f>P11+Z11</f>
        <v>0</v>
      </c>
      <c r="AE11" s="64">
        <f>R11+AA11</f>
        <v>0</v>
      </c>
      <c r="AF11" s="64"/>
      <c r="AG11" s="65">
        <f>0.6*B11</f>
        <v>2130.12</v>
      </c>
      <c r="AH11" s="65">
        <f>B11*0.2*1.02524</f>
        <v>727.9614095999999</v>
      </c>
      <c r="AI11" s="65">
        <f>0.84932*B11</f>
        <v>3015.2558639999997</v>
      </c>
      <c r="AJ11" s="65">
        <f>AI11*0.18</f>
        <v>542.7460555199999</v>
      </c>
      <c r="AK11" s="65">
        <f>1.04*B11*0.95033</f>
        <v>3508.8160286400002</v>
      </c>
      <c r="AL11" s="65">
        <f>AK11*0.18</f>
        <v>631.5868851552</v>
      </c>
      <c r="AM11" s="65">
        <f>(1.91)*B11*0.95033</f>
        <v>6444.07559106</v>
      </c>
      <c r="AN11" s="65">
        <f>AM11*0.18</f>
        <v>1159.9336063908</v>
      </c>
      <c r="AO11" s="65"/>
      <c r="AP11" s="65">
        <f>AO11*0.18</f>
        <v>0</v>
      </c>
      <c r="AQ11" s="66"/>
      <c r="AR11" s="66"/>
      <c r="AS11" s="67">
        <v>11610</v>
      </c>
      <c r="AT11" s="67"/>
      <c r="AU11" s="67">
        <f>(AS11+AT11)*0.18</f>
        <v>2089.7999999999997</v>
      </c>
      <c r="AV11" s="68"/>
      <c r="AW11" s="179"/>
      <c r="AX11" s="65">
        <f>AW11*1.12*1.18</f>
        <v>0</v>
      </c>
      <c r="AY11" s="51"/>
      <c r="AZ11" s="69"/>
      <c r="BA11" s="69">
        <f>AZ11*0.18</f>
        <v>0</v>
      </c>
      <c r="BB11" s="69">
        <f>SUM(AG11:BA11)-AV11-AW11</f>
        <v>31860.295440366</v>
      </c>
      <c r="BC11" s="70"/>
      <c r="BD11" s="139">
        <f>AC11-BB11</f>
        <v>-862.0420098659997</v>
      </c>
      <c r="BE11" s="141">
        <f>AB11-S11</f>
        <v>-1496.6899999999987</v>
      </c>
    </row>
    <row r="12" spans="1:57" s="9" customFormat="1" ht="15" customHeight="1">
      <c r="A12" s="6" t="s">
        <v>5</v>
      </c>
      <c r="B12" s="27"/>
      <c r="C12" s="27">
        <f aca="true" t="shared" si="0" ref="C12:BE12">SUM(C9:C11)</f>
        <v>92127.69</v>
      </c>
      <c r="D12" s="27">
        <f t="shared" si="0"/>
        <v>22175.4420753</v>
      </c>
      <c r="E12" s="25">
        <f>SUM(E9:E11)</f>
        <v>6810.61</v>
      </c>
      <c r="F12" s="25">
        <f t="shared" si="0"/>
        <v>1562.91</v>
      </c>
      <c r="G12" s="25">
        <f t="shared" si="0"/>
        <v>9194.42</v>
      </c>
      <c r="H12" s="25">
        <f t="shared" si="0"/>
        <v>2109.96</v>
      </c>
      <c r="I12" s="25">
        <f t="shared" si="0"/>
        <v>22134.66</v>
      </c>
      <c r="J12" s="25">
        <f t="shared" si="0"/>
        <v>5079.469999999999</v>
      </c>
      <c r="K12" s="25">
        <f t="shared" si="0"/>
        <v>15323.99</v>
      </c>
      <c r="L12" s="25">
        <f t="shared" si="0"/>
        <v>3516.5599999999995</v>
      </c>
      <c r="M12" s="25">
        <f t="shared" si="0"/>
        <v>5448.52</v>
      </c>
      <c r="N12" s="25">
        <f t="shared" si="0"/>
        <v>1250.3400000000001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58912.200000000004</v>
      </c>
      <c r="T12" s="25">
        <f t="shared" si="0"/>
        <v>13519.240000000002</v>
      </c>
      <c r="U12" s="28">
        <f t="shared" si="0"/>
        <v>3733.75</v>
      </c>
      <c r="V12" s="28">
        <f t="shared" si="0"/>
        <v>5043.99</v>
      </c>
      <c r="W12" s="28">
        <f t="shared" si="0"/>
        <v>12127.35</v>
      </c>
      <c r="X12" s="28">
        <f t="shared" si="0"/>
        <v>8411.73</v>
      </c>
      <c r="Y12" s="28">
        <f t="shared" si="0"/>
        <v>2996.6499999999996</v>
      </c>
      <c r="Z12" s="28">
        <f t="shared" si="0"/>
        <v>0</v>
      </c>
      <c r="AA12" s="28">
        <f t="shared" si="0"/>
        <v>0</v>
      </c>
      <c r="AB12" s="28">
        <f t="shared" si="0"/>
        <v>32313.47</v>
      </c>
      <c r="AC12" s="28">
        <f t="shared" si="0"/>
        <v>68008.15207530001</v>
      </c>
      <c r="AD12" s="28">
        <f>SUM(AD9:AD11)</f>
        <v>0</v>
      </c>
      <c r="AE12" s="45">
        <f t="shared" si="0"/>
        <v>0</v>
      </c>
      <c r="AF12" s="45">
        <f t="shared" si="0"/>
        <v>0</v>
      </c>
      <c r="AG12" s="7">
        <f t="shared" si="0"/>
        <v>6390.36</v>
      </c>
      <c r="AH12" s="7">
        <f t="shared" si="0"/>
        <v>2192.95854</v>
      </c>
      <c r="AI12" s="7">
        <f t="shared" si="0"/>
        <v>9063.356584</v>
      </c>
      <c r="AJ12" s="7">
        <f t="shared" si="0"/>
        <v>1631.40418512</v>
      </c>
      <c r="AK12" s="7">
        <f t="shared" si="0"/>
        <v>10547.27213904</v>
      </c>
      <c r="AL12" s="7">
        <f t="shared" si="0"/>
        <v>1898.5089850272</v>
      </c>
      <c r="AM12" s="7">
        <f>SUM(AM9:AM11)</f>
        <v>19369.792859459998</v>
      </c>
      <c r="AN12" s="7">
        <f>SUM(AN9:AN11)</f>
        <v>3486.5627147027994</v>
      </c>
      <c r="AO12" s="7">
        <f t="shared" si="0"/>
        <v>0</v>
      </c>
      <c r="AP12" s="7">
        <f t="shared" si="0"/>
        <v>0</v>
      </c>
      <c r="AQ12" s="7">
        <f>SUM(AQ9:AQ11)</f>
        <v>0</v>
      </c>
      <c r="AR12" s="7">
        <f>SUM(AR9:AR11)</f>
        <v>0</v>
      </c>
      <c r="AS12" s="7">
        <f>SUM(AS9:AS11)</f>
        <v>65909.18</v>
      </c>
      <c r="AT12" s="7">
        <f>SUM(AT9:AT11)</f>
        <v>0</v>
      </c>
      <c r="AU12" s="7">
        <f>SUM(AU9:AU11)</f>
        <v>11863.652399999999</v>
      </c>
      <c r="AV12" s="7"/>
      <c r="AW12" s="7"/>
      <c r="AX12" s="7">
        <f t="shared" si="0"/>
        <v>0</v>
      </c>
      <c r="AY12" s="7">
        <f t="shared" si="0"/>
        <v>0</v>
      </c>
      <c r="AZ12" s="7">
        <f t="shared" si="0"/>
        <v>0</v>
      </c>
      <c r="BA12" s="7">
        <f t="shared" si="0"/>
        <v>0</v>
      </c>
      <c r="BB12" s="7">
        <f t="shared" si="0"/>
        <v>132353.04840735</v>
      </c>
      <c r="BC12" s="7">
        <f t="shared" si="0"/>
        <v>0</v>
      </c>
      <c r="BD12" s="7">
        <f t="shared" si="0"/>
        <v>-64344.89633204999</v>
      </c>
      <c r="BE12" s="8">
        <f t="shared" si="0"/>
        <v>-26598.730000000003</v>
      </c>
    </row>
    <row r="13" spans="1:57" ht="15" customHeight="1">
      <c r="A13" s="1" t="s">
        <v>44</v>
      </c>
      <c r="B13" s="157"/>
      <c r="C13" s="26"/>
      <c r="D13" s="26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5"/>
      <c r="R13" s="165"/>
      <c r="S13" s="165"/>
      <c r="T13" s="165"/>
      <c r="U13" s="166"/>
      <c r="V13" s="166"/>
      <c r="W13" s="166"/>
      <c r="X13" s="166"/>
      <c r="Y13" s="166"/>
      <c r="Z13" s="166"/>
      <c r="AA13" s="167"/>
      <c r="AB13" s="167"/>
      <c r="AC13" s="44"/>
      <c r="AD13" s="44"/>
      <c r="AE13" s="170"/>
      <c r="AF13" s="170"/>
      <c r="AG13" s="139"/>
      <c r="AH13" s="139"/>
      <c r="AI13" s="139"/>
      <c r="AJ13" s="139"/>
      <c r="AK13" s="139"/>
      <c r="AL13" s="139"/>
      <c r="AM13" s="139"/>
      <c r="AN13" s="139"/>
      <c r="AO13" s="140"/>
      <c r="AP13" s="140"/>
      <c r="AQ13" s="140"/>
      <c r="AR13" s="140"/>
      <c r="AS13" s="168"/>
      <c r="AT13" s="168"/>
      <c r="AU13" s="169"/>
      <c r="AV13" s="169"/>
      <c r="AW13" s="169"/>
      <c r="AX13" s="140"/>
      <c r="AY13" s="140"/>
      <c r="AZ13" s="140"/>
      <c r="BA13" s="139"/>
      <c r="BB13" s="139"/>
      <c r="BC13" s="139"/>
      <c r="BD13" s="139"/>
      <c r="BE13" s="141"/>
    </row>
    <row r="14" spans="1:57" ht="12.75">
      <c r="A14" s="91" t="s">
        <v>45</v>
      </c>
      <c r="B14" s="72">
        <v>3550.2</v>
      </c>
      <c r="C14" s="47">
        <f aca="true" t="shared" si="1" ref="C14:C25">B14*8.65</f>
        <v>30709.23</v>
      </c>
      <c r="D14" s="48">
        <f>C14*0.125</f>
        <v>3838.65375</v>
      </c>
      <c r="E14" s="109">
        <v>2152.66</v>
      </c>
      <c r="F14" s="109">
        <v>512.56</v>
      </c>
      <c r="G14" s="109">
        <v>2906.09</v>
      </c>
      <c r="H14" s="109">
        <v>691.96</v>
      </c>
      <c r="I14" s="109">
        <v>6965.38</v>
      </c>
      <c r="J14" s="109">
        <v>1665.82</v>
      </c>
      <c r="K14" s="109">
        <v>4843.49</v>
      </c>
      <c r="L14" s="109">
        <v>1153.26</v>
      </c>
      <c r="M14" s="109">
        <v>1722.13</v>
      </c>
      <c r="N14" s="109">
        <v>410.05</v>
      </c>
      <c r="O14" s="109">
        <v>0</v>
      </c>
      <c r="P14" s="62">
        <v>0</v>
      </c>
      <c r="Q14" s="109">
        <v>0</v>
      </c>
      <c r="R14" s="62">
        <v>0</v>
      </c>
      <c r="S14" s="59">
        <f aca="true" t="shared" si="2" ref="S14:S25">E14+G14+I14+K14+M14+O14+Q14</f>
        <v>18589.750000000004</v>
      </c>
      <c r="T14" s="61">
        <f aca="true" t="shared" si="3" ref="T14:T25">P14+N14+L14+J14+H14+F14+R14</f>
        <v>4433.65</v>
      </c>
      <c r="U14" s="59">
        <v>1584.82</v>
      </c>
      <c r="V14" s="59">
        <v>2136.15</v>
      </c>
      <c r="W14" s="59">
        <v>5134.4</v>
      </c>
      <c r="X14" s="59">
        <v>3555.26</v>
      </c>
      <c r="Y14" s="59">
        <v>1258.29</v>
      </c>
      <c r="Z14" s="60">
        <v>0</v>
      </c>
      <c r="AA14" s="60">
        <v>0</v>
      </c>
      <c r="AB14" s="49">
        <f aca="true" t="shared" si="4" ref="AB14:AB22">SUM(U14:AA14)</f>
        <v>13668.919999999998</v>
      </c>
      <c r="AC14" s="63">
        <f aca="true" t="shared" si="5" ref="AC14:AC22">D14+T14+AB14</f>
        <v>21941.223749999997</v>
      </c>
      <c r="AD14" s="64">
        <f aca="true" t="shared" si="6" ref="AD14:AD25">P14+Z14</f>
        <v>0</v>
      </c>
      <c r="AE14" s="64">
        <f aca="true" t="shared" si="7" ref="AE14:AE25">R14+AA14</f>
        <v>0</v>
      </c>
      <c r="AF14" s="64"/>
      <c r="AG14" s="65">
        <f>0.6*B14*0.9</f>
        <v>1917.108</v>
      </c>
      <c r="AH14" s="65">
        <f>B14*0.2*0.891</f>
        <v>632.64564</v>
      </c>
      <c r="AI14" s="65">
        <f>0.85*B14*0.867-0.02</f>
        <v>2616.29989</v>
      </c>
      <c r="AJ14" s="65">
        <f aca="true" t="shared" si="8" ref="AJ14:AJ25">AI14*0.18</f>
        <v>470.93398019999995</v>
      </c>
      <c r="AK14" s="65">
        <f>0.83*B14*0.8686</f>
        <v>2559.4740876</v>
      </c>
      <c r="AL14" s="65">
        <f aca="true" t="shared" si="9" ref="AL14:AL25">AK14*0.18</f>
        <v>460.705335768</v>
      </c>
      <c r="AM14" s="65">
        <f>1.91*B14*0.8686</f>
        <v>5889.8741052</v>
      </c>
      <c r="AN14" s="65">
        <f aca="true" t="shared" si="10" ref="AN14:AN25">AM14*0.18</f>
        <v>1060.1773389359998</v>
      </c>
      <c r="AO14" s="65"/>
      <c r="AP14" s="65">
        <f aca="true" t="shared" si="11" ref="AP14:AR25">AO14*0.18</f>
        <v>0</v>
      </c>
      <c r="AQ14" s="66"/>
      <c r="AR14" s="66">
        <f>AQ14*0.18</f>
        <v>0</v>
      </c>
      <c r="AS14" s="67">
        <v>6988</v>
      </c>
      <c r="AT14" s="67"/>
      <c r="AU14" s="67">
        <f>(AS14+AT14)*0.18+0.01</f>
        <v>1257.85</v>
      </c>
      <c r="AV14" s="68"/>
      <c r="AW14" s="179">
        <v>530</v>
      </c>
      <c r="AX14" s="65">
        <f aca="true" t="shared" si="12" ref="AX14:AX25">AW14*1.12*1.18</f>
        <v>700.448</v>
      </c>
      <c r="AY14" s="51"/>
      <c r="AZ14" s="69"/>
      <c r="BA14" s="69">
        <f>AZ14*0.18</f>
        <v>0</v>
      </c>
      <c r="BB14" s="69">
        <f aca="true" t="shared" si="13" ref="BB14:BB24">SUM(AG14:BA14)-AV14-AW14</f>
        <v>24553.516377703996</v>
      </c>
      <c r="BC14" s="70"/>
      <c r="BD14" s="139">
        <f>AC14+AF14-BB14-BC14</f>
        <v>-2612.2926277039987</v>
      </c>
      <c r="BE14" s="141">
        <f>AB14-S14</f>
        <v>-4920.830000000005</v>
      </c>
    </row>
    <row r="15" spans="1:57" ht="12.75">
      <c r="A15" s="91" t="s">
        <v>46</v>
      </c>
      <c r="B15" s="72">
        <v>3549.6</v>
      </c>
      <c r="C15" s="47">
        <f t="shared" si="1"/>
        <v>30704.04</v>
      </c>
      <c r="D15" s="48">
        <f>C15*0.125</f>
        <v>3838.005</v>
      </c>
      <c r="E15" s="109">
        <v>2386.68</v>
      </c>
      <c r="F15" s="109">
        <v>524.36</v>
      </c>
      <c r="G15" s="109">
        <v>3222.05</v>
      </c>
      <c r="H15" s="109">
        <v>707.89</v>
      </c>
      <c r="I15" s="109">
        <v>7756.75</v>
      </c>
      <c r="J15" s="109">
        <v>1704.17</v>
      </c>
      <c r="K15" s="109">
        <v>5370.05</v>
      </c>
      <c r="L15" s="109">
        <v>1179.81</v>
      </c>
      <c r="M15" s="109">
        <v>1909.36</v>
      </c>
      <c r="N15" s="109">
        <v>419.49</v>
      </c>
      <c r="O15" s="109">
        <v>0</v>
      </c>
      <c r="P15" s="62">
        <v>0</v>
      </c>
      <c r="Q15" s="109">
        <v>0</v>
      </c>
      <c r="R15" s="62">
        <v>0</v>
      </c>
      <c r="S15" s="59">
        <f t="shared" si="2"/>
        <v>20644.89</v>
      </c>
      <c r="T15" s="61">
        <f t="shared" si="3"/>
        <v>4535.72</v>
      </c>
      <c r="U15" s="59">
        <v>1512.43</v>
      </c>
      <c r="V15" s="59">
        <v>2041.84</v>
      </c>
      <c r="W15" s="59">
        <v>4915.2</v>
      </c>
      <c r="X15" s="59">
        <v>3402.92</v>
      </c>
      <c r="Y15" s="59">
        <v>1209.94</v>
      </c>
      <c r="Z15" s="60">
        <v>0</v>
      </c>
      <c r="AA15" s="60">
        <v>0</v>
      </c>
      <c r="AB15" s="103">
        <f t="shared" si="4"/>
        <v>13082.33</v>
      </c>
      <c r="AC15" s="63">
        <f t="shared" si="5"/>
        <v>21456.055</v>
      </c>
      <c r="AD15" s="64">
        <f t="shared" si="6"/>
        <v>0</v>
      </c>
      <c r="AE15" s="64">
        <f t="shared" si="7"/>
        <v>0</v>
      </c>
      <c r="AF15" s="64"/>
      <c r="AG15" s="65">
        <f>0.6*B15*0.9</f>
        <v>1916.7839999999999</v>
      </c>
      <c r="AH15" s="65">
        <f>B15*0.2*0.9153</f>
        <v>649.7897760000001</v>
      </c>
      <c r="AI15" s="65">
        <f>0.85*B15*0.866</f>
        <v>2612.8605599999996</v>
      </c>
      <c r="AJ15" s="65">
        <f t="shared" si="8"/>
        <v>470.3149007999999</v>
      </c>
      <c r="AK15" s="65">
        <f>0.83*B15*0.8684</f>
        <v>2558.4522911999998</v>
      </c>
      <c r="AL15" s="65">
        <f t="shared" si="9"/>
        <v>460.5214124159999</v>
      </c>
      <c r="AM15" s="65">
        <f>(1.91)*B15*0.8684</f>
        <v>5887.5227423999995</v>
      </c>
      <c r="AN15" s="65">
        <f t="shared" si="10"/>
        <v>1059.754093632</v>
      </c>
      <c r="AO15" s="65"/>
      <c r="AP15" s="65">
        <f t="shared" si="11"/>
        <v>0</v>
      </c>
      <c r="AQ15" s="66"/>
      <c r="AR15" s="66">
        <f>AQ15*0.18</f>
        <v>0</v>
      </c>
      <c r="AS15" s="67">
        <v>30214</v>
      </c>
      <c r="AT15" s="67"/>
      <c r="AU15" s="67">
        <f>(AS15+AT15)*0.18</f>
        <v>5438.5199999999995</v>
      </c>
      <c r="AV15" s="68"/>
      <c r="AW15" s="179">
        <v>654</v>
      </c>
      <c r="AX15" s="65">
        <f t="shared" si="12"/>
        <v>864.3263999999999</v>
      </c>
      <c r="AY15" s="51"/>
      <c r="AZ15" s="69"/>
      <c r="BA15" s="69">
        <f>AZ15*0.18</f>
        <v>0</v>
      </c>
      <c r="BB15" s="69">
        <f t="shared" si="13"/>
        <v>52132.846176447994</v>
      </c>
      <c r="BC15" s="161"/>
      <c r="BD15" s="139">
        <f aca="true" t="shared" si="14" ref="BD15:BD25">AC15+AF15-BB15-BC15</f>
        <v>-30676.791176447994</v>
      </c>
      <c r="BE15" s="141">
        <f aca="true" t="shared" si="15" ref="BE15:BE25">AB15-S15</f>
        <v>-7562.5599999999995</v>
      </c>
    </row>
    <row r="16" spans="1:57" ht="12.75">
      <c r="A16" s="91" t="s">
        <v>47</v>
      </c>
      <c r="B16" s="180">
        <v>3549.6</v>
      </c>
      <c r="C16" s="47">
        <f t="shared" si="1"/>
        <v>30704.04</v>
      </c>
      <c r="D16" s="48">
        <f>C16*0.125</f>
        <v>3838.005</v>
      </c>
      <c r="E16" s="109">
        <v>2346.8</v>
      </c>
      <c r="F16" s="109">
        <v>524.36</v>
      </c>
      <c r="G16" s="109">
        <v>3168.21</v>
      </c>
      <c r="H16" s="109">
        <v>707.89</v>
      </c>
      <c r="I16" s="109">
        <v>7627.16</v>
      </c>
      <c r="J16" s="109">
        <v>1704.17</v>
      </c>
      <c r="K16" s="109">
        <v>5280.33</v>
      </c>
      <c r="L16" s="109">
        <v>1179.81</v>
      </c>
      <c r="M16" s="109">
        <v>1877.46</v>
      </c>
      <c r="N16" s="109">
        <v>419.49</v>
      </c>
      <c r="O16" s="109">
        <v>0</v>
      </c>
      <c r="P16" s="62">
        <v>0</v>
      </c>
      <c r="Q16" s="109">
        <v>0</v>
      </c>
      <c r="R16" s="62">
        <v>0</v>
      </c>
      <c r="S16" s="59">
        <f t="shared" si="2"/>
        <v>20299.96</v>
      </c>
      <c r="T16" s="61">
        <f t="shared" si="3"/>
        <v>4535.72</v>
      </c>
      <c r="U16" s="43">
        <v>2573.72</v>
      </c>
      <c r="V16" s="43">
        <v>3474.51</v>
      </c>
      <c r="W16" s="43">
        <v>8364.16</v>
      </c>
      <c r="X16" s="43">
        <v>5790.9</v>
      </c>
      <c r="Y16" s="43">
        <v>2059.02</v>
      </c>
      <c r="Z16" s="52">
        <v>0</v>
      </c>
      <c r="AA16" s="52">
        <v>0</v>
      </c>
      <c r="AB16" s="49">
        <f t="shared" si="4"/>
        <v>22262.31</v>
      </c>
      <c r="AC16" s="63">
        <f t="shared" si="5"/>
        <v>30636.035000000003</v>
      </c>
      <c r="AD16" s="64">
        <f t="shared" si="6"/>
        <v>0</v>
      </c>
      <c r="AE16" s="64">
        <f t="shared" si="7"/>
        <v>0</v>
      </c>
      <c r="AF16" s="64"/>
      <c r="AG16" s="65">
        <f>0.6*B16*0.9</f>
        <v>1916.7839999999999</v>
      </c>
      <c r="AH16" s="53">
        <f>B16*0.2*0.9082-0.01</f>
        <v>644.7393440000001</v>
      </c>
      <c r="AI16" s="65">
        <f>0.85*B16*0.8675+0.01</f>
        <v>2617.3963000000003</v>
      </c>
      <c r="AJ16" s="65">
        <f t="shared" si="8"/>
        <v>471.13133400000004</v>
      </c>
      <c r="AK16" s="53">
        <f>0.83*B16*0.838</f>
        <v>2468.8887839999998</v>
      </c>
      <c r="AL16" s="65">
        <f t="shared" si="9"/>
        <v>444.39998111999995</v>
      </c>
      <c r="AM16" s="65">
        <f>1.91*B16*0.838</f>
        <v>5681.418768</v>
      </c>
      <c r="AN16" s="65">
        <f t="shared" si="10"/>
        <v>1022.6553782399999</v>
      </c>
      <c r="AO16" s="65"/>
      <c r="AP16" s="65">
        <f t="shared" si="11"/>
        <v>0</v>
      </c>
      <c r="AQ16" s="66"/>
      <c r="AR16" s="66">
        <f>AQ16*0.18</f>
        <v>0</v>
      </c>
      <c r="AS16" s="67">
        <v>2484</v>
      </c>
      <c r="AT16" s="67"/>
      <c r="AU16" s="67">
        <f>(AS16+AT16)*0.18</f>
        <v>447.12</v>
      </c>
      <c r="AV16" s="68"/>
      <c r="AW16" s="181">
        <v>617</v>
      </c>
      <c r="AX16" s="65">
        <f t="shared" si="12"/>
        <v>815.4272000000001</v>
      </c>
      <c r="AY16" s="51"/>
      <c r="AZ16" s="69"/>
      <c r="BA16" s="69">
        <f>AZ16*0.18</f>
        <v>0</v>
      </c>
      <c r="BB16" s="69">
        <f t="shared" si="13"/>
        <v>19013.961089359997</v>
      </c>
      <c r="BC16" s="161"/>
      <c r="BD16" s="139">
        <f t="shared" si="14"/>
        <v>11622.073910640007</v>
      </c>
      <c r="BE16" s="141">
        <f t="shared" si="15"/>
        <v>1962.3500000000022</v>
      </c>
    </row>
    <row r="17" spans="1:57" ht="12.75">
      <c r="A17" s="91" t="s">
        <v>48</v>
      </c>
      <c r="B17" s="182">
        <v>3549.6</v>
      </c>
      <c r="C17" s="47">
        <f t="shared" si="1"/>
        <v>30704.04</v>
      </c>
      <c r="D17" s="48">
        <f>C17*0.125</f>
        <v>3838.005</v>
      </c>
      <c r="E17" s="183">
        <v>2430.42</v>
      </c>
      <c r="F17" s="183">
        <v>524.36</v>
      </c>
      <c r="G17" s="183">
        <v>3281.09</v>
      </c>
      <c r="H17" s="183">
        <v>707.89</v>
      </c>
      <c r="I17" s="183">
        <v>7898.89</v>
      </c>
      <c r="J17" s="183">
        <v>1704.17</v>
      </c>
      <c r="K17" s="183">
        <v>5468.47</v>
      </c>
      <c r="L17" s="183">
        <v>1179.81</v>
      </c>
      <c r="M17" s="183">
        <v>1944.35</v>
      </c>
      <c r="N17" s="183">
        <v>419.49</v>
      </c>
      <c r="O17" s="183">
        <v>0</v>
      </c>
      <c r="P17" s="184">
        <v>0</v>
      </c>
      <c r="Q17" s="183">
        <v>0</v>
      </c>
      <c r="R17" s="184">
        <v>0</v>
      </c>
      <c r="S17" s="59">
        <f t="shared" si="2"/>
        <v>21023.22</v>
      </c>
      <c r="T17" s="61">
        <f t="shared" si="3"/>
        <v>4535.72</v>
      </c>
      <c r="U17" s="59">
        <v>1919.05</v>
      </c>
      <c r="V17" s="59">
        <v>2590.72</v>
      </c>
      <c r="W17" s="59">
        <v>6236.38</v>
      </c>
      <c r="X17" s="59">
        <v>4317.94</v>
      </c>
      <c r="Y17" s="59">
        <v>1535.32</v>
      </c>
      <c r="Z17" s="59">
        <v>0</v>
      </c>
      <c r="AA17" s="59">
        <v>0</v>
      </c>
      <c r="AB17" s="49">
        <f t="shared" si="4"/>
        <v>16599.41</v>
      </c>
      <c r="AC17" s="63">
        <f t="shared" si="5"/>
        <v>24973.135000000002</v>
      </c>
      <c r="AD17" s="64">
        <f t="shared" si="6"/>
        <v>0</v>
      </c>
      <c r="AE17" s="64">
        <f t="shared" si="7"/>
        <v>0</v>
      </c>
      <c r="AF17" s="64"/>
      <c r="AG17" s="65">
        <f>0.6*B17*0.9</f>
        <v>1916.7839999999999</v>
      </c>
      <c r="AH17" s="53">
        <f>B17*0.2*0.9234</f>
        <v>655.5401280000001</v>
      </c>
      <c r="AI17" s="65">
        <f>0.85*B17*0.8934</f>
        <v>2695.5307439999997</v>
      </c>
      <c r="AJ17" s="65">
        <f t="shared" si="8"/>
        <v>485.19553391999995</v>
      </c>
      <c r="AK17" s="65">
        <f>0.83*B17*0.8498</f>
        <v>2503.6535664</v>
      </c>
      <c r="AL17" s="65">
        <f t="shared" si="9"/>
        <v>450.65764195199995</v>
      </c>
      <c r="AM17" s="65">
        <f>(1.91)*B17*0.8498</f>
        <v>5761.4196528</v>
      </c>
      <c r="AN17" s="65">
        <f t="shared" si="10"/>
        <v>1037.055537504</v>
      </c>
      <c r="AO17" s="65"/>
      <c r="AP17" s="65">
        <f t="shared" si="11"/>
        <v>0</v>
      </c>
      <c r="AQ17" s="66">
        <f>4923.83</f>
        <v>4923.83</v>
      </c>
      <c r="AR17" s="66">
        <f t="shared" si="11"/>
        <v>886.2894</v>
      </c>
      <c r="AS17" s="67">
        <v>1144.53</v>
      </c>
      <c r="AT17" s="67"/>
      <c r="AU17" s="67">
        <f>(AS17+AT17)*0.18</f>
        <v>206.0154</v>
      </c>
      <c r="AV17" s="68"/>
      <c r="AW17" s="185">
        <v>671</v>
      </c>
      <c r="AX17" s="65">
        <f t="shared" si="12"/>
        <v>886.7936000000001</v>
      </c>
      <c r="AY17"/>
      <c r="AZ17" s="69"/>
      <c r="BA17" s="69">
        <f>AZ17*0.18</f>
        <v>0</v>
      </c>
      <c r="BB17" s="69">
        <f t="shared" si="13"/>
        <v>23553.295204576003</v>
      </c>
      <c r="BC17" s="161"/>
      <c r="BD17" s="139">
        <f t="shared" si="14"/>
        <v>1419.839795423999</v>
      </c>
      <c r="BE17" s="141">
        <f t="shared" si="15"/>
        <v>-4423.810000000001</v>
      </c>
    </row>
    <row r="18" spans="1:57" ht="12.75">
      <c r="A18" s="91" t="s">
        <v>49</v>
      </c>
      <c r="B18" s="180">
        <v>3549.6</v>
      </c>
      <c r="C18" s="47">
        <f t="shared" si="1"/>
        <v>30704.04</v>
      </c>
      <c r="D18" s="54">
        <f aca="true" t="shared" si="16" ref="D18:D25">C18-E18-F18-G18-H18-I18-J18-K18-L18-M18-N18</f>
        <v>2616.520000000001</v>
      </c>
      <c r="E18" s="183">
        <v>2665.48</v>
      </c>
      <c r="F18" s="183">
        <v>576.56</v>
      </c>
      <c r="G18" s="183">
        <v>3609.89</v>
      </c>
      <c r="H18" s="183">
        <v>781.5</v>
      </c>
      <c r="I18" s="183">
        <v>8674.37</v>
      </c>
      <c r="J18" s="183">
        <v>1876.89</v>
      </c>
      <c r="K18" s="183">
        <v>6008.86</v>
      </c>
      <c r="L18" s="183">
        <v>1300.36</v>
      </c>
      <c r="M18" s="183">
        <v>2132.42</v>
      </c>
      <c r="N18" s="183">
        <v>461.19</v>
      </c>
      <c r="O18" s="183">
        <v>0</v>
      </c>
      <c r="P18" s="184">
        <v>0</v>
      </c>
      <c r="Q18" s="183">
        <v>0</v>
      </c>
      <c r="R18" s="184">
        <v>0</v>
      </c>
      <c r="S18" s="59">
        <f t="shared" si="2"/>
        <v>23091.020000000004</v>
      </c>
      <c r="T18" s="61">
        <f t="shared" si="3"/>
        <v>4996.5</v>
      </c>
      <c r="U18" s="43">
        <v>1967.64</v>
      </c>
      <c r="V18" s="43">
        <v>2656.26</v>
      </c>
      <c r="W18" s="43">
        <v>6394.26</v>
      </c>
      <c r="X18" s="43">
        <v>4427.22</v>
      </c>
      <c r="Y18" s="43">
        <v>1574.09</v>
      </c>
      <c r="Z18" s="52">
        <v>0</v>
      </c>
      <c r="AA18" s="52">
        <v>0</v>
      </c>
      <c r="AB18" s="49">
        <f t="shared" si="4"/>
        <v>17019.47</v>
      </c>
      <c r="AC18" s="63">
        <f t="shared" si="5"/>
        <v>24632.49</v>
      </c>
      <c r="AD18" s="64">
        <f t="shared" si="6"/>
        <v>0</v>
      </c>
      <c r="AE18" s="64">
        <f t="shared" si="7"/>
        <v>0</v>
      </c>
      <c r="AF18" s="64"/>
      <c r="AG18" s="65">
        <f aca="true" t="shared" si="17" ref="AG18:AG25">0.6*B18</f>
        <v>2129.7599999999998</v>
      </c>
      <c r="AH18" s="65">
        <f>B18*0.2*1.01</f>
        <v>717.0192000000001</v>
      </c>
      <c r="AI18" s="65">
        <f>0.85*B18</f>
        <v>3017.16</v>
      </c>
      <c r="AJ18" s="65">
        <f t="shared" si="8"/>
        <v>543.0888</v>
      </c>
      <c r="AK18" s="65">
        <f>0.83*B18</f>
        <v>2946.1679999999997</v>
      </c>
      <c r="AL18" s="65">
        <f t="shared" si="9"/>
        <v>530.3102399999999</v>
      </c>
      <c r="AM18" s="65">
        <f>(1.91)*B18</f>
        <v>6779.736</v>
      </c>
      <c r="AN18" s="65">
        <f t="shared" si="10"/>
        <v>1220.35248</v>
      </c>
      <c r="AO18" s="65"/>
      <c r="AP18" s="65">
        <f t="shared" si="11"/>
        <v>0</v>
      </c>
      <c r="AQ18" s="66"/>
      <c r="AR18" s="66">
        <f t="shared" si="11"/>
        <v>0</v>
      </c>
      <c r="AS18" s="67">
        <f>2807.67</f>
        <v>2807.67</v>
      </c>
      <c r="AT18" s="67">
        <f>540</f>
        <v>540</v>
      </c>
      <c r="AU18" s="67">
        <f>(AS18+AT18)*0.18</f>
        <v>602.5806</v>
      </c>
      <c r="AV18" s="68"/>
      <c r="AW18" s="185">
        <v>558</v>
      </c>
      <c r="AX18" s="65">
        <f t="shared" si="12"/>
        <v>737.4528</v>
      </c>
      <c r="AY18" s="51"/>
      <c r="AZ18" s="69"/>
      <c r="BA18" s="69">
        <f aca="true" t="shared" si="18" ref="BA18:BA25">AZ18*0.18</f>
        <v>0</v>
      </c>
      <c r="BB18" s="69">
        <f t="shared" si="13"/>
        <v>22571.29812</v>
      </c>
      <c r="BC18" s="161"/>
      <c r="BD18" s="139">
        <f t="shared" si="14"/>
        <v>2061.191880000002</v>
      </c>
      <c r="BE18" s="141">
        <f t="shared" si="15"/>
        <v>-6071.550000000003</v>
      </c>
    </row>
    <row r="19" spans="1:57" ht="12.75">
      <c r="A19" s="91" t="s">
        <v>50</v>
      </c>
      <c r="B19" s="180">
        <v>3549.6</v>
      </c>
      <c r="C19" s="47">
        <f t="shared" si="1"/>
        <v>30704.04</v>
      </c>
      <c r="D19" s="54">
        <f t="shared" si="16"/>
        <v>2455.5200000000036</v>
      </c>
      <c r="E19" s="183">
        <v>2690.24</v>
      </c>
      <c r="F19" s="183">
        <v>570.46</v>
      </c>
      <c r="G19" s="183">
        <v>3643.16</v>
      </c>
      <c r="H19" s="183">
        <v>773.25</v>
      </c>
      <c r="I19" s="183">
        <v>8754.75</v>
      </c>
      <c r="J19" s="183">
        <v>1857.04</v>
      </c>
      <c r="K19" s="183">
        <v>6064.45</v>
      </c>
      <c r="L19" s="183">
        <v>1286.61</v>
      </c>
      <c r="M19" s="183">
        <v>2152.24</v>
      </c>
      <c r="N19" s="183">
        <v>456.32</v>
      </c>
      <c r="O19" s="183">
        <v>0</v>
      </c>
      <c r="P19" s="184">
        <v>0</v>
      </c>
      <c r="Q19" s="183">
        <v>0</v>
      </c>
      <c r="R19" s="184">
        <v>0</v>
      </c>
      <c r="S19" s="59">
        <f t="shared" si="2"/>
        <v>23304.839999999997</v>
      </c>
      <c r="T19" s="61">
        <f t="shared" si="3"/>
        <v>4943.679999999999</v>
      </c>
      <c r="U19" s="43">
        <v>2199.04</v>
      </c>
      <c r="V19" s="43">
        <v>2974.77</v>
      </c>
      <c r="W19" s="43">
        <v>7152.56</v>
      </c>
      <c r="X19" s="43">
        <v>4953.68</v>
      </c>
      <c r="Y19" s="43">
        <v>1759.26</v>
      </c>
      <c r="Z19" s="52">
        <v>0</v>
      </c>
      <c r="AA19" s="52">
        <v>0</v>
      </c>
      <c r="AB19" s="49">
        <f t="shared" si="4"/>
        <v>19039.309999999998</v>
      </c>
      <c r="AC19" s="63">
        <f t="shared" si="5"/>
        <v>26438.510000000002</v>
      </c>
      <c r="AD19" s="64">
        <f t="shared" si="6"/>
        <v>0</v>
      </c>
      <c r="AE19" s="64">
        <f t="shared" si="7"/>
        <v>0</v>
      </c>
      <c r="AF19" s="64"/>
      <c r="AG19" s="65">
        <f t="shared" si="17"/>
        <v>2129.7599999999998</v>
      </c>
      <c r="AH19" s="65">
        <f>B19*0.2*1.01045-0.01</f>
        <v>717.3286640000001</v>
      </c>
      <c r="AI19" s="65">
        <f>0.85*B19</f>
        <v>3017.16</v>
      </c>
      <c r="AJ19" s="65">
        <f t="shared" si="8"/>
        <v>543.0888</v>
      </c>
      <c r="AK19" s="65">
        <f>0.83*B19</f>
        <v>2946.1679999999997</v>
      </c>
      <c r="AL19" s="65">
        <f t="shared" si="9"/>
        <v>530.3102399999999</v>
      </c>
      <c r="AM19" s="65">
        <f>(1.91)*B19+0.01</f>
        <v>6779.746</v>
      </c>
      <c r="AN19" s="65">
        <f t="shared" si="10"/>
        <v>1220.35428</v>
      </c>
      <c r="AO19" s="65"/>
      <c r="AP19" s="65">
        <f t="shared" si="11"/>
        <v>0</v>
      </c>
      <c r="AQ19" s="66">
        <f>1076.65+8242.5</f>
        <v>9319.15</v>
      </c>
      <c r="AR19" s="66">
        <f t="shared" si="11"/>
        <v>1677.447</v>
      </c>
      <c r="AS19" s="67"/>
      <c r="AT19" s="67">
        <f>225+240+200</f>
        <v>665</v>
      </c>
      <c r="AU19" s="67">
        <f>(AS19+AT19)*0.18</f>
        <v>119.69999999999999</v>
      </c>
      <c r="AV19" s="68"/>
      <c r="AW19" s="185">
        <v>656</v>
      </c>
      <c r="AX19" s="65">
        <f t="shared" si="12"/>
        <v>866.9696</v>
      </c>
      <c r="AY19" s="51"/>
      <c r="AZ19" s="69"/>
      <c r="BA19" s="69">
        <f t="shared" si="18"/>
        <v>0</v>
      </c>
      <c r="BB19" s="69">
        <f t="shared" si="13"/>
        <v>30532.182584000002</v>
      </c>
      <c r="BC19" s="161"/>
      <c r="BD19" s="139">
        <f t="shared" si="14"/>
        <v>-4093.672584</v>
      </c>
      <c r="BE19" s="141">
        <f t="shared" si="15"/>
        <v>-4265.529999999999</v>
      </c>
    </row>
    <row r="20" spans="1:57" ht="12.75">
      <c r="A20" s="91" t="s">
        <v>51</v>
      </c>
      <c r="B20" s="72">
        <v>3549</v>
      </c>
      <c r="C20" s="47">
        <f t="shared" si="1"/>
        <v>30698.850000000002</v>
      </c>
      <c r="D20" s="54">
        <f t="shared" si="16"/>
        <v>2432.450000000005</v>
      </c>
      <c r="E20" s="183">
        <v>2692.62</v>
      </c>
      <c r="F20" s="183">
        <v>570.19</v>
      </c>
      <c r="G20" s="183">
        <v>3646.27</v>
      </c>
      <c r="H20" s="183">
        <v>772.87</v>
      </c>
      <c r="I20" s="183">
        <v>8762.35</v>
      </c>
      <c r="J20" s="183">
        <v>1856.16</v>
      </c>
      <c r="K20" s="183">
        <v>6069.69</v>
      </c>
      <c r="L20" s="183">
        <v>1286.01</v>
      </c>
      <c r="M20" s="183">
        <v>2154.15</v>
      </c>
      <c r="N20" s="183">
        <v>456.09</v>
      </c>
      <c r="O20" s="183">
        <v>0</v>
      </c>
      <c r="P20" s="184">
        <v>0</v>
      </c>
      <c r="Q20" s="183">
        <v>0</v>
      </c>
      <c r="R20" s="184">
        <v>0</v>
      </c>
      <c r="S20" s="59">
        <f t="shared" si="2"/>
        <v>23325.08</v>
      </c>
      <c r="T20" s="61">
        <f t="shared" si="3"/>
        <v>4941.32</v>
      </c>
      <c r="U20" s="43">
        <v>2537</v>
      </c>
      <c r="V20" s="43">
        <v>3435.15</v>
      </c>
      <c r="W20" s="43">
        <v>8255.4</v>
      </c>
      <c r="X20" s="43">
        <v>5718.28</v>
      </c>
      <c r="Y20" s="43">
        <v>2029.66</v>
      </c>
      <c r="Z20" s="52">
        <v>0</v>
      </c>
      <c r="AA20" s="52">
        <v>0</v>
      </c>
      <c r="AB20" s="49">
        <f t="shared" si="4"/>
        <v>21975.489999999998</v>
      </c>
      <c r="AC20" s="63">
        <f t="shared" si="5"/>
        <v>29349.260000000002</v>
      </c>
      <c r="AD20" s="64">
        <f t="shared" si="6"/>
        <v>0</v>
      </c>
      <c r="AE20" s="64">
        <f t="shared" si="7"/>
        <v>0</v>
      </c>
      <c r="AF20" s="64"/>
      <c r="AG20" s="65">
        <f t="shared" si="17"/>
        <v>2129.4</v>
      </c>
      <c r="AH20" s="65">
        <f>B20*0.2*0.99425</f>
        <v>705.71865</v>
      </c>
      <c r="AI20" s="65">
        <f>0.85*B20*0.9858</f>
        <v>2973.8135700000003</v>
      </c>
      <c r="AJ20" s="65">
        <f t="shared" si="8"/>
        <v>535.2864426</v>
      </c>
      <c r="AK20" s="65">
        <f>0.83*B20*0.9905</f>
        <v>2917.6861350000004</v>
      </c>
      <c r="AL20" s="65">
        <f t="shared" si="9"/>
        <v>525.1835043000001</v>
      </c>
      <c r="AM20" s="65">
        <f>(1.91)*B20*0.9904</f>
        <v>6713.515536</v>
      </c>
      <c r="AN20" s="65">
        <f t="shared" si="10"/>
        <v>1208.43279648</v>
      </c>
      <c r="AO20" s="65"/>
      <c r="AP20" s="65">
        <f t="shared" si="11"/>
        <v>0</v>
      </c>
      <c r="AQ20" s="66"/>
      <c r="AR20" s="66">
        <f t="shared" si="11"/>
        <v>0</v>
      </c>
      <c r="AS20" s="67"/>
      <c r="AT20" s="67"/>
      <c r="AU20" s="67">
        <f aca="true" t="shared" si="19" ref="AU20:AU25">(AS20+AT20)*0.18</f>
        <v>0</v>
      </c>
      <c r="AV20" s="68"/>
      <c r="AW20" s="185">
        <v>520</v>
      </c>
      <c r="AX20" s="65">
        <f t="shared" si="12"/>
        <v>687.2320000000001</v>
      </c>
      <c r="AY20" s="51"/>
      <c r="AZ20" s="69"/>
      <c r="BA20" s="69">
        <f t="shared" si="18"/>
        <v>0</v>
      </c>
      <c r="BB20" s="69">
        <f t="shared" si="13"/>
        <v>18396.268634379998</v>
      </c>
      <c r="BC20" s="161"/>
      <c r="BD20" s="139">
        <f t="shared" si="14"/>
        <v>10952.991365620004</v>
      </c>
      <c r="BE20" s="141">
        <f t="shared" si="15"/>
        <v>-1349.5900000000038</v>
      </c>
    </row>
    <row r="21" spans="1:57" ht="12.75">
      <c r="A21" s="91" t="s">
        <v>52</v>
      </c>
      <c r="B21" s="72">
        <v>3549</v>
      </c>
      <c r="C21" s="47">
        <f t="shared" si="1"/>
        <v>30698.850000000002</v>
      </c>
      <c r="D21" s="54">
        <f t="shared" si="16"/>
        <v>2432.4500000000053</v>
      </c>
      <c r="E21" s="183">
        <v>2692.62</v>
      </c>
      <c r="F21" s="183">
        <v>570.19</v>
      </c>
      <c r="G21" s="183">
        <v>3646.26</v>
      </c>
      <c r="H21" s="183">
        <v>772.88</v>
      </c>
      <c r="I21" s="183">
        <v>8762.35</v>
      </c>
      <c r="J21" s="183">
        <v>1856.16</v>
      </c>
      <c r="K21" s="183">
        <v>6069.69</v>
      </c>
      <c r="L21" s="183">
        <v>1286</v>
      </c>
      <c r="M21" s="183">
        <v>2154.15</v>
      </c>
      <c r="N21" s="183">
        <v>456.1</v>
      </c>
      <c r="O21" s="183">
        <v>0</v>
      </c>
      <c r="P21" s="184">
        <v>0</v>
      </c>
      <c r="Q21" s="43">
        <v>0</v>
      </c>
      <c r="R21" s="43">
        <v>0</v>
      </c>
      <c r="S21" s="59">
        <f t="shared" si="2"/>
        <v>23325.07</v>
      </c>
      <c r="T21" s="61">
        <f t="shared" si="3"/>
        <v>4941.33</v>
      </c>
      <c r="U21" s="43">
        <v>3062.97</v>
      </c>
      <c r="V21" s="43">
        <v>4146.44</v>
      </c>
      <c r="W21" s="43">
        <v>9965.83</v>
      </c>
      <c r="X21" s="43">
        <v>6903.24</v>
      </c>
      <c r="Y21" s="43">
        <v>2450.38</v>
      </c>
      <c r="Z21" s="52">
        <v>0</v>
      </c>
      <c r="AA21" s="52">
        <v>0</v>
      </c>
      <c r="AB21" s="49">
        <f t="shared" si="4"/>
        <v>26528.859999999997</v>
      </c>
      <c r="AC21" s="63">
        <f t="shared" si="5"/>
        <v>33902.64</v>
      </c>
      <c r="AD21" s="64">
        <f t="shared" si="6"/>
        <v>0</v>
      </c>
      <c r="AE21" s="64">
        <f t="shared" si="7"/>
        <v>0</v>
      </c>
      <c r="AF21" s="64"/>
      <c r="AG21" s="65">
        <f t="shared" si="17"/>
        <v>2129.4</v>
      </c>
      <c r="AH21" s="65">
        <f>B21*0.2*0.99876</f>
        <v>708.919848</v>
      </c>
      <c r="AI21" s="65">
        <f>0.85*B21*0.98525</f>
        <v>2972.1544125</v>
      </c>
      <c r="AJ21" s="65">
        <f t="shared" si="8"/>
        <v>534.98779425</v>
      </c>
      <c r="AK21" s="65">
        <f>0.83*B21*0.99</f>
        <v>2916.2133</v>
      </c>
      <c r="AL21" s="65">
        <f t="shared" si="9"/>
        <v>524.9183939999999</v>
      </c>
      <c r="AM21" s="65">
        <f>(1.91)*B21*0.9899</f>
        <v>6710.126241</v>
      </c>
      <c r="AN21" s="65">
        <f t="shared" si="10"/>
        <v>1207.8227233799998</v>
      </c>
      <c r="AO21" s="65"/>
      <c r="AP21" s="65">
        <f t="shared" si="11"/>
        <v>0</v>
      </c>
      <c r="AQ21" s="66"/>
      <c r="AR21" s="66">
        <f t="shared" si="11"/>
        <v>0</v>
      </c>
      <c r="AS21" s="67">
        <v>3268</v>
      </c>
      <c r="AT21" s="67"/>
      <c r="AU21" s="67">
        <f t="shared" si="19"/>
        <v>588.24</v>
      </c>
      <c r="AV21" s="68"/>
      <c r="AW21" s="185">
        <v>502</v>
      </c>
      <c r="AX21" s="65">
        <f t="shared" si="12"/>
        <v>663.4431999999999</v>
      </c>
      <c r="AY21" s="51"/>
      <c r="AZ21" s="69"/>
      <c r="BA21" s="69">
        <f t="shared" si="18"/>
        <v>0</v>
      </c>
      <c r="BB21" s="69">
        <f t="shared" si="13"/>
        <v>22224.22591313</v>
      </c>
      <c r="BC21" s="161"/>
      <c r="BD21" s="139">
        <f t="shared" si="14"/>
        <v>11678.414086869998</v>
      </c>
      <c r="BE21" s="141">
        <f t="shared" si="15"/>
        <v>3203.7899999999972</v>
      </c>
    </row>
    <row r="22" spans="1:57" ht="12.75">
      <c r="A22" s="91" t="s">
        <v>53</v>
      </c>
      <c r="B22" s="58">
        <v>3549</v>
      </c>
      <c r="C22" s="47">
        <f t="shared" si="1"/>
        <v>30698.850000000002</v>
      </c>
      <c r="D22" s="54">
        <f t="shared" si="16"/>
        <v>2469.3900000000026</v>
      </c>
      <c r="E22" s="109">
        <v>2688.35</v>
      </c>
      <c r="F22" s="109">
        <v>570.19</v>
      </c>
      <c r="G22" s="109">
        <v>3640.51</v>
      </c>
      <c r="H22" s="109">
        <v>772.88</v>
      </c>
      <c r="I22" s="109">
        <v>8748.48</v>
      </c>
      <c r="J22" s="109">
        <v>1856.14</v>
      </c>
      <c r="K22" s="109">
        <v>6060.1</v>
      </c>
      <c r="L22" s="109">
        <v>1286</v>
      </c>
      <c r="M22" s="109">
        <v>2150.71</v>
      </c>
      <c r="N22" s="109">
        <v>456.1</v>
      </c>
      <c r="O22" s="109">
        <v>0</v>
      </c>
      <c r="P22" s="62">
        <v>0</v>
      </c>
      <c r="Q22" s="109">
        <v>0</v>
      </c>
      <c r="R22" s="62">
        <v>0</v>
      </c>
      <c r="S22" s="59">
        <f t="shared" si="2"/>
        <v>23288.15</v>
      </c>
      <c r="T22" s="61">
        <f t="shared" si="3"/>
        <v>4941.3099999999995</v>
      </c>
      <c r="U22" s="59">
        <v>1988.09</v>
      </c>
      <c r="V22" s="59">
        <v>2691.73</v>
      </c>
      <c r="W22" s="59">
        <v>6469.17</v>
      </c>
      <c r="X22" s="59">
        <v>4481.07</v>
      </c>
      <c r="Y22" s="59">
        <v>1590.47</v>
      </c>
      <c r="Z22" s="60">
        <v>0</v>
      </c>
      <c r="AA22" s="60">
        <v>0</v>
      </c>
      <c r="AB22" s="49">
        <f t="shared" si="4"/>
        <v>17220.53</v>
      </c>
      <c r="AC22" s="63">
        <f t="shared" si="5"/>
        <v>24631.230000000003</v>
      </c>
      <c r="AD22" s="64">
        <f t="shared" si="6"/>
        <v>0</v>
      </c>
      <c r="AE22" s="64">
        <f t="shared" si="7"/>
        <v>0</v>
      </c>
      <c r="AF22" s="64"/>
      <c r="AG22" s="65">
        <f t="shared" si="17"/>
        <v>2129.4</v>
      </c>
      <c r="AH22" s="65">
        <f>B22*0.2*0.9997</f>
        <v>709.5870600000001</v>
      </c>
      <c r="AI22" s="65">
        <f>0.85*B22*0.98508</f>
        <v>2971.6415819999997</v>
      </c>
      <c r="AJ22" s="65">
        <f t="shared" si="8"/>
        <v>534.8954847599999</v>
      </c>
      <c r="AK22" s="65">
        <f>0.83*B22*0.98981</f>
        <v>2915.6536227</v>
      </c>
      <c r="AL22" s="65">
        <f t="shared" si="9"/>
        <v>524.817652086</v>
      </c>
      <c r="AM22" s="65">
        <f>(1.91)*B22*0.98981</f>
        <v>6709.5161679</v>
      </c>
      <c r="AN22" s="65">
        <f t="shared" si="10"/>
        <v>1207.712910222</v>
      </c>
      <c r="AO22" s="65"/>
      <c r="AP22" s="65">
        <f t="shared" si="11"/>
        <v>0</v>
      </c>
      <c r="AQ22" s="66"/>
      <c r="AR22" s="66">
        <f t="shared" si="11"/>
        <v>0</v>
      </c>
      <c r="AS22" s="67"/>
      <c r="AT22" s="67"/>
      <c r="AU22" s="67">
        <f t="shared" si="19"/>
        <v>0</v>
      </c>
      <c r="AV22" s="68"/>
      <c r="AW22" s="185">
        <v>833</v>
      </c>
      <c r="AX22" s="65">
        <f t="shared" si="12"/>
        <v>1100.8928</v>
      </c>
      <c r="AY22" s="51"/>
      <c r="AZ22" s="69"/>
      <c r="BA22" s="69">
        <f t="shared" si="18"/>
        <v>0</v>
      </c>
      <c r="BB22" s="69">
        <f t="shared" si="13"/>
        <v>18804.117279668</v>
      </c>
      <c r="BC22" s="161"/>
      <c r="BD22" s="139">
        <f t="shared" si="14"/>
        <v>5827.112720332003</v>
      </c>
      <c r="BE22" s="141">
        <f t="shared" si="15"/>
        <v>-6067.620000000003</v>
      </c>
    </row>
    <row r="23" spans="1:57" ht="12.75">
      <c r="A23" s="91" t="s">
        <v>41</v>
      </c>
      <c r="B23" s="58">
        <v>3549</v>
      </c>
      <c r="C23" s="55">
        <f t="shared" si="1"/>
        <v>30698.850000000002</v>
      </c>
      <c r="D23" s="54">
        <f t="shared" si="16"/>
        <v>2480.680000000002</v>
      </c>
      <c r="E23" s="73">
        <v>2686.95</v>
      </c>
      <c r="F23" s="59">
        <v>570.19</v>
      </c>
      <c r="G23" s="59">
        <v>3638.88</v>
      </c>
      <c r="H23" s="59">
        <v>772.88</v>
      </c>
      <c r="I23" s="59">
        <v>8744.21</v>
      </c>
      <c r="J23" s="59">
        <v>1856.15</v>
      </c>
      <c r="K23" s="59">
        <v>6057.21</v>
      </c>
      <c r="L23" s="59">
        <v>1286</v>
      </c>
      <c r="M23" s="59">
        <v>2149.6</v>
      </c>
      <c r="N23" s="59">
        <v>456.1</v>
      </c>
      <c r="O23" s="59">
        <v>0</v>
      </c>
      <c r="P23" s="60">
        <v>0</v>
      </c>
      <c r="Q23" s="59">
        <v>0</v>
      </c>
      <c r="R23" s="59">
        <v>0</v>
      </c>
      <c r="S23" s="59">
        <f t="shared" si="2"/>
        <v>23276.85</v>
      </c>
      <c r="T23" s="61">
        <f t="shared" si="3"/>
        <v>4941.32</v>
      </c>
      <c r="U23" s="102">
        <f>1425.93+955.94</f>
        <v>2381.87</v>
      </c>
      <c r="V23" s="59">
        <f>1931.21+1293.83</f>
        <v>3225.04</v>
      </c>
      <c r="W23" s="59">
        <f>4640.56+3110.1</f>
        <v>7750.66</v>
      </c>
      <c r="X23" s="59">
        <f>3214.56+2154.15</f>
        <v>5368.71</v>
      </c>
      <c r="Y23" s="59">
        <f>1140.78+764.76</f>
        <v>1905.54</v>
      </c>
      <c r="Z23" s="60">
        <v>0</v>
      </c>
      <c r="AA23" s="60">
        <v>0</v>
      </c>
      <c r="AB23" s="60">
        <f>SUM(U23:AA23)</f>
        <v>20631.82</v>
      </c>
      <c r="AC23" s="63">
        <f>AB23+T23+D23</f>
        <v>28053.82</v>
      </c>
      <c r="AD23" s="64">
        <f t="shared" si="6"/>
        <v>0</v>
      </c>
      <c r="AE23" s="64">
        <f t="shared" si="7"/>
        <v>0</v>
      </c>
      <c r="AF23" s="64"/>
      <c r="AG23" s="65">
        <f t="shared" si="17"/>
        <v>2129.4</v>
      </c>
      <c r="AH23" s="65">
        <f>B23*0.2</f>
        <v>709.8000000000001</v>
      </c>
      <c r="AI23" s="65">
        <f>0.847*B23</f>
        <v>3006.0029999999997</v>
      </c>
      <c r="AJ23" s="65">
        <f t="shared" si="8"/>
        <v>541.0805399999999</v>
      </c>
      <c r="AK23" s="65">
        <f>0.83*B23</f>
        <v>2945.67</v>
      </c>
      <c r="AL23" s="65">
        <f t="shared" si="9"/>
        <v>530.2206</v>
      </c>
      <c r="AM23" s="65">
        <f>(2.25/1.18)*B23</f>
        <v>6767.161016949152</v>
      </c>
      <c r="AN23" s="65">
        <f t="shared" si="10"/>
        <v>1218.0889830508474</v>
      </c>
      <c r="AO23" s="65"/>
      <c r="AP23" s="65">
        <f t="shared" si="11"/>
        <v>0</v>
      </c>
      <c r="AQ23" s="66"/>
      <c r="AR23" s="66">
        <f t="shared" si="11"/>
        <v>0</v>
      </c>
      <c r="AS23" s="67">
        <v>3254.84</v>
      </c>
      <c r="AT23" s="67"/>
      <c r="AU23" s="67">
        <f t="shared" si="19"/>
        <v>585.8712</v>
      </c>
      <c r="AV23" s="68"/>
      <c r="AW23" s="179">
        <v>555</v>
      </c>
      <c r="AX23" s="65">
        <f t="shared" si="12"/>
        <v>733.4879999999999</v>
      </c>
      <c r="AY23" s="51"/>
      <c r="AZ23" s="69"/>
      <c r="BA23" s="69">
        <f t="shared" si="18"/>
        <v>0</v>
      </c>
      <c r="BB23" s="69">
        <f t="shared" si="13"/>
        <v>22421.62334</v>
      </c>
      <c r="BC23" s="161"/>
      <c r="BD23" s="139">
        <f t="shared" si="14"/>
        <v>5632.196660000001</v>
      </c>
      <c r="BE23" s="141">
        <f t="shared" si="15"/>
        <v>-2645.029999999999</v>
      </c>
    </row>
    <row r="24" spans="1:57" ht="12.75">
      <c r="A24" s="91" t="s">
        <v>42</v>
      </c>
      <c r="B24" s="72">
        <v>3549</v>
      </c>
      <c r="C24" s="55">
        <f t="shared" si="1"/>
        <v>30698.850000000002</v>
      </c>
      <c r="D24" s="54">
        <f t="shared" si="16"/>
        <v>2480.700000000006</v>
      </c>
      <c r="E24" s="109">
        <v>2686.94</v>
      </c>
      <c r="F24" s="109">
        <v>570.19</v>
      </c>
      <c r="G24" s="109">
        <v>3638.87</v>
      </c>
      <c r="H24" s="109">
        <v>772.88</v>
      </c>
      <c r="I24" s="109">
        <v>8744.22</v>
      </c>
      <c r="J24" s="109">
        <v>1856.14</v>
      </c>
      <c r="K24" s="109">
        <v>6057.22</v>
      </c>
      <c r="L24" s="109">
        <v>1285.99</v>
      </c>
      <c r="M24" s="109">
        <v>2149.6</v>
      </c>
      <c r="N24" s="109">
        <v>456.1</v>
      </c>
      <c r="O24" s="109">
        <v>0</v>
      </c>
      <c r="P24" s="62">
        <v>0</v>
      </c>
      <c r="Q24" s="62">
        <v>0</v>
      </c>
      <c r="R24" s="62">
        <v>0</v>
      </c>
      <c r="S24" s="59">
        <f t="shared" si="2"/>
        <v>23276.85</v>
      </c>
      <c r="T24" s="61">
        <f t="shared" si="3"/>
        <v>4941.300000000001</v>
      </c>
      <c r="U24" s="59">
        <v>2334.17</v>
      </c>
      <c r="V24" s="59">
        <v>3161.49</v>
      </c>
      <c r="W24" s="59">
        <v>7596.38</v>
      </c>
      <c r="X24" s="59">
        <v>5262.15</v>
      </c>
      <c r="Y24" s="59">
        <v>1867.33</v>
      </c>
      <c r="Z24" s="60">
        <v>0</v>
      </c>
      <c r="AA24" s="60">
        <v>0</v>
      </c>
      <c r="AB24" s="60">
        <f>SUM(U24:AA24)</f>
        <v>20221.520000000004</v>
      </c>
      <c r="AC24" s="63">
        <f>D24+T24+AB24</f>
        <v>27643.52000000001</v>
      </c>
      <c r="AD24" s="64">
        <f t="shared" si="6"/>
        <v>0</v>
      </c>
      <c r="AE24" s="64">
        <f t="shared" si="7"/>
        <v>0</v>
      </c>
      <c r="AF24" s="64"/>
      <c r="AG24" s="65">
        <f t="shared" si="17"/>
        <v>2129.4</v>
      </c>
      <c r="AH24" s="65">
        <f>B24*0.2</f>
        <v>709.8000000000001</v>
      </c>
      <c r="AI24" s="65">
        <f>0.85*B24</f>
        <v>3016.65</v>
      </c>
      <c r="AJ24" s="65">
        <f t="shared" si="8"/>
        <v>542.997</v>
      </c>
      <c r="AK24" s="65">
        <f>0.83*B24</f>
        <v>2945.67</v>
      </c>
      <c r="AL24" s="65">
        <f t="shared" si="9"/>
        <v>530.2206</v>
      </c>
      <c r="AM24" s="65">
        <f>(1.91)*B24</f>
        <v>6778.59</v>
      </c>
      <c r="AN24" s="65">
        <f t="shared" si="10"/>
        <v>1220.1462</v>
      </c>
      <c r="AO24" s="65"/>
      <c r="AP24" s="65">
        <f t="shared" si="11"/>
        <v>0</v>
      </c>
      <c r="AQ24" s="66"/>
      <c r="AR24" s="66">
        <f t="shared" si="11"/>
        <v>0</v>
      </c>
      <c r="AS24" s="67">
        <v>0</v>
      </c>
      <c r="AT24" s="67">
        <v>14400</v>
      </c>
      <c r="AU24" s="67">
        <f t="shared" si="19"/>
        <v>2592</v>
      </c>
      <c r="AV24" s="68"/>
      <c r="AW24" s="179">
        <v>637</v>
      </c>
      <c r="AX24" s="65">
        <f t="shared" si="12"/>
        <v>841.8592</v>
      </c>
      <c r="AY24" s="51"/>
      <c r="AZ24" s="69"/>
      <c r="BA24" s="69">
        <f t="shared" si="18"/>
        <v>0</v>
      </c>
      <c r="BB24" s="69">
        <f t="shared" si="13"/>
        <v>35707.333</v>
      </c>
      <c r="BC24" s="70"/>
      <c r="BD24" s="139">
        <f t="shared" si="14"/>
        <v>-8063.812999999987</v>
      </c>
      <c r="BE24" s="141">
        <f t="shared" si="15"/>
        <v>-3055.3299999999945</v>
      </c>
    </row>
    <row r="25" spans="1:57" ht="12.75">
      <c r="A25" s="91" t="s">
        <v>43</v>
      </c>
      <c r="B25" s="58">
        <v>3548.5</v>
      </c>
      <c r="C25" s="55">
        <f t="shared" si="1"/>
        <v>30694.525</v>
      </c>
      <c r="D25" s="54">
        <f t="shared" si="16"/>
        <v>2480.2649999999985</v>
      </c>
      <c r="E25" s="109">
        <v>2686.72</v>
      </c>
      <c r="F25" s="109">
        <v>569.97</v>
      </c>
      <c r="G25" s="109">
        <v>3638.58</v>
      </c>
      <c r="H25" s="109">
        <v>772.57</v>
      </c>
      <c r="I25" s="109">
        <v>8743.47</v>
      </c>
      <c r="J25" s="109">
        <v>1855.42</v>
      </c>
      <c r="K25" s="109">
        <v>6056.7</v>
      </c>
      <c r="L25" s="109">
        <v>1285.49</v>
      </c>
      <c r="M25" s="109">
        <v>2149.42</v>
      </c>
      <c r="N25" s="109">
        <v>455.92</v>
      </c>
      <c r="O25" s="109">
        <v>0</v>
      </c>
      <c r="P25" s="62">
        <v>0</v>
      </c>
      <c r="Q25" s="62"/>
      <c r="R25" s="62"/>
      <c r="S25" s="59">
        <f t="shared" si="2"/>
        <v>23274.89</v>
      </c>
      <c r="T25" s="61">
        <f t="shared" si="3"/>
        <v>4939.37</v>
      </c>
      <c r="U25" s="59">
        <v>3629.54</v>
      </c>
      <c r="V25" s="59">
        <v>4912.79</v>
      </c>
      <c r="W25" s="59">
        <v>11808.92</v>
      </c>
      <c r="X25" s="59">
        <v>8179.54</v>
      </c>
      <c r="Y25" s="59">
        <v>2903.72</v>
      </c>
      <c r="Z25" s="60">
        <v>0</v>
      </c>
      <c r="AA25" s="60">
        <v>0</v>
      </c>
      <c r="AB25" s="60">
        <f>SUM(U25:AA25)</f>
        <v>31434.510000000002</v>
      </c>
      <c r="AC25" s="63">
        <f>D25+T25+AB25</f>
        <v>38854.145000000004</v>
      </c>
      <c r="AD25" s="64">
        <f t="shared" si="6"/>
        <v>0</v>
      </c>
      <c r="AE25" s="64">
        <f t="shared" si="7"/>
        <v>0</v>
      </c>
      <c r="AF25" s="64"/>
      <c r="AG25" s="65">
        <f t="shared" si="17"/>
        <v>2129.1</v>
      </c>
      <c r="AH25" s="65">
        <f>B25*0.2</f>
        <v>709.7</v>
      </c>
      <c r="AI25" s="65">
        <f>0.85*B25</f>
        <v>3016.225</v>
      </c>
      <c r="AJ25" s="65">
        <f t="shared" si="8"/>
        <v>542.9205</v>
      </c>
      <c r="AK25" s="65">
        <f>0.83*B25</f>
        <v>2945.2549999999997</v>
      </c>
      <c r="AL25" s="65">
        <f t="shared" si="9"/>
        <v>530.1458999999999</v>
      </c>
      <c r="AM25" s="65">
        <f>(1.91)*B25</f>
        <v>6777.634999999999</v>
      </c>
      <c r="AN25" s="65">
        <f t="shared" si="10"/>
        <v>1219.9742999999999</v>
      </c>
      <c r="AO25" s="65"/>
      <c r="AP25" s="65">
        <f t="shared" si="11"/>
        <v>0</v>
      </c>
      <c r="AQ25" s="66"/>
      <c r="AR25" s="66">
        <f t="shared" si="11"/>
        <v>0</v>
      </c>
      <c r="AS25" s="67">
        <v>0</v>
      </c>
      <c r="AT25" s="67"/>
      <c r="AU25" s="67">
        <f t="shared" si="19"/>
        <v>0</v>
      </c>
      <c r="AV25" s="68"/>
      <c r="AW25" s="179">
        <v>643</v>
      </c>
      <c r="AX25" s="65">
        <f t="shared" si="12"/>
        <v>849.7888</v>
      </c>
      <c r="AY25" s="51"/>
      <c r="AZ25" s="69"/>
      <c r="BA25" s="69">
        <f t="shared" si="18"/>
        <v>0</v>
      </c>
      <c r="BB25" s="69">
        <f>SUM(AG25:BA25)-AV25-AW25</f>
        <v>18720.744499999997</v>
      </c>
      <c r="BC25" s="70"/>
      <c r="BD25" s="139">
        <f t="shared" si="14"/>
        <v>20133.400500000007</v>
      </c>
      <c r="BE25" s="141">
        <f t="shared" si="15"/>
        <v>8159.620000000003</v>
      </c>
    </row>
    <row r="26" spans="1:57" s="9" customFormat="1" ht="12.75">
      <c r="A26" s="6" t="s">
        <v>5</v>
      </c>
      <c r="B26" s="27"/>
      <c r="C26" s="27">
        <f aca="true" t="shared" si="20" ref="C26:BC26">SUM(C14:C25)</f>
        <v>368418.205</v>
      </c>
      <c r="D26" s="27">
        <f t="shared" si="20"/>
        <v>35200.643750000025</v>
      </c>
      <c r="E26" s="25">
        <f t="shared" si="20"/>
        <v>30806.48</v>
      </c>
      <c r="F26" s="25">
        <f t="shared" si="20"/>
        <v>6653.580000000003</v>
      </c>
      <c r="G26" s="25">
        <f t="shared" si="20"/>
        <v>41679.86</v>
      </c>
      <c r="H26" s="25">
        <f t="shared" si="20"/>
        <v>9007.339999999998</v>
      </c>
      <c r="I26" s="25">
        <f t="shared" si="20"/>
        <v>100182.38</v>
      </c>
      <c r="J26" s="25">
        <f t="shared" si="20"/>
        <v>21648.43</v>
      </c>
      <c r="K26" s="25">
        <f t="shared" si="20"/>
        <v>69406.26000000001</v>
      </c>
      <c r="L26" s="25">
        <f t="shared" si="20"/>
        <v>14995.149999999998</v>
      </c>
      <c r="M26" s="25">
        <f t="shared" si="20"/>
        <v>24645.589999999997</v>
      </c>
      <c r="N26" s="25">
        <f t="shared" si="20"/>
        <v>5322.4400000000005</v>
      </c>
      <c r="O26" s="25">
        <f t="shared" si="20"/>
        <v>0</v>
      </c>
      <c r="P26" s="25">
        <f t="shared" si="20"/>
        <v>0</v>
      </c>
      <c r="Q26" s="25">
        <f t="shared" si="20"/>
        <v>0</v>
      </c>
      <c r="R26" s="25">
        <f t="shared" si="20"/>
        <v>0</v>
      </c>
      <c r="S26" s="25">
        <f t="shared" si="20"/>
        <v>266720.57</v>
      </c>
      <c r="T26" s="25">
        <f t="shared" si="20"/>
        <v>57626.94</v>
      </c>
      <c r="U26" s="28">
        <f t="shared" si="20"/>
        <v>27690.340000000004</v>
      </c>
      <c r="V26" s="28">
        <f t="shared" si="20"/>
        <v>37446.89</v>
      </c>
      <c r="W26" s="28">
        <f t="shared" si="20"/>
        <v>90043.32</v>
      </c>
      <c r="X26" s="28">
        <f t="shared" si="20"/>
        <v>62360.91</v>
      </c>
      <c r="Y26" s="28">
        <f t="shared" si="20"/>
        <v>22143.019999999997</v>
      </c>
      <c r="Z26" s="28">
        <f t="shared" si="20"/>
        <v>0</v>
      </c>
      <c r="AA26" s="28">
        <f t="shared" si="20"/>
        <v>0</v>
      </c>
      <c r="AB26" s="28">
        <f t="shared" si="20"/>
        <v>239684.47999999998</v>
      </c>
      <c r="AC26" s="28">
        <f t="shared" si="20"/>
        <v>332512.06375000003</v>
      </c>
      <c r="AD26" s="28">
        <f t="shared" si="20"/>
        <v>0</v>
      </c>
      <c r="AE26" s="45">
        <f t="shared" si="20"/>
        <v>0</v>
      </c>
      <c r="AF26" s="45">
        <f t="shared" si="20"/>
        <v>0</v>
      </c>
      <c r="AG26" s="7">
        <f t="shared" si="20"/>
        <v>24703.08</v>
      </c>
      <c r="AH26" s="7">
        <f t="shared" si="20"/>
        <v>8270.588310000001</v>
      </c>
      <c r="AI26" s="7">
        <f t="shared" si="20"/>
        <v>34532.8950585</v>
      </c>
      <c r="AJ26" s="7">
        <f t="shared" si="20"/>
        <v>6215.92111053</v>
      </c>
      <c r="AK26" s="7">
        <f t="shared" si="20"/>
        <v>33568.952786899994</v>
      </c>
      <c r="AL26" s="7">
        <f t="shared" si="20"/>
        <v>6042.411501641998</v>
      </c>
      <c r="AM26" s="7">
        <f t="shared" si="20"/>
        <v>77236.26123024915</v>
      </c>
      <c r="AN26" s="7">
        <f t="shared" si="20"/>
        <v>13902.527021444845</v>
      </c>
      <c r="AO26" s="7">
        <f t="shared" si="20"/>
        <v>0</v>
      </c>
      <c r="AP26" s="7">
        <f t="shared" si="20"/>
        <v>0</v>
      </c>
      <c r="AQ26" s="7">
        <f>SUM(AQ14:AQ25)</f>
        <v>14242.98</v>
      </c>
      <c r="AR26" s="7">
        <f>SUM(AR14:AR25)</f>
        <v>2563.7364</v>
      </c>
      <c r="AS26" s="7">
        <f>SUM(AS14:AS25)</f>
        <v>50161.03999999999</v>
      </c>
      <c r="AT26" s="7">
        <f>SUM(AT14:AT25)</f>
        <v>15605</v>
      </c>
      <c r="AU26" s="7">
        <f>SUM(AU14:AU25)</f>
        <v>11837.8972</v>
      </c>
      <c r="AV26" s="7"/>
      <c r="AW26" s="7"/>
      <c r="AX26" s="7">
        <f t="shared" si="20"/>
        <v>9748.1216</v>
      </c>
      <c r="AY26" s="7">
        <f t="shared" si="20"/>
        <v>0</v>
      </c>
      <c r="AZ26" s="7">
        <f t="shared" si="20"/>
        <v>0</v>
      </c>
      <c r="BA26" s="7">
        <f t="shared" si="20"/>
        <v>0</v>
      </c>
      <c r="BB26" s="7">
        <f t="shared" si="20"/>
        <v>308631.41221926594</v>
      </c>
      <c r="BC26" s="7">
        <f t="shared" si="20"/>
        <v>0</v>
      </c>
      <c r="BD26" s="7">
        <f>SUM(BD14:BD25)</f>
        <v>23880.651530734045</v>
      </c>
      <c r="BE26" s="8">
        <f>SUM(BE14:BE25)</f>
        <v>-27036.090000000004</v>
      </c>
    </row>
    <row r="27" spans="1:57" ht="12.75">
      <c r="A27" s="91"/>
      <c r="B27" s="175"/>
      <c r="C27" s="174"/>
      <c r="D27" s="174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69"/>
      <c r="T27" s="169"/>
      <c r="U27" s="105"/>
      <c r="V27" s="105"/>
      <c r="W27" s="105"/>
      <c r="X27" s="105"/>
      <c r="Y27" s="105"/>
      <c r="Z27" s="105"/>
      <c r="AA27" s="105"/>
      <c r="AB27" s="105"/>
      <c r="AC27" s="187"/>
      <c r="AD27" s="187"/>
      <c r="AE27" s="64"/>
      <c r="AF27" s="64"/>
      <c r="AG27" s="65"/>
      <c r="AH27" s="65"/>
      <c r="AI27" s="65"/>
      <c r="AJ27" s="65"/>
      <c r="AK27" s="65"/>
      <c r="AL27" s="65"/>
      <c r="AM27" s="65"/>
      <c r="AN27" s="65"/>
      <c r="AO27" s="188"/>
      <c r="AP27" s="188"/>
      <c r="AQ27" s="188"/>
      <c r="AR27" s="188"/>
      <c r="AS27" s="189"/>
      <c r="AT27" s="189"/>
      <c r="AU27" s="67"/>
      <c r="AV27" s="67"/>
      <c r="AW27" s="67"/>
      <c r="AX27" s="88"/>
      <c r="AY27" s="188"/>
      <c r="AZ27" s="188"/>
      <c r="BA27" s="65"/>
      <c r="BB27" s="65"/>
      <c r="BC27" s="65"/>
      <c r="BD27" s="65"/>
      <c r="BE27" s="158"/>
    </row>
    <row r="28" spans="1:57" s="9" customFormat="1" ht="13.5" thickBot="1">
      <c r="A28" s="10" t="s">
        <v>54</v>
      </c>
      <c r="B28" s="173"/>
      <c r="C28" s="173">
        <f>C12+C26</f>
        <v>460545.895</v>
      </c>
      <c r="D28" s="173">
        <f>D12+D26</f>
        <v>57376.085825300026</v>
      </c>
      <c r="E28" s="190">
        <f aca="true" t="shared" si="21" ref="E28:BC28">E12+E26</f>
        <v>37617.09</v>
      </c>
      <c r="F28" s="190">
        <f t="shared" si="21"/>
        <v>8216.490000000003</v>
      </c>
      <c r="G28" s="190">
        <f t="shared" si="21"/>
        <v>50874.28</v>
      </c>
      <c r="H28" s="190">
        <f t="shared" si="21"/>
        <v>11117.3</v>
      </c>
      <c r="I28" s="190">
        <f t="shared" si="21"/>
        <v>122317.04000000001</v>
      </c>
      <c r="J28" s="190">
        <f t="shared" si="21"/>
        <v>26727.9</v>
      </c>
      <c r="K28" s="190">
        <f t="shared" si="21"/>
        <v>84730.25000000001</v>
      </c>
      <c r="L28" s="190">
        <f t="shared" si="21"/>
        <v>18511.71</v>
      </c>
      <c r="M28" s="190">
        <f t="shared" si="21"/>
        <v>30094.109999999997</v>
      </c>
      <c r="N28" s="190">
        <f>N12+N26</f>
        <v>6572.780000000001</v>
      </c>
      <c r="O28" s="190">
        <f t="shared" si="21"/>
        <v>0</v>
      </c>
      <c r="P28" s="190">
        <f t="shared" si="21"/>
        <v>0</v>
      </c>
      <c r="Q28" s="190">
        <f t="shared" si="21"/>
        <v>0</v>
      </c>
      <c r="R28" s="190">
        <f t="shared" si="21"/>
        <v>0</v>
      </c>
      <c r="S28" s="190">
        <f t="shared" si="21"/>
        <v>325632.77</v>
      </c>
      <c r="T28" s="190">
        <f t="shared" si="21"/>
        <v>71146.18000000001</v>
      </c>
      <c r="U28" s="191">
        <f t="shared" si="21"/>
        <v>31424.090000000004</v>
      </c>
      <c r="V28" s="191">
        <f t="shared" si="21"/>
        <v>42490.88</v>
      </c>
      <c r="W28" s="191">
        <f t="shared" si="21"/>
        <v>102170.67000000001</v>
      </c>
      <c r="X28" s="191">
        <f t="shared" si="21"/>
        <v>70772.64</v>
      </c>
      <c r="Y28" s="191">
        <f t="shared" si="21"/>
        <v>25139.67</v>
      </c>
      <c r="Z28" s="191">
        <f t="shared" si="21"/>
        <v>0</v>
      </c>
      <c r="AA28" s="191">
        <f t="shared" si="21"/>
        <v>0</v>
      </c>
      <c r="AB28" s="191">
        <f t="shared" si="21"/>
        <v>271997.94999999995</v>
      </c>
      <c r="AC28" s="191">
        <f t="shared" si="21"/>
        <v>400520.2158253</v>
      </c>
      <c r="AD28" s="191">
        <f t="shared" si="21"/>
        <v>0</v>
      </c>
      <c r="AE28" s="191">
        <f>AE12+AE26</f>
        <v>0</v>
      </c>
      <c r="AF28" s="191">
        <f t="shared" si="21"/>
        <v>0</v>
      </c>
      <c r="AG28" s="173">
        <f t="shared" si="21"/>
        <v>31093.440000000002</v>
      </c>
      <c r="AH28" s="173">
        <f t="shared" si="21"/>
        <v>10463.54685</v>
      </c>
      <c r="AI28" s="173">
        <f t="shared" si="21"/>
        <v>43596.2516425</v>
      </c>
      <c r="AJ28" s="173">
        <f t="shared" si="21"/>
        <v>7847.32529565</v>
      </c>
      <c r="AK28" s="173">
        <f t="shared" si="21"/>
        <v>44116.22492594</v>
      </c>
      <c r="AL28" s="173">
        <f t="shared" si="21"/>
        <v>7940.920486669198</v>
      </c>
      <c r="AM28" s="173">
        <f t="shared" si="21"/>
        <v>96606.05408970914</v>
      </c>
      <c r="AN28" s="173">
        <f t="shared" si="21"/>
        <v>17389.089736147645</v>
      </c>
      <c r="AO28" s="173">
        <f t="shared" si="21"/>
        <v>0</v>
      </c>
      <c r="AP28" s="173">
        <f t="shared" si="21"/>
        <v>0</v>
      </c>
      <c r="AQ28" s="173">
        <f t="shared" si="21"/>
        <v>14242.98</v>
      </c>
      <c r="AR28" s="173">
        <f t="shared" si="21"/>
        <v>2563.7364</v>
      </c>
      <c r="AS28" s="173">
        <f t="shared" si="21"/>
        <v>116070.21999999999</v>
      </c>
      <c r="AT28" s="173">
        <f t="shared" si="21"/>
        <v>15605</v>
      </c>
      <c r="AU28" s="173">
        <f t="shared" si="21"/>
        <v>23701.5496</v>
      </c>
      <c r="AV28" s="173"/>
      <c r="AW28" s="173"/>
      <c r="AX28" s="173">
        <f t="shared" si="21"/>
        <v>9748.1216</v>
      </c>
      <c r="AY28" s="173">
        <f t="shared" si="21"/>
        <v>0</v>
      </c>
      <c r="AZ28" s="173">
        <f t="shared" si="21"/>
        <v>0</v>
      </c>
      <c r="BA28" s="173">
        <f t="shared" si="21"/>
        <v>0</v>
      </c>
      <c r="BB28" s="173">
        <f t="shared" si="21"/>
        <v>440984.4606266159</v>
      </c>
      <c r="BC28" s="173">
        <f t="shared" si="21"/>
        <v>0</v>
      </c>
      <c r="BD28" s="173">
        <f>BD12+BD26</f>
        <v>-40464.244801315945</v>
      </c>
      <c r="BE28" s="192">
        <f>BE12+BE26</f>
        <v>-53634.82000000001</v>
      </c>
    </row>
    <row r="29" spans="1:57" ht="15" customHeight="1">
      <c r="A29" s="1" t="s">
        <v>84</v>
      </c>
      <c r="B29" s="157"/>
      <c r="C29" s="26"/>
      <c r="D29" s="26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5"/>
      <c r="R29" s="165"/>
      <c r="S29" s="165"/>
      <c r="T29" s="165"/>
      <c r="U29" s="166"/>
      <c r="V29" s="166"/>
      <c r="W29" s="166"/>
      <c r="X29" s="166"/>
      <c r="Y29" s="166"/>
      <c r="Z29" s="166"/>
      <c r="AA29" s="167"/>
      <c r="AB29" s="167"/>
      <c r="AC29" s="44"/>
      <c r="AD29" s="44"/>
      <c r="AE29" s="170"/>
      <c r="AF29" s="170"/>
      <c r="AG29" s="139"/>
      <c r="AH29" s="139"/>
      <c r="AI29" s="139"/>
      <c r="AJ29" s="139"/>
      <c r="AK29" s="139"/>
      <c r="AL29" s="139"/>
      <c r="AM29" s="139"/>
      <c r="AN29" s="139"/>
      <c r="AO29" s="140"/>
      <c r="AP29" s="140"/>
      <c r="AQ29" s="140"/>
      <c r="AR29" s="140"/>
      <c r="AS29" s="168"/>
      <c r="AT29" s="168"/>
      <c r="AU29" s="169"/>
      <c r="AV29" s="169"/>
      <c r="AW29" s="169"/>
      <c r="AX29" s="140"/>
      <c r="AY29" s="140"/>
      <c r="AZ29" s="140"/>
      <c r="BA29" s="139"/>
      <c r="BB29" s="139"/>
      <c r="BC29" s="139"/>
      <c r="BD29" s="139"/>
      <c r="BE29" s="141"/>
    </row>
    <row r="30" spans="1:57" ht="12.75">
      <c r="A30" s="91" t="s">
        <v>45</v>
      </c>
      <c r="B30" s="58">
        <v>3548.5</v>
      </c>
      <c r="C30" s="55">
        <f aca="true" t="shared" si="22" ref="C30:C41">B30*8.65</f>
        <v>30694.525</v>
      </c>
      <c r="D30" s="54">
        <f aca="true" t="shared" si="23" ref="D30:D38">C30-E30-F30-G30-H30-I30-J30-K30-L30-M30-N30</f>
        <v>2480.2450000000003</v>
      </c>
      <c r="E30" s="109">
        <v>2686.72</v>
      </c>
      <c r="F30" s="109">
        <v>569.97</v>
      </c>
      <c r="G30" s="109">
        <v>3638.59</v>
      </c>
      <c r="H30" s="109">
        <v>772.57</v>
      </c>
      <c r="I30" s="109">
        <v>8743.47</v>
      </c>
      <c r="J30" s="109">
        <v>1855.42</v>
      </c>
      <c r="K30" s="109">
        <v>6056.7</v>
      </c>
      <c r="L30" s="109">
        <v>1285.49</v>
      </c>
      <c r="M30" s="109">
        <v>2149.43</v>
      </c>
      <c r="N30" s="109">
        <v>455.92</v>
      </c>
      <c r="O30" s="109">
        <v>0</v>
      </c>
      <c r="P30" s="62">
        <v>0</v>
      </c>
      <c r="Q30" s="62"/>
      <c r="R30" s="62"/>
      <c r="S30" s="59">
        <f aca="true" t="shared" si="24" ref="S30:S41">E30+G30+I30+K30+M30+O30+Q30</f>
        <v>23274.91</v>
      </c>
      <c r="T30" s="61">
        <f aca="true" t="shared" si="25" ref="T30:T41">P30+N30+L30+J30+H30+F30+R30</f>
        <v>4939.37</v>
      </c>
      <c r="U30" s="59">
        <v>2137.37</v>
      </c>
      <c r="V30" s="59">
        <v>2895.27</v>
      </c>
      <c r="W30" s="59">
        <v>6956.34</v>
      </c>
      <c r="X30" s="59">
        <v>4819.05</v>
      </c>
      <c r="Y30" s="59">
        <v>1710.04</v>
      </c>
      <c r="Z30" s="60">
        <v>0</v>
      </c>
      <c r="AA30" s="60">
        <v>0</v>
      </c>
      <c r="AB30" s="60">
        <f>SUM(U30:AA30)</f>
        <v>18518.07</v>
      </c>
      <c r="AC30" s="63">
        <f aca="true" t="shared" si="26" ref="AC30:AC41">D30+T30+AB30</f>
        <v>25937.684999999998</v>
      </c>
      <c r="AD30" s="64">
        <f aca="true" t="shared" si="27" ref="AD30:AD41">P30+Z30</f>
        <v>0</v>
      </c>
      <c r="AE30" s="64">
        <f aca="true" t="shared" si="28" ref="AE30:AE41">R30+AA30</f>
        <v>0</v>
      </c>
      <c r="AF30" s="64"/>
      <c r="AG30" s="65">
        <f aca="true" t="shared" si="29" ref="AG30:AG41">0.6*B30</f>
        <v>2129.1</v>
      </c>
      <c r="AH30" s="65">
        <f aca="true" t="shared" si="30" ref="AH30:AH41">B30*0.2</f>
        <v>709.7</v>
      </c>
      <c r="AI30" s="65">
        <f aca="true" t="shared" si="31" ref="AI30:AI41">1*B30</f>
        <v>3548.5</v>
      </c>
      <c r="AJ30" s="65">
        <v>0</v>
      </c>
      <c r="AK30" s="65">
        <f aca="true" t="shared" si="32" ref="AK30:AK41">0.98*B30</f>
        <v>3477.5299999999997</v>
      </c>
      <c r="AL30" s="65">
        <v>0</v>
      </c>
      <c r="AM30" s="65">
        <f aca="true" t="shared" si="33" ref="AM30:AM41">2.25*B30</f>
        <v>7984.125</v>
      </c>
      <c r="AN30" s="65">
        <v>0</v>
      </c>
      <c r="AO30" s="65"/>
      <c r="AP30" s="65">
        <v>0</v>
      </c>
      <c r="AQ30" s="66"/>
      <c r="AR30" s="66"/>
      <c r="AS30" s="67">
        <v>2246</v>
      </c>
      <c r="AT30" s="67"/>
      <c r="AU30" s="67">
        <f>AT30*0</f>
        <v>0</v>
      </c>
      <c r="AV30" s="68"/>
      <c r="AW30" s="179">
        <v>775</v>
      </c>
      <c r="AX30" s="65">
        <f aca="true" t="shared" si="34" ref="AX30:AX41">AW30*1.4</f>
        <v>1085</v>
      </c>
      <c r="AY30" s="51"/>
      <c r="AZ30" s="69"/>
      <c r="BA30" s="69">
        <f aca="true" t="shared" si="35" ref="BA30:BA41">AZ30*0.18</f>
        <v>0</v>
      </c>
      <c r="BB30" s="69">
        <f aca="true" t="shared" si="36" ref="BB30:BB41">SUM(AG30:BA30)-AV30-AW30</f>
        <v>21179.955</v>
      </c>
      <c r="BC30" s="70"/>
      <c r="BD30" s="139">
        <f>AC30+AF30-BB30-BC30</f>
        <v>4757.729999999996</v>
      </c>
      <c r="BE30" s="141">
        <f>AB30-S30</f>
        <v>-4756.84</v>
      </c>
    </row>
    <row r="31" spans="1:57" ht="12.75">
      <c r="A31" s="91" t="s">
        <v>46</v>
      </c>
      <c r="B31" s="72">
        <v>3548.5</v>
      </c>
      <c r="C31" s="55">
        <f t="shared" si="22"/>
        <v>30694.525</v>
      </c>
      <c r="D31" s="54">
        <f t="shared" si="23"/>
        <v>2501.2950000000046</v>
      </c>
      <c r="E31" s="193">
        <v>2684.24</v>
      </c>
      <c r="F31" s="194">
        <v>569.97</v>
      </c>
      <c r="G31" s="194">
        <v>3635.37</v>
      </c>
      <c r="H31" s="194">
        <v>772.57</v>
      </c>
      <c r="I31" s="194">
        <v>8735.55</v>
      </c>
      <c r="J31" s="194">
        <v>1855.42</v>
      </c>
      <c r="K31" s="194">
        <v>6051.25</v>
      </c>
      <c r="L31" s="194">
        <v>1285.49</v>
      </c>
      <c r="M31" s="194">
        <v>2147.45</v>
      </c>
      <c r="N31" s="194">
        <v>455.92</v>
      </c>
      <c r="O31" s="194">
        <v>0</v>
      </c>
      <c r="P31" s="195">
        <v>0</v>
      </c>
      <c r="Q31" s="194">
        <v>0</v>
      </c>
      <c r="R31" s="195">
        <v>0</v>
      </c>
      <c r="S31" s="59">
        <f t="shared" si="24"/>
        <v>23253.86</v>
      </c>
      <c r="T31" s="61">
        <f t="shared" si="25"/>
        <v>4939.37</v>
      </c>
      <c r="U31" s="59">
        <v>1670.41</v>
      </c>
      <c r="V31" s="59">
        <v>2262.52</v>
      </c>
      <c r="W31" s="59">
        <v>5441.63</v>
      </c>
      <c r="X31" s="59">
        <v>3765.91</v>
      </c>
      <c r="Y31" s="59">
        <v>1336.37</v>
      </c>
      <c r="Z31" s="60">
        <v>0</v>
      </c>
      <c r="AA31" s="60">
        <v>0</v>
      </c>
      <c r="AB31" s="60">
        <f>SUM(U31:AA31)</f>
        <v>14476.84</v>
      </c>
      <c r="AC31" s="63">
        <f t="shared" si="26"/>
        <v>21917.505000000005</v>
      </c>
      <c r="AD31" s="64">
        <f t="shared" si="27"/>
        <v>0</v>
      </c>
      <c r="AE31" s="64">
        <f t="shared" si="28"/>
        <v>0</v>
      </c>
      <c r="AF31" s="64"/>
      <c r="AG31" s="65">
        <f t="shared" si="29"/>
        <v>2129.1</v>
      </c>
      <c r="AH31" s="65">
        <f t="shared" si="30"/>
        <v>709.7</v>
      </c>
      <c r="AI31" s="65">
        <f t="shared" si="31"/>
        <v>3548.5</v>
      </c>
      <c r="AJ31" s="65">
        <v>0</v>
      </c>
      <c r="AK31" s="65">
        <f t="shared" si="32"/>
        <v>3477.5299999999997</v>
      </c>
      <c r="AL31" s="65">
        <v>0</v>
      </c>
      <c r="AM31" s="65">
        <f t="shared" si="33"/>
        <v>7984.125</v>
      </c>
      <c r="AN31" s="65">
        <v>0</v>
      </c>
      <c r="AO31" s="65"/>
      <c r="AP31" s="65"/>
      <c r="AQ31" s="66"/>
      <c r="AR31" s="66"/>
      <c r="AS31" s="67">
        <v>1492</v>
      </c>
      <c r="AT31" s="67"/>
      <c r="AU31" s="67">
        <f>AT31*0.18</f>
        <v>0</v>
      </c>
      <c r="AV31" s="68"/>
      <c r="AW31" s="179">
        <v>739</v>
      </c>
      <c r="AX31" s="65">
        <f t="shared" si="34"/>
        <v>1034.6</v>
      </c>
      <c r="AY31" s="51"/>
      <c r="AZ31" s="69"/>
      <c r="BA31" s="69">
        <f t="shared" si="35"/>
        <v>0</v>
      </c>
      <c r="BB31" s="69">
        <f t="shared" si="36"/>
        <v>20375.555</v>
      </c>
      <c r="BC31" s="70"/>
      <c r="BD31" s="139">
        <f aca="true" t="shared" si="37" ref="BD31:BD41">AC31+AF31-BB31-BC31</f>
        <v>1541.9500000000044</v>
      </c>
      <c r="BE31" s="141">
        <f aca="true" t="shared" si="38" ref="BE31:BE41">AB31-S31</f>
        <v>-8777.02</v>
      </c>
    </row>
    <row r="32" spans="1:57" ht="12.75">
      <c r="A32" s="91" t="s">
        <v>47</v>
      </c>
      <c r="B32" s="58">
        <v>3548.5</v>
      </c>
      <c r="C32" s="55">
        <f t="shared" si="22"/>
        <v>30694.525</v>
      </c>
      <c r="D32" s="54">
        <f t="shared" si="23"/>
        <v>2495.485000000004</v>
      </c>
      <c r="E32" s="109">
        <v>2705.62</v>
      </c>
      <c r="F32" s="109">
        <v>549.29</v>
      </c>
      <c r="G32" s="109">
        <v>3664.28</v>
      </c>
      <c r="H32" s="109">
        <v>744.53</v>
      </c>
      <c r="I32" s="109">
        <v>8805.1</v>
      </c>
      <c r="J32" s="109">
        <v>1788.07</v>
      </c>
      <c r="K32" s="109">
        <v>6099.41</v>
      </c>
      <c r="L32" s="109">
        <v>1238.83</v>
      </c>
      <c r="M32" s="109">
        <v>2164.54</v>
      </c>
      <c r="N32" s="109">
        <v>439.37</v>
      </c>
      <c r="O32" s="109">
        <v>0</v>
      </c>
      <c r="P32" s="62">
        <v>0</v>
      </c>
      <c r="Q32" s="62">
        <v>0</v>
      </c>
      <c r="R32" s="62">
        <v>0</v>
      </c>
      <c r="S32" s="59">
        <f t="shared" si="24"/>
        <v>23438.95</v>
      </c>
      <c r="T32" s="61">
        <f t="shared" si="25"/>
        <v>4760.089999999999</v>
      </c>
      <c r="U32" s="59">
        <v>3057.16</v>
      </c>
      <c r="V32" s="59">
        <v>4011.17</v>
      </c>
      <c r="W32" s="59">
        <v>9632.85</v>
      </c>
      <c r="X32" s="59">
        <v>6676.39</v>
      </c>
      <c r="Y32" s="59">
        <v>2369.44</v>
      </c>
      <c r="Z32" s="60">
        <v>0</v>
      </c>
      <c r="AA32" s="60">
        <v>0</v>
      </c>
      <c r="AB32" s="60">
        <f>SUM(U32:AA32)</f>
        <v>25747.01</v>
      </c>
      <c r="AC32" s="63">
        <f t="shared" si="26"/>
        <v>33002.585</v>
      </c>
      <c r="AD32" s="64">
        <f t="shared" si="27"/>
        <v>0</v>
      </c>
      <c r="AE32" s="64">
        <f t="shared" si="28"/>
        <v>0</v>
      </c>
      <c r="AF32" s="64"/>
      <c r="AG32" s="65">
        <f t="shared" si="29"/>
        <v>2129.1</v>
      </c>
      <c r="AH32" s="65">
        <f t="shared" si="30"/>
        <v>709.7</v>
      </c>
      <c r="AI32" s="65">
        <f t="shared" si="31"/>
        <v>3548.5</v>
      </c>
      <c r="AJ32" s="65">
        <v>0</v>
      </c>
      <c r="AK32" s="65">
        <f t="shared" si="32"/>
        <v>3477.5299999999997</v>
      </c>
      <c r="AL32" s="65">
        <v>0</v>
      </c>
      <c r="AM32" s="65">
        <f t="shared" si="33"/>
        <v>7984.125</v>
      </c>
      <c r="AN32" s="65">
        <v>0</v>
      </c>
      <c r="AO32" s="65"/>
      <c r="AP32" s="65"/>
      <c r="AQ32" s="66"/>
      <c r="AR32" s="66"/>
      <c r="AS32" s="67">
        <v>550</v>
      </c>
      <c r="AT32" s="67"/>
      <c r="AU32" s="67">
        <f>AT32*0.18</f>
        <v>0</v>
      </c>
      <c r="AV32" s="68"/>
      <c r="AW32" s="179">
        <v>696</v>
      </c>
      <c r="AX32" s="65">
        <f t="shared" si="34"/>
        <v>974.4</v>
      </c>
      <c r="AY32" s="51"/>
      <c r="AZ32" s="69"/>
      <c r="BA32" s="69">
        <f t="shared" si="35"/>
        <v>0</v>
      </c>
      <c r="BB32" s="69">
        <f t="shared" si="36"/>
        <v>19373.355000000003</v>
      </c>
      <c r="BC32" s="70"/>
      <c r="BD32" s="139">
        <f t="shared" si="37"/>
        <v>13629.229999999996</v>
      </c>
      <c r="BE32" s="141">
        <f t="shared" si="38"/>
        <v>2308.0599999999977</v>
      </c>
    </row>
    <row r="33" spans="1:57" ht="12.75">
      <c r="A33" s="91" t="s">
        <v>48</v>
      </c>
      <c r="B33" s="58">
        <v>3548.5</v>
      </c>
      <c r="C33" s="55">
        <f t="shared" si="22"/>
        <v>30694.525</v>
      </c>
      <c r="D33" s="54">
        <f t="shared" si="23"/>
        <v>2508.335000000002</v>
      </c>
      <c r="E33" s="109">
        <v>2695.79</v>
      </c>
      <c r="F33" s="109">
        <v>557.6</v>
      </c>
      <c r="G33" s="109">
        <v>3651.05</v>
      </c>
      <c r="H33" s="109">
        <v>755.8</v>
      </c>
      <c r="I33" s="109">
        <v>8773.2</v>
      </c>
      <c r="J33" s="109">
        <v>1815.13</v>
      </c>
      <c r="K33" s="109">
        <v>6077.35</v>
      </c>
      <c r="L33" s="109">
        <v>1257.57</v>
      </c>
      <c r="M33" s="109">
        <v>2156.68</v>
      </c>
      <c r="N33" s="109">
        <v>446.02</v>
      </c>
      <c r="O33" s="109">
        <v>0</v>
      </c>
      <c r="P33" s="62">
        <v>0</v>
      </c>
      <c r="Q33" s="62"/>
      <c r="R33" s="62"/>
      <c r="S33" s="59">
        <f t="shared" si="24"/>
        <v>23354.07</v>
      </c>
      <c r="T33" s="61">
        <f t="shared" si="25"/>
        <v>4832.120000000001</v>
      </c>
      <c r="U33" s="59">
        <v>1919.05</v>
      </c>
      <c r="V33" s="59">
        <v>2590.72</v>
      </c>
      <c r="W33" s="59">
        <v>6236.38</v>
      </c>
      <c r="X33" s="59">
        <v>4317.94</v>
      </c>
      <c r="Y33" s="59">
        <v>1535.32</v>
      </c>
      <c r="Z33" s="60">
        <v>0</v>
      </c>
      <c r="AA33" s="60">
        <v>0</v>
      </c>
      <c r="AB33" s="60">
        <f>SUM(U33:AA33)</f>
        <v>16599.41</v>
      </c>
      <c r="AC33" s="63">
        <f t="shared" si="26"/>
        <v>23939.865</v>
      </c>
      <c r="AD33" s="64">
        <f t="shared" si="27"/>
        <v>0</v>
      </c>
      <c r="AE33" s="64">
        <f t="shared" si="28"/>
        <v>0</v>
      </c>
      <c r="AF33" s="64"/>
      <c r="AG33" s="65">
        <f t="shared" si="29"/>
        <v>2129.1</v>
      </c>
      <c r="AH33" s="65">
        <f t="shared" si="30"/>
        <v>709.7</v>
      </c>
      <c r="AI33" s="65">
        <f t="shared" si="31"/>
        <v>3548.5</v>
      </c>
      <c r="AJ33" s="65">
        <v>0</v>
      </c>
      <c r="AK33" s="65">
        <f t="shared" si="32"/>
        <v>3477.5299999999997</v>
      </c>
      <c r="AL33" s="65">
        <v>0</v>
      </c>
      <c r="AM33" s="65">
        <f t="shared" si="33"/>
        <v>7984.125</v>
      </c>
      <c r="AN33" s="65">
        <v>0</v>
      </c>
      <c r="AO33" s="65"/>
      <c r="AP33" s="65"/>
      <c r="AQ33" s="66"/>
      <c r="AR33" s="66"/>
      <c r="AS33" s="67">
        <v>2374</v>
      </c>
      <c r="AT33" s="67"/>
      <c r="AU33" s="67">
        <f>AT33*0</f>
        <v>0</v>
      </c>
      <c r="AV33" s="68"/>
      <c r="AW33" s="179">
        <v>600</v>
      </c>
      <c r="AX33" s="65">
        <f t="shared" si="34"/>
        <v>840</v>
      </c>
      <c r="AY33" s="51"/>
      <c r="AZ33" s="69"/>
      <c r="BA33" s="69">
        <f t="shared" si="35"/>
        <v>0</v>
      </c>
      <c r="BB33" s="69">
        <f t="shared" si="36"/>
        <v>21062.955</v>
      </c>
      <c r="BC33" s="70"/>
      <c r="BD33" s="139">
        <f t="shared" si="37"/>
        <v>2876.91</v>
      </c>
      <c r="BE33" s="141">
        <f t="shared" si="38"/>
        <v>-6754.66</v>
      </c>
    </row>
    <row r="34" spans="1:57" ht="12.75">
      <c r="A34" s="91" t="s">
        <v>49</v>
      </c>
      <c r="B34" s="58">
        <v>3549.12</v>
      </c>
      <c r="C34" s="55">
        <f t="shared" si="22"/>
        <v>30699.888</v>
      </c>
      <c r="D34" s="54">
        <f t="shared" si="23"/>
        <v>2500.2779999999975</v>
      </c>
      <c r="E34" s="109">
        <v>2685</v>
      </c>
      <c r="F34" s="109">
        <v>569.97</v>
      </c>
      <c r="G34" s="109">
        <v>3636.38</v>
      </c>
      <c r="H34" s="109">
        <v>772.57</v>
      </c>
      <c r="I34" s="109">
        <v>8737.97</v>
      </c>
      <c r="J34" s="109">
        <v>1855.42</v>
      </c>
      <c r="K34" s="109">
        <v>6052.84</v>
      </c>
      <c r="L34" s="109">
        <v>1285.49</v>
      </c>
      <c r="M34" s="109">
        <v>2148.05</v>
      </c>
      <c r="N34" s="109">
        <v>455.92</v>
      </c>
      <c r="O34" s="109">
        <v>0</v>
      </c>
      <c r="P34" s="62">
        <v>0</v>
      </c>
      <c r="Q34" s="62"/>
      <c r="R34" s="62"/>
      <c r="S34" s="59">
        <f t="shared" si="24"/>
        <v>23260.239999999998</v>
      </c>
      <c r="T34" s="61">
        <f t="shared" si="25"/>
        <v>4939.37</v>
      </c>
      <c r="U34" s="74">
        <v>2538.17</v>
      </c>
      <c r="V34" s="74">
        <v>3473.7</v>
      </c>
      <c r="W34" s="74">
        <v>8343.56</v>
      </c>
      <c r="X34" s="74">
        <v>5781.99</v>
      </c>
      <c r="Y34" s="74">
        <v>2051.75</v>
      </c>
      <c r="Z34" s="75">
        <v>0</v>
      </c>
      <c r="AA34" s="75">
        <v>0</v>
      </c>
      <c r="AB34" s="60">
        <f aca="true" t="shared" si="39" ref="AB34:AB41">SUM(U34:AA34)</f>
        <v>22189.17</v>
      </c>
      <c r="AC34" s="63">
        <f t="shared" si="26"/>
        <v>29628.817999999996</v>
      </c>
      <c r="AD34" s="64">
        <f t="shared" si="27"/>
        <v>0</v>
      </c>
      <c r="AE34" s="64">
        <f t="shared" si="28"/>
        <v>0</v>
      </c>
      <c r="AF34" s="64"/>
      <c r="AG34" s="65">
        <f t="shared" si="29"/>
        <v>2129.4719999999998</v>
      </c>
      <c r="AH34" s="65">
        <f t="shared" si="30"/>
        <v>709.8240000000001</v>
      </c>
      <c r="AI34" s="65">
        <f t="shared" si="31"/>
        <v>3549.12</v>
      </c>
      <c r="AJ34" s="65">
        <v>0</v>
      </c>
      <c r="AK34" s="65">
        <f t="shared" si="32"/>
        <v>3478.1376</v>
      </c>
      <c r="AL34" s="65">
        <v>0</v>
      </c>
      <c r="AM34" s="65">
        <f t="shared" si="33"/>
        <v>7985.5199999999995</v>
      </c>
      <c r="AN34" s="65">
        <v>0</v>
      </c>
      <c r="AO34" s="65">
        <v>4379.4</v>
      </c>
      <c r="AP34" s="65"/>
      <c r="AQ34" s="66"/>
      <c r="AR34" s="66"/>
      <c r="AS34" s="67">
        <v>3090</v>
      </c>
      <c r="AT34" s="67"/>
      <c r="AU34" s="67">
        <f>385*0</f>
        <v>0</v>
      </c>
      <c r="AV34" s="68"/>
      <c r="AW34" s="179">
        <v>499</v>
      </c>
      <c r="AX34" s="65">
        <f t="shared" si="34"/>
        <v>698.5999999999999</v>
      </c>
      <c r="AY34" s="51"/>
      <c r="AZ34" s="69"/>
      <c r="BA34" s="69">
        <f t="shared" si="35"/>
        <v>0</v>
      </c>
      <c r="BB34" s="69">
        <f t="shared" si="36"/>
        <v>26020.073599999996</v>
      </c>
      <c r="BC34" s="70"/>
      <c r="BD34" s="139">
        <f t="shared" si="37"/>
        <v>3608.7443999999996</v>
      </c>
      <c r="BE34" s="141">
        <f t="shared" si="38"/>
        <v>-1071.0699999999997</v>
      </c>
    </row>
    <row r="35" spans="1:57" ht="12.75">
      <c r="A35" s="91" t="s">
        <v>50</v>
      </c>
      <c r="B35" s="58">
        <v>3549.12</v>
      </c>
      <c r="C35" s="55">
        <f t="shared" si="22"/>
        <v>30699.888</v>
      </c>
      <c r="D35" s="54">
        <f t="shared" si="23"/>
        <v>2457.7280000000023</v>
      </c>
      <c r="E35" s="109">
        <v>2694.98</v>
      </c>
      <c r="F35" s="109">
        <v>565</v>
      </c>
      <c r="G35" s="109">
        <v>3649.58</v>
      </c>
      <c r="H35" s="109">
        <v>765.85</v>
      </c>
      <c r="I35" s="109">
        <v>8770.17</v>
      </c>
      <c r="J35" s="109">
        <v>1839.25</v>
      </c>
      <c r="K35" s="109">
        <v>6075.06</v>
      </c>
      <c r="L35" s="109">
        <v>1274.29</v>
      </c>
      <c r="M35" s="109">
        <v>2156.03</v>
      </c>
      <c r="N35" s="109">
        <v>451.95</v>
      </c>
      <c r="O35" s="109">
        <v>0</v>
      </c>
      <c r="P35" s="62">
        <v>0</v>
      </c>
      <c r="Q35" s="109">
        <v>0</v>
      </c>
      <c r="R35" s="62">
        <v>0</v>
      </c>
      <c r="S35" s="59">
        <f t="shared" si="24"/>
        <v>23345.82</v>
      </c>
      <c r="T35" s="61">
        <f t="shared" si="25"/>
        <v>4896.34</v>
      </c>
      <c r="U35" s="59">
        <v>2614.62</v>
      </c>
      <c r="V35" s="59">
        <v>3576.84</v>
      </c>
      <c r="W35" s="59">
        <v>8595</v>
      </c>
      <c r="X35" s="59">
        <v>5953.89</v>
      </c>
      <c r="Y35" s="59">
        <v>2112.88</v>
      </c>
      <c r="Z35" s="60">
        <v>0</v>
      </c>
      <c r="AA35" s="60">
        <v>0</v>
      </c>
      <c r="AB35" s="60">
        <f t="shared" si="39"/>
        <v>22853.23</v>
      </c>
      <c r="AC35" s="63">
        <f t="shared" si="26"/>
        <v>30207.298000000003</v>
      </c>
      <c r="AD35" s="64">
        <f t="shared" si="27"/>
        <v>0</v>
      </c>
      <c r="AE35" s="64">
        <f t="shared" si="28"/>
        <v>0</v>
      </c>
      <c r="AF35" s="64"/>
      <c r="AG35" s="65">
        <f t="shared" si="29"/>
        <v>2129.4719999999998</v>
      </c>
      <c r="AH35" s="65">
        <f t="shared" si="30"/>
        <v>709.8240000000001</v>
      </c>
      <c r="AI35" s="65">
        <f t="shared" si="31"/>
        <v>3549.12</v>
      </c>
      <c r="AJ35" s="65">
        <v>0</v>
      </c>
      <c r="AK35" s="65">
        <f t="shared" si="32"/>
        <v>3478.1376</v>
      </c>
      <c r="AL35" s="65">
        <v>0</v>
      </c>
      <c r="AM35" s="65">
        <f t="shared" si="33"/>
        <v>7985.5199999999995</v>
      </c>
      <c r="AN35" s="65">
        <v>0</v>
      </c>
      <c r="AO35" s="65"/>
      <c r="AP35" s="65"/>
      <c r="AQ35" s="66"/>
      <c r="AR35" s="66"/>
      <c r="AS35" s="67">
        <v>7797</v>
      </c>
      <c r="AT35" s="67"/>
      <c r="AU35" s="67">
        <f>AT35*0.18</f>
        <v>0</v>
      </c>
      <c r="AV35" s="68"/>
      <c r="AW35" s="179">
        <v>679</v>
      </c>
      <c r="AX35" s="65">
        <f t="shared" si="34"/>
        <v>950.5999999999999</v>
      </c>
      <c r="AY35" s="51"/>
      <c r="AZ35" s="69"/>
      <c r="BA35" s="69">
        <f t="shared" si="35"/>
        <v>0</v>
      </c>
      <c r="BB35" s="69">
        <f t="shared" si="36"/>
        <v>26599.6736</v>
      </c>
      <c r="BC35" s="70"/>
      <c r="BD35" s="139">
        <f t="shared" si="37"/>
        <v>3607.6244000000042</v>
      </c>
      <c r="BE35" s="141">
        <f t="shared" si="38"/>
        <v>-492.59000000000015</v>
      </c>
    </row>
    <row r="36" spans="1:57" ht="12.75">
      <c r="A36" s="91" t="s">
        <v>51</v>
      </c>
      <c r="B36" s="58">
        <v>3549.12</v>
      </c>
      <c r="C36" s="55">
        <f t="shared" si="22"/>
        <v>30699.888</v>
      </c>
      <c r="D36" s="54">
        <f t="shared" si="23"/>
        <v>2498.0579999999964</v>
      </c>
      <c r="E36" s="196">
        <v>3262.13</v>
      </c>
      <c r="F36" s="109">
        <v>0</v>
      </c>
      <c r="G36" s="109">
        <v>4418.24</v>
      </c>
      <c r="H36" s="109">
        <v>0</v>
      </c>
      <c r="I36" s="109">
        <v>10557.69</v>
      </c>
      <c r="J36" s="109">
        <v>0</v>
      </c>
      <c r="K36" s="109">
        <v>7354.07</v>
      </c>
      <c r="L36" s="109">
        <v>0</v>
      </c>
      <c r="M36" s="109">
        <v>2609.7</v>
      </c>
      <c r="N36" s="109">
        <v>0</v>
      </c>
      <c r="O36" s="109">
        <v>0</v>
      </c>
      <c r="P36" s="62">
        <v>0</v>
      </c>
      <c r="Q36" s="62"/>
      <c r="R36" s="62"/>
      <c r="S36" s="59">
        <f t="shared" si="24"/>
        <v>28201.83</v>
      </c>
      <c r="T36" s="61">
        <f t="shared" si="25"/>
        <v>0</v>
      </c>
      <c r="U36" s="73">
        <v>2437.89</v>
      </c>
      <c r="V36" s="59">
        <v>3325.15</v>
      </c>
      <c r="W36" s="59">
        <v>7989.57</v>
      </c>
      <c r="X36" s="59">
        <v>5534.43</v>
      </c>
      <c r="Y36" s="59">
        <v>1963.95</v>
      </c>
      <c r="Z36" s="60">
        <v>0</v>
      </c>
      <c r="AA36" s="60">
        <v>0</v>
      </c>
      <c r="AB36" s="60">
        <f t="shared" si="39"/>
        <v>21250.99</v>
      </c>
      <c r="AC36" s="63">
        <f t="shared" si="26"/>
        <v>23749.048</v>
      </c>
      <c r="AD36" s="64">
        <f t="shared" si="27"/>
        <v>0</v>
      </c>
      <c r="AE36" s="64">
        <f t="shared" si="28"/>
        <v>0</v>
      </c>
      <c r="AF36" s="64"/>
      <c r="AG36" s="65">
        <f t="shared" si="29"/>
        <v>2129.4719999999998</v>
      </c>
      <c r="AH36" s="65">
        <f t="shared" si="30"/>
        <v>709.8240000000001</v>
      </c>
      <c r="AI36" s="65">
        <f t="shared" si="31"/>
        <v>3549.12</v>
      </c>
      <c r="AJ36" s="65">
        <v>0</v>
      </c>
      <c r="AK36" s="65">
        <f t="shared" si="32"/>
        <v>3478.1376</v>
      </c>
      <c r="AL36" s="65">
        <v>0</v>
      </c>
      <c r="AM36" s="65">
        <f t="shared" si="33"/>
        <v>7985.5199999999995</v>
      </c>
      <c r="AN36" s="65">
        <v>0</v>
      </c>
      <c r="AO36" s="65"/>
      <c r="AP36" s="65"/>
      <c r="AQ36" s="66"/>
      <c r="AR36" s="66"/>
      <c r="AS36" s="67"/>
      <c r="AT36" s="67"/>
      <c r="AU36" s="67">
        <f>AT36*0.18</f>
        <v>0</v>
      </c>
      <c r="AV36" s="68"/>
      <c r="AW36" s="179">
        <v>726</v>
      </c>
      <c r="AX36" s="65">
        <f t="shared" si="34"/>
        <v>1016.4</v>
      </c>
      <c r="AY36" s="51"/>
      <c r="AZ36" s="69"/>
      <c r="BA36" s="69">
        <f t="shared" si="35"/>
        <v>0</v>
      </c>
      <c r="BB36" s="69">
        <f t="shared" si="36"/>
        <v>18868.4736</v>
      </c>
      <c r="BC36" s="70"/>
      <c r="BD36" s="139">
        <f t="shared" si="37"/>
        <v>4880.574399999998</v>
      </c>
      <c r="BE36" s="141">
        <f t="shared" si="38"/>
        <v>-6950.84</v>
      </c>
    </row>
    <row r="37" spans="1:57" ht="12.75">
      <c r="A37" s="91" t="s">
        <v>52</v>
      </c>
      <c r="B37" s="58">
        <v>3549.12</v>
      </c>
      <c r="C37" s="55">
        <f t="shared" si="22"/>
        <v>30699.888</v>
      </c>
      <c r="D37" s="54">
        <f t="shared" si="23"/>
        <v>2296.5779999999986</v>
      </c>
      <c r="E37" s="196">
        <v>3285.38</v>
      </c>
      <c r="F37" s="109">
        <v>0</v>
      </c>
      <c r="G37" s="109">
        <v>4449.76</v>
      </c>
      <c r="H37" s="109">
        <v>0</v>
      </c>
      <c r="I37" s="109">
        <v>10633.37</v>
      </c>
      <c r="J37" s="109">
        <v>0</v>
      </c>
      <c r="K37" s="109">
        <v>7406.5</v>
      </c>
      <c r="L37" s="109">
        <v>0</v>
      </c>
      <c r="M37" s="109">
        <v>2628.3</v>
      </c>
      <c r="N37" s="109">
        <v>0</v>
      </c>
      <c r="O37" s="109">
        <v>0</v>
      </c>
      <c r="P37" s="62">
        <v>0</v>
      </c>
      <c r="Q37" s="62"/>
      <c r="R37" s="62"/>
      <c r="S37" s="59">
        <f t="shared" si="24"/>
        <v>28403.31</v>
      </c>
      <c r="T37" s="61">
        <f t="shared" si="25"/>
        <v>0</v>
      </c>
      <c r="U37" s="74">
        <v>2676.97</v>
      </c>
      <c r="V37" s="74">
        <v>3637.1</v>
      </c>
      <c r="W37" s="74">
        <v>8735.23</v>
      </c>
      <c r="X37" s="74">
        <v>6052.21</v>
      </c>
      <c r="Y37" s="74">
        <v>2136.05</v>
      </c>
      <c r="Z37" s="75">
        <v>0</v>
      </c>
      <c r="AA37" s="75">
        <v>0</v>
      </c>
      <c r="AB37" s="60">
        <f t="shared" si="39"/>
        <v>23237.559999999998</v>
      </c>
      <c r="AC37" s="63">
        <f t="shared" si="26"/>
        <v>25534.137999999995</v>
      </c>
      <c r="AD37" s="64">
        <f t="shared" si="27"/>
        <v>0</v>
      </c>
      <c r="AE37" s="64">
        <f t="shared" si="28"/>
        <v>0</v>
      </c>
      <c r="AF37" s="64"/>
      <c r="AG37" s="65">
        <f t="shared" si="29"/>
        <v>2129.4719999999998</v>
      </c>
      <c r="AH37" s="65">
        <f t="shared" si="30"/>
        <v>709.8240000000001</v>
      </c>
      <c r="AI37" s="65">
        <f t="shared" si="31"/>
        <v>3549.12</v>
      </c>
      <c r="AJ37" s="65">
        <v>0</v>
      </c>
      <c r="AK37" s="65">
        <f t="shared" si="32"/>
        <v>3478.1376</v>
      </c>
      <c r="AL37" s="65">
        <v>0</v>
      </c>
      <c r="AM37" s="65">
        <f t="shared" si="33"/>
        <v>7985.5199999999995</v>
      </c>
      <c r="AN37" s="65">
        <v>0</v>
      </c>
      <c r="AO37" s="65"/>
      <c r="AP37" s="65"/>
      <c r="AQ37" s="66"/>
      <c r="AR37" s="66"/>
      <c r="AS37" s="67">
        <v>157</v>
      </c>
      <c r="AT37" s="67">
        <f>47.8</f>
        <v>47.8</v>
      </c>
      <c r="AU37" s="67">
        <f>0*0.18</f>
        <v>0</v>
      </c>
      <c r="AV37" s="68"/>
      <c r="AW37" s="179">
        <v>538</v>
      </c>
      <c r="AX37" s="65">
        <f t="shared" si="34"/>
        <v>753.1999999999999</v>
      </c>
      <c r="AY37" s="51"/>
      <c r="AZ37" s="69"/>
      <c r="BA37" s="69">
        <f t="shared" si="35"/>
        <v>0</v>
      </c>
      <c r="BB37" s="69">
        <f t="shared" si="36"/>
        <v>18810.0736</v>
      </c>
      <c r="BC37" s="70"/>
      <c r="BD37" s="139">
        <f t="shared" si="37"/>
        <v>6724.064399999996</v>
      </c>
      <c r="BE37" s="141">
        <f t="shared" si="38"/>
        <v>-5165.750000000004</v>
      </c>
    </row>
    <row r="38" spans="1:57" ht="12.75">
      <c r="A38" s="91" t="s">
        <v>53</v>
      </c>
      <c r="B38" s="58">
        <v>3549.12</v>
      </c>
      <c r="C38" s="55">
        <f t="shared" si="22"/>
        <v>30699.888</v>
      </c>
      <c r="D38" s="54">
        <f t="shared" si="23"/>
        <v>2505.708</v>
      </c>
      <c r="E38" s="109">
        <v>3261.23</v>
      </c>
      <c r="F38" s="109">
        <v>0</v>
      </c>
      <c r="G38" s="109">
        <v>4417.07</v>
      </c>
      <c r="H38" s="109">
        <v>0</v>
      </c>
      <c r="I38" s="109">
        <v>10554.81</v>
      </c>
      <c r="J38" s="109">
        <v>0</v>
      </c>
      <c r="K38" s="109">
        <v>7352.09</v>
      </c>
      <c r="L38" s="109">
        <v>0</v>
      </c>
      <c r="M38" s="109">
        <v>2608.98</v>
      </c>
      <c r="N38" s="109">
        <v>0</v>
      </c>
      <c r="O38" s="109">
        <v>0</v>
      </c>
      <c r="P38" s="62">
        <v>0</v>
      </c>
      <c r="Q38" s="62"/>
      <c r="R38" s="62"/>
      <c r="S38" s="59">
        <f t="shared" si="24"/>
        <v>28194.18</v>
      </c>
      <c r="T38" s="61">
        <f t="shared" si="25"/>
        <v>0</v>
      </c>
      <c r="U38" s="59">
        <v>4064.72</v>
      </c>
      <c r="V38" s="59">
        <v>5494.13</v>
      </c>
      <c r="W38" s="59">
        <v>13102.89</v>
      </c>
      <c r="X38" s="59">
        <v>9146.57</v>
      </c>
      <c r="Y38" s="59">
        <v>3257.3</v>
      </c>
      <c r="Z38" s="60">
        <v>0</v>
      </c>
      <c r="AA38" s="60">
        <v>0</v>
      </c>
      <c r="AB38" s="60">
        <f t="shared" si="39"/>
        <v>35065.61</v>
      </c>
      <c r="AC38" s="63">
        <f t="shared" si="26"/>
        <v>37571.318</v>
      </c>
      <c r="AD38" s="64">
        <f t="shared" si="27"/>
        <v>0</v>
      </c>
      <c r="AE38" s="64">
        <f t="shared" si="28"/>
        <v>0</v>
      </c>
      <c r="AF38" s="64"/>
      <c r="AG38" s="65">
        <f t="shared" si="29"/>
        <v>2129.4719999999998</v>
      </c>
      <c r="AH38" s="65">
        <f t="shared" si="30"/>
        <v>709.8240000000001</v>
      </c>
      <c r="AI38" s="65">
        <f t="shared" si="31"/>
        <v>3549.12</v>
      </c>
      <c r="AJ38" s="65">
        <v>0</v>
      </c>
      <c r="AK38" s="65">
        <f t="shared" si="32"/>
        <v>3478.1376</v>
      </c>
      <c r="AL38" s="65">
        <v>0</v>
      </c>
      <c r="AM38" s="65">
        <f t="shared" si="33"/>
        <v>7985.5199999999995</v>
      </c>
      <c r="AN38" s="65">
        <v>0</v>
      </c>
      <c r="AO38" s="65"/>
      <c r="AP38" s="65"/>
      <c r="AQ38" s="66"/>
      <c r="AR38" s="66"/>
      <c r="AS38" s="67">
        <v>2981</v>
      </c>
      <c r="AT38" s="67"/>
      <c r="AU38" s="76">
        <f>0*0.18</f>
        <v>0</v>
      </c>
      <c r="AV38" s="68"/>
      <c r="AW38" s="179">
        <v>679</v>
      </c>
      <c r="AX38" s="65">
        <f t="shared" si="34"/>
        <v>950.5999999999999</v>
      </c>
      <c r="AY38" s="51"/>
      <c r="AZ38" s="69"/>
      <c r="BA38" s="69">
        <f t="shared" si="35"/>
        <v>0</v>
      </c>
      <c r="BB38" s="69">
        <f t="shared" si="36"/>
        <v>21783.6736</v>
      </c>
      <c r="BC38" s="70"/>
      <c r="BD38" s="139">
        <f t="shared" si="37"/>
        <v>15787.644400000001</v>
      </c>
      <c r="BE38" s="141">
        <f t="shared" si="38"/>
        <v>6871.43</v>
      </c>
    </row>
    <row r="39" spans="1:57" ht="12.75">
      <c r="A39" s="91" t="s">
        <v>41</v>
      </c>
      <c r="B39" s="58">
        <v>3549.12</v>
      </c>
      <c r="C39" s="55">
        <f t="shared" si="22"/>
        <v>30699.888</v>
      </c>
      <c r="D39" s="197">
        <f>C39-E39-F39-G39-H39-I39-J39-K39-L39-M39-N39+40000</f>
        <v>42505.708</v>
      </c>
      <c r="E39" s="183">
        <v>3261.23</v>
      </c>
      <c r="F39" s="183">
        <v>0</v>
      </c>
      <c r="G39" s="183">
        <v>4417.07</v>
      </c>
      <c r="H39" s="183">
        <v>0</v>
      </c>
      <c r="I39" s="183">
        <v>10554.81</v>
      </c>
      <c r="J39" s="183">
        <v>0</v>
      </c>
      <c r="K39" s="183">
        <v>7352.09</v>
      </c>
      <c r="L39" s="183">
        <v>0</v>
      </c>
      <c r="M39" s="183">
        <v>2608.98</v>
      </c>
      <c r="N39" s="183">
        <v>0</v>
      </c>
      <c r="O39" s="183">
        <v>0</v>
      </c>
      <c r="P39" s="184">
        <v>0</v>
      </c>
      <c r="Q39" s="184"/>
      <c r="R39" s="184"/>
      <c r="S39" s="59">
        <f t="shared" si="24"/>
        <v>28194.18</v>
      </c>
      <c r="T39" s="61">
        <f t="shared" si="25"/>
        <v>0</v>
      </c>
      <c r="U39" s="59">
        <v>3078.11</v>
      </c>
      <c r="V39" s="59">
        <v>4168.31</v>
      </c>
      <c r="W39" s="59">
        <v>10016.69</v>
      </c>
      <c r="X39" s="59">
        <v>6938.54</v>
      </c>
      <c r="Y39" s="59">
        <v>2462.3</v>
      </c>
      <c r="Z39" s="60">
        <v>0</v>
      </c>
      <c r="AA39" s="60">
        <v>0</v>
      </c>
      <c r="AB39" s="60">
        <f t="shared" si="39"/>
        <v>26663.95</v>
      </c>
      <c r="AC39" s="63">
        <f t="shared" si="26"/>
        <v>69169.658</v>
      </c>
      <c r="AD39" s="64">
        <f t="shared" si="27"/>
        <v>0</v>
      </c>
      <c r="AE39" s="64">
        <f t="shared" si="28"/>
        <v>0</v>
      </c>
      <c r="AF39" s="64"/>
      <c r="AG39" s="65">
        <f t="shared" si="29"/>
        <v>2129.4719999999998</v>
      </c>
      <c r="AH39" s="65">
        <f t="shared" si="30"/>
        <v>709.8240000000001</v>
      </c>
      <c r="AI39" s="65">
        <f t="shared" si="31"/>
        <v>3549.12</v>
      </c>
      <c r="AJ39" s="65">
        <v>0</v>
      </c>
      <c r="AK39" s="65">
        <f t="shared" si="32"/>
        <v>3478.1376</v>
      </c>
      <c r="AL39" s="65">
        <v>0</v>
      </c>
      <c r="AM39" s="65">
        <f t="shared" si="33"/>
        <v>7985.5199999999995</v>
      </c>
      <c r="AN39" s="65">
        <v>0</v>
      </c>
      <c r="AO39" s="65"/>
      <c r="AP39" s="65"/>
      <c r="AQ39" s="66"/>
      <c r="AR39" s="66"/>
      <c r="AS39" s="67">
        <v>298</v>
      </c>
      <c r="AT39" s="67"/>
      <c r="AU39" s="67">
        <f>AT39*0.18</f>
        <v>0</v>
      </c>
      <c r="AV39" s="68"/>
      <c r="AW39" s="179">
        <v>668</v>
      </c>
      <c r="AX39" s="65">
        <f t="shared" si="34"/>
        <v>935.1999999999999</v>
      </c>
      <c r="AY39" s="51"/>
      <c r="AZ39" s="69"/>
      <c r="BA39" s="69">
        <f t="shared" si="35"/>
        <v>0</v>
      </c>
      <c r="BB39" s="69">
        <f t="shared" si="36"/>
        <v>19085.2736</v>
      </c>
      <c r="BC39" s="70"/>
      <c r="BD39" s="139">
        <f t="shared" si="37"/>
        <v>50084.384399999995</v>
      </c>
      <c r="BE39" s="141">
        <f t="shared" si="38"/>
        <v>-1530.2299999999996</v>
      </c>
    </row>
    <row r="40" spans="1:57" ht="12.75">
      <c r="A40" s="91" t="s">
        <v>42</v>
      </c>
      <c r="B40" s="58">
        <v>3549.12</v>
      </c>
      <c r="C40" s="55">
        <f t="shared" si="22"/>
        <v>30699.888</v>
      </c>
      <c r="D40" s="54">
        <f>C40-E40-F40-G40-H40-I40-J40-K40-L40-M40-N40</f>
        <v>2505.6779999999994</v>
      </c>
      <c r="E40" s="109">
        <v>3261.23</v>
      </c>
      <c r="F40" s="109">
        <v>0</v>
      </c>
      <c r="G40" s="109">
        <v>4417.07</v>
      </c>
      <c r="H40" s="109">
        <v>0</v>
      </c>
      <c r="I40" s="109">
        <v>10554.83</v>
      </c>
      <c r="J40" s="109">
        <v>0</v>
      </c>
      <c r="K40" s="109">
        <v>7352.1</v>
      </c>
      <c r="L40" s="109">
        <v>0</v>
      </c>
      <c r="M40" s="109">
        <v>2608.98</v>
      </c>
      <c r="N40" s="109">
        <v>0</v>
      </c>
      <c r="O40" s="109">
        <v>0</v>
      </c>
      <c r="P40" s="62">
        <v>0</v>
      </c>
      <c r="Q40" s="62"/>
      <c r="R40" s="62"/>
      <c r="S40" s="59">
        <f t="shared" si="24"/>
        <v>28194.209999999995</v>
      </c>
      <c r="T40" s="61">
        <f t="shared" si="25"/>
        <v>0</v>
      </c>
      <c r="U40" s="73">
        <v>3320.6</v>
      </c>
      <c r="V40" s="59">
        <v>4497.81</v>
      </c>
      <c r="W40" s="59">
        <v>10675.12</v>
      </c>
      <c r="X40" s="59">
        <v>7486.31</v>
      </c>
      <c r="Y40" s="59">
        <v>2656.67</v>
      </c>
      <c r="Z40" s="60">
        <v>0</v>
      </c>
      <c r="AA40" s="60">
        <v>0</v>
      </c>
      <c r="AB40" s="60">
        <f t="shared" si="39"/>
        <v>28636.510000000002</v>
      </c>
      <c r="AC40" s="63">
        <f t="shared" si="26"/>
        <v>31142.188000000002</v>
      </c>
      <c r="AD40" s="64">
        <f t="shared" si="27"/>
        <v>0</v>
      </c>
      <c r="AE40" s="64">
        <f t="shared" si="28"/>
        <v>0</v>
      </c>
      <c r="AF40" s="64"/>
      <c r="AG40" s="65">
        <f t="shared" si="29"/>
        <v>2129.4719999999998</v>
      </c>
      <c r="AH40" s="65">
        <f t="shared" si="30"/>
        <v>709.8240000000001</v>
      </c>
      <c r="AI40" s="65">
        <f t="shared" si="31"/>
        <v>3549.12</v>
      </c>
      <c r="AJ40" s="65">
        <v>0</v>
      </c>
      <c r="AK40" s="65">
        <f t="shared" si="32"/>
        <v>3478.1376</v>
      </c>
      <c r="AL40" s="65">
        <v>0</v>
      </c>
      <c r="AM40" s="65">
        <f t="shared" si="33"/>
        <v>7985.5199999999995</v>
      </c>
      <c r="AN40" s="65">
        <v>0</v>
      </c>
      <c r="AO40" s="65"/>
      <c r="AP40" s="65"/>
      <c r="AQ40" s="66"/>
      <c r="AR40" s="66"/>
      <c r="AS40" s="67">
        <v>1212</v>
      </c>
      <c r="AT40" s="198">
        <v>40000</v>
      </c>
      <c r="AU40" s="67">
        <f>0*0.18</f>
        <v>0</v>
      </c>
      <c r="AV40" s="68"/>
      <c r="AW40" s="179">
        <v>833</v>
      </c>
      <c r="AX40" s="65">
        <f t="shared" si="34"/>
        <v>1166.1999999999998</v>
      </c>
      <c r="AY40" s="51"/>
      <c r="AZ40" s="69"/>
      <c r="BA40" s="69">
        <f t="shared" si="35"/>
        <v>0</v>
      </c>
      <c r="BB40" s="69">
        <f t="shared" si="36"/>
        <v>60230.2736</v>
      </c>
      <c r="BC40" s="70"/>
      <c r="BD40" s="139">
        <f t="shared" si="37"/>
        <v>-29088.0856</v>
      </c>
      <c r="BE40" s="141">
        <f t="shared" si="38"/>
        <v>442.30000000000655</v>
      </c>
    </row>
    <row r="41" spans="1:57" ht="12.75">
      <c r="A41" s="91" t="s">
        <v>43</v>
      </c>
      <c r="B41" s="58">
        <v>3549.12</v>
      </c>
      <c r="C41" s="55">
        <f t="shared" si="22"/>
        <v>30699.888</v>
      </c>
      <c r="D41" s="54">
        <f>C41-E41-F41-G41-H41-I41-J41-K41-L41-M41-N41</f>
        <v>2517.547999999995</v>
      </c>
      <c r="E41" s="109">
        <v>3259.83</v>
      </c>
      <c r="F41" s="109">
        <v>0</v>
      </c>
      <c r="G41" s="109">
        <v>4415.26</v>
      </c>
      <c r="H41" s="109">
        <v>0</v>
      </c>
      <c r="I41" s="109">
        <v>10550.34</v>
      </c>
      <c r="J41" s="109">
        <v>0</v>
      </c>
      <c r="K41" s="109">
        <v>7349.04</v>
      </c>
      <c r="L41" s="109">
        <v>0</v>
      </c>
      <c r="M41" s="109">
        <v>2607.87</v>
      </c>
      <c r="N41" s="109">
        <v>0</v>
      </c>
      <c r="O41" s="109">
        <v>0</v>
      </c>
      <c r="P41" s="62">
        <v>0</v>
      </c>
      <c r="Q41" s="62"/>
      <c r="R41" s="62"/>
      <c r="S41" s="59">
        <f t="shared" si="24"/>
        <v>28182.34</v>
      </c>
      <c r="T41" s="61">
        <f t="shared" si="25"/>
        <v>0</v>
      </c>
      <c r="U41" s="59">
        <v>3720.62</v>
      </c>
      <c r="V41" s="59">
        <v>5038.94</v>
      </c>
      <c r="W41" s="59">
        <v>12108.19</v>
      </c>
      <c r="X41" s="59">
        <v>8387.41</v>
      </c>
      <c r="Y41" s="59">
        <v>2976.42</v>
      </c>
      <c r="Z41" s="60">
        <v>0</v>
      </c>
      <c r="AA41" s="60">
        <v>0</v>
      </c>
      <c r="AB41" s="60">
        <f t="shared" si="39"/>
        <v>32231.58</v>
      </c>
      <c r="AC41" s="63">
        <f t="shared" si="26"/>
        <v>34749.128</v>
      </c>
      <c r="AD41" s="64">
        <f t="shared" si="27"/>
        <v>0</v>
      </c>
      <c r="AE41" s="64">
        <f t="shared" si="28"/>
        <v>0</v>
      </c>
      <c r="AF41" s="64"/>
      <c r="AG41" s="65">
        <f t="shared" si="29"/>
        <v>2129.4719999999998</v>
      </c>
      <c r="AH41" s="65">
        <f t="shared" si="30"/>
        <v>709.8240000000001</v>
      </c>
      <c r="AI41" s="65">
        <f t="shared" si="31"/>
        <v>3549.12</v>
      </c>
      <c r="AJ41" s="65">
        <v>0</v>
      </c>
      <c r="AK41" s="65">
        <f t="shared" si="32"/>
        <v>3478.1376</v>
      </c>
      <c r="AL41" s="65">
        <v>0</v>
      </c>
      <c r="AM41" s="65">
        <f t="shared" si="33"/>
        <v>7985.5199999999995</v>
      </c>
      <c r="AN41" s="65">
        <v>0</v>
      </c>
      <c r="AO41" s="65"/>
      <c r="AP41" s="65"/>
      <c r="AQ41" s="66"/>
      <c r="AR41" s="66"/>
      <c r="AS41" s="67">
        <v>7668</v>
      </c>
      <c r="AT41" s="199">
        <f>230.46+172.39-0.01</f>
        <v>402.84000000000003</v>
      </c>
      <c r="AU41" s="67">
        <f>AT41*0.18</f>
        <v>72.5112</v>
      </c>
      <c r="AV41" s="68"/>
      <c r="AW41" s="179">
        <v>876</v>
      </c>
      <c r="AX41" s="65">
        <f t="shared" si="34"/>
        <v>1226.3999999999999</v>
      </c>
      <c r="AY41" s="51"/>
      <c r="AZ41" s="69"/>
      <c r="BA41" s="69">
        <f t="shared" si="35"/>
        <v>0</v>
      </c>
      <c r="BB41" s="69">
        <f t="shared" si="36"/>
        <v>27221.824800000002</v>
      </c>
      <c r="BC41" s="70"/>
      <c r="BD41" s="139">
        <f t="shared" si="37"/>
        <v>7527.303199999995</v>
      </c>
      <c r="BE41" s="141">
        <f t="shared" si="38"/>
        <v>4049.2400000000016</v>
      </c>
    </row>
    <row r="42" spans="1:57" s="9" customFormat="1" ht="12.75">
      <c r="A42" s="6" t="s">
        <v>5</v>
      </c>
      <c r="B42" s="27"/>
      <c r="C42" s="27">
        <f aca="true" t="shared" si="40" ref="C42:AU42">SUM(C30:C41)</f>
        <v>368377.20399999997</v>
      </c>
      <c r="D42" s="27">
        <f t="shared" si="40"/>
        <v>69772.644</v>
      </c>
      <c r="E42" s="25">
        <f t="shared" si="40"/>
        <v>35743.38</v>
      </c>
      <c r="F42" s="25">
        <f t="shared" si="40"/>
        <v>3381.8</v>
      </c>
      <c r="G42" s="25">
        <f t="shared" si="40"/>
        <v>48409.72</v>
      </c>
      <c r="H42" s="25">
        <f t="shared" si="40"/>
        <v>4583.89</v>
      </c>
      <c r="I42" s="25">
        <f t="shared" si="40"/>
        <v>115971.30999999998</v>
      </c>
      <c r="J42" s="25">
        <f t="shared" si="40"/>
        <v>11008.71</v>
      </c>
      <c r="K42" s="25">
        <f t="shared" si="40"/>
        <v>80578.5</v>
      </c>
      <c r="L42" s="25">
        <f t="shared" si="40"/>
        <v>7627.16</v>
      </c>
      <c r="M42" s="25">
        <f t="shared" si="40"/>
        <v>28594.989999999994</v>
      </c>
      <c r="N42" s="25">
        <f t="shared" si="40"/>
        <v>2705.1</v>
      </c>
      <c r="O42" s="25">
        <f t="shared" si="40"/>
        <v>0</v>
      </c>
      <c r="P42" s="25">
        <f t="shared" si="40"/>
        <v>0</v>
      </c>
      <c r="Q42" s="25">
        <f t="shared" si="40"/>
        <v>0</v>
      </c>
      <c r="R42" s="25">
        <f t="shared" si="40"/>
        <v>0</v>
      </c>
      <c r="S42" s="25">
        <f t="shared" si="40"/>
        <v>309297.9</v>
      </c>
      <c r="T42" s="25">
        <f t="shared" si="40"/>
        <v>29306.659999999996</v>
      </c>
      <c r="U42" s="28">
        <f t="shared" si="40"/>
        <v>33235.69</v>
      </c>
      <c r="V42" s="28">
        <f t="shared" si="40"/>
        <v>44971.659999999996</v>
      </c>
      <c r="W42" s="28">
        <f t="shared" si="40"/>
        <v>107833.45</v>
      </c>
      <c r="X42" s="28">
        <f t="shared" si="40"/>
        <v>74860.64</v>
      </c>
      <c r="Y42" s="28">
        <f t="shared" si="40"/>
        <v>26568.489999999998</v>
      </c>
      <c r="Z42" s="28">
        <f t="shared" si="40"/>
        <v>0</v>
      </c>
      <c r="AA42" s="28">
        <f t="shared" si="40"/>
        <v>0</v>
      </c>
      <c r="AB42" s="28">
        <f t="shared" si="40"/>
        <v>287469.93000000005</v>
      </c>
      <c r="AC42" s="28">
        <f t="shared" si="40"/>
        <v>386549.23400000005</v>
      </c>
      <c r="AD42" s="28">
        <f t="shared" si="40"/>
        <v>0</v>
      </c>
      <c r="AE42" s="45">
        <f t="shared" si="40"/>
        <v>0</v>
      </c>
      <c r="AF42" s="45">
        <f t="shared" si="40"/>
        <v>0</v>
      </c>
      <c r="AG42" s="7">
        <f t="shared" si="40"/>
        <v>25552.176000000007</v>
      </c>
      <c r="AH42" s="7">
        <f t="shared" si="40"/>
        <v>8517.392000000003</v>
      </c>
      <c r="AI42" s="7">
        <f t="shared" si="40"/>
        <v>42586.96</v>
      </c>
      <c r="AJ42" s="7">
        <f t="shared" si="40"/>
        <v>0</v>
      </c>
      <c r="AK42" s="7">
        <f t="shared" si="40"/>
        <v>41735.22080000001</v>
      </c>
      <c r="AL42" s="7">
        <f t="shared" si="40"/>
        <v>0</v>
      </c>
      <c r="AM42" s="7">
        <f t="shared" si="40"/>
        <v>95820.66</v>
      </c>
      <c r="AN42" s="7">
        <f t="shared" si="40"/>
        <v>0</v>
      </c>
      <c r="AO42" s="7">
        <f t="shared" si="40"/>
        <v>4379.4</v>
      </c>
      <c r="AP42" s="7">
        <f t="shared" si="40"/>
        <v>0</v>
      </c>
      <c r="AQ42" s="7">
        <f t="shared" si="40"/>
        <v>0</v>
      </c>
      <c r="AR42" s="7">
        <f t="shared" si="40"/>
        <v>0</v>
      </c>
      <c r="AS42" s="7">
        <f t="shared" si="40"/>
        <v>29865</v>
      </c>
      <c r="AT42" s="7">
        <f t="shared" si="40"/>
        <v>40450.64</v>
      </c>
      <c r="AU42" s="7">
        <f t="shared" si="40"/>
        <v>72.5112</v>
      </c>
      <c r="AV42" s="7"/>
      <c r="AW42" s="7"/>
      <c r="AX42" s="7">
        <f aca="true" t="shared" si="41" ref="AX42:BE42">SUM(AX30:AX41)</f>
        <v>11631.199999999999</v>
      </c>
      <c r="AY42" s="7">
        <f t="shared" si="41"/>
        <v>0</v>
      </c>
      <c r="AZ42" s="7">
        <f t="shared" si="41"/>
        <v>0</v>
      </c>
      <c r="BA42" s="7">
        <f t="shared" si="41"/>
        <v>0</v>
      </c>
      <c r="BB42" s="7">
        <f t="shared" si="41"/>
        <v>300611.16000000003</v>
      </c>
      <c r="BC42" s="7">
        <f t="shared" si="41"/>
        <v>0</v>
      </c>
      <c r="BD42" s="7">
        <f t="shared" si="41"/>
        <v>85938.074</v>
      </c>
      <c r="BE42" s="8">
        <f t="shared" si="41"/>
        <v>-21827.969999999998</v>
      </c>
    </row>
    <row r="43" spans="1:57" ht="12.75">
      <c r="A43" s="91"/>
      <c r="B43" s="175"/>
      <c r="C43" s="174"/>
      <c r="D43" s="174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69"/>
      <c r="T43" s="169"/>
      <c r="U43" s="105"/>
      <c r="V43" s="105"/>
      <c r="W43" s="105"/>
      <c r="X43" s="105"/>
      <c r="Y43" s="105"/>
      <c r="Z43" s="105"/>
      <c r="AA43" s="105"/>
      <c r="AB43" s="105"/>
      <c r="AC43" s="187"/>
      <c r="AD43" s="187"/>
      <c r="AE43" s="64"/>
      <c r="AF43" s="64"/>
      <c r="AG43" s="65"/>
      <c r="AH43" s="65"/>
      <c r="AI43" s="65"/>
      <c r="AJ43" s="65"/>
      <c r="AK43" s="65"/>
      <c r="AL43" s="65"/>
      <c r="AM43" s="65"/>
      <c r="AN43" s="65"/>
      <c r="AO43" s="188"/>
      <c r="AP43" s="188"/>
      <c r="AQ43" s="188"/>
      <c r="AR43" s="188"/>
      <c r="AS43" s="189"/>
      <c r="AT43" s="189"/>
      <c r="AU43" s="67"/>
      <c r="AV43" s="67"/>
      <c r="AW43" s="67"/>
      <c r="AX43" s="88"/>
      <c r="AY43" s="188"/>
      <c r="AZ43" s="188"/>
      <c r="BA43" s="65"/>
      <c r="BB43" s="65"/>
      <c r="BC43" s="65"/>
      <c r="BD43" s="65"/>
      <c r="BE43" s="158"/>
    </row>
    <row r="44" spans="1:57" s="9" customFormat="1" ht="13.5" thickBot="1">
      <c r="A44" s="10" t="s">
        <v>54</v>
      </c>
      <c r="B44" s="173"/>
      <c r="C44" s="173">
        <f aca="true" t="shared" si="42" ref="C44:AU44">C28+C42</f>
        <v>828923.0989999999</v>
      </c>
      <c r="D44" s="173">
        <f t="shared" si="42"/>
        <v>127148.72982530002</v>
      </c>
      <c r="E44" s="190">
        <f t="shared" si="42"/>
        <v>73360.47</v>
      </c>
      <c r="F44" s="190">
        <f t="shared" si="42"/>
        <v>11598.290000000005</v>
      </c>
      <c r="G44" s="190">
        <f t="shared" si="42"/>
        <v>99284</v>
      </c>
      <c r="H44" s="190">
        <f t="shared" si="42"/>
        <v>15701.189999999999</v>
      </c>
      <c r="I44" s="190">
        <f t="shared" si="42"/>
        <v>238288.34999999998</v>
      </c>
      <c r="J44" s="190">
        <f t="shared" si="42"/>
        <v>37736.61</v>
      </c>
      <c r="K44" s="190">
        <f t="shared" si="42"/>
        <v>165308.75</v>
      </c>
      <c r="L44" s="190">
        <f t="shared" si="42"/>
        <v>26138.87</v>
      </c>
      <c r="M44" s="190">
        <f t="shared" si="42"/>
        <v>58689.09999999999</v>
      </c>
      <c r="N44" s="190">
        <f t="shared" si="42"/>
        <v>9277.880000000001</v>
      </c>
      <c r="O44" s="190">
        <f t="shared" si="42"/>
        <v>0</v>
      </c>
      <c r="P44" s="190">
        <f t="shared" si="42"/>
        <v>0</v>
      </c>
      <c r="Q44" s="190">
        <f t="shared" si="42"/>
        <v>0</v>
      </c>
      <c r="R44" s="190">
        <f t="shared" si="42"/>
        <v>0</v>
      </c>
      <c r="S44" s="190">
        <f t="shared" si="42"/>
        <v>634930.67</v>
      </c>
      <c r="T44" s="190">
        <f t="shared" si="42"/>
        <v>100452.84</v>
      </c>
      <c r="U44" s="191">
        <f t="shared" si="42"/>
        <v>64659.780000000006</v>
      </c>
      <c r="V44" s="191">
        <f t="shared" si="42"/>
        <v>87462.54</v>
      </c>
      <c r="W44" s="191">
        <f t="shared" si="42"/>
        <v>210004.12</v>
      </c>
      <c r="X44" s="191">
        <f t="shared" si="42"/>
        <v>145633.28</v>
      </c>
      <c r="Y44" s="191">
        <f t="shared" si="42"/>
        <v>51708.159999999996</v>
      </c>
      <c r="Z44" s="191">
        <f t="shared" si="42"/>
        <v>0</v>
      </c>
      <c r="AA44" s="191">
        <f t="shared" si="42"/>
        <v>0</v>
      </c>
      <c r="AB44" s="191">
        <f t="shared" si="42"/>
        <v>559467.88</v>
      </c>
      <c r="AC44" s="191">
        <f t="shared" si="42"/>
        <v>787069.4498253001</v>
      </c>
      <c r="AD44" s="191">
        <f t="shared" si="42"/>
        <v>0</v>
      </c>
      <c r="AE44" s="191">
        <f t="shared" si="42"/>
        <v>0</v>
      </c>
      <c r="AF44" s="191">
        <f t="shared" si="42"/>
        <v>0</v>
      </c>
      <c r="AG44" s="173">
        <f t="shared" si="42"/>
        <v>56645.61600000001</v>
      </c>
      <c r="AH44" s="173">
        <f t="shared" si="42"/>
        <v>18980.938850000006</v>
      </c>
      <c r="AI44" s="173">
        <f t="shared" si="42"/>
        <v>86183.2116425</v>
      </c>
      <c r="AJ44" s="173">
        <f t="shared" si="42"/>
        <v>7847.32529565</v>
      </c>
      <c r="AK44" s="173">
        <f t="shared" si="42"/>
        <v>85851.44572594001</v>
      </c>
      <c r="AL44" s="173">
        <f t="shared" si="42"/>
        <v>7940.920486669198</v>
      </c>
      <c r="AM44" s="173">
        <f t="shared" si="42"/>
        <v>192426.71408970916</v>
      </c>
      <c r="AN44" s="173">
        <f t="shared" si="42"/>
        <v>17389.089736147645</v>
      </c>
      <c r="AO44" s="173">
        <f t="shared" si="42"/>
        <v>4379.4</v>
      </c>
      <c r="AP44" s="173">
        <f t="shared" si="42"/>
        <v>0</v>
      </c>
      <c r="AQ44" s="173">
        <f t="shared" si="42"/>
        <v>14242.98</v>
      </c>
      <c r="AR44" s="173">
        <f t="shared" si="42"/>
        <v>2563.7364</v>
      </c>
      <c r="AS44" s="173">
        <f t="shared" si="42"/>
        <v>145935.21999999997</v>
      </c>
      <c r="AT44" s="173">
        <f t="shared" si="42"/>
        <v>56055.64</v>
      </c>
      <c r="AU44" s="173">
        <f t="shared" si="42"/>
        <v>23774.0608</v>
      </c>
      <c r="AV44" s="173"/>
      <c r="AW44" s="173"/>
      <c r="AX44" s="173">
        <f aca="true" t="shared" si="43" ref="AX44:BE44">AX28+AX42</f>
        <v>21379.3216</v>
      </c>
      <c r="AY44" s="173">
        <f t="shared" si="43"/>
        <v>0</v>
      </c>
      <c r="AZ44" s="173">
        <f t="shared" si="43"/>
        <v>0</v>
      </c>
      <c r="BA44" s="173">
        <f t="shared" si="43"/>
        <v>0</v>
      </c>
      <c r="BB44" s="173">
        <f t="shared" si="43"/>
        <v>741595.620626616</v>
      </c>
      <c r="BC44" s="173">
        <f t="shared" si="43"/>
        <v>0</v>
      </c>
      <c r="BD44" s="173">
        <f t="shared" si="43"/>
        <v>45473.82919868405</v>
      </c>
      <c r="BE44" s="192">
        <f t="shared" si="43"/>
        <v>-75462.79000000001</v>
      </c>
    </row>
  </sheetData>
  <sheetProtection/>
  <mergeCells count="67">
    <mergeCell ref="BB5:BB6"/>
    <mergeCell ref="AT5:AT6"/>
    <mergeCell ref="AU5:AU6"/>
    <mergeCell ref="AV5:AX5"/>
    <mergeCell ref="AY5:AY6"/>
    <mergeCell ref="AZ5:AZ6"/>
    <mergeCell ref="BA5:BA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X5:X6"/>
    <mergeCell ref="Y5:Y6"/>
    <mergeCell ref="Z5:Z6"/>
    <mergeCell ref="AA5:AA6"/>
    <mergeCell ref="AB5:AB6"/>
    <mergeCell ref="AG5:A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G3:BB4"/>
    <mergeCell ref="BC3:BC6"/>
    <mergeCell ref="BD3:BD6"/>
    <mergeCell ref="BE3:BE6"/>
    <mergeCell ref="E4:F4"/>
    <mergeCell ref="G4:H4"/>
    <mergeCell ref="I4:J4"/>
    <mergeCell ref="K4:L4"/>
    <mergeCell ref="M4:N4"/>
    <mergeCell ref="O4:P4"/>
    <mergeCell ref="S3:T4"/>
    <mergeCell ref="U3:AB4"/>
    <mergeCell ref="AC3:AC6"/>
    <mergeCell ref="AD3:AD6"/>
    <mergeCell ref="AE3:AE6"/>
    <mergeCell ref="AF3:AF6"/>
    <mergeCell ref="T5:T6"/>
    <mergeCell ref="U5:U6"/>
    <mergeCell ref="V5:V6"/>
    <mergeCell ref="W5:W6"/>
    <mergeCell ref="A1:N1"/>
    <mergeCell ref="A3:A6"/>
    <mergeCell ref="B3:B6"/>
    <mergeCell ref="C3:C6"/>
    <mergeCell ref="D3:D6"/>
    <mergeCell ref="E3:R3"/>
    <mergeCell ref="Q4:R4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1">
      <selection activeCell="E52" sqref="E52"/>
    </sheetView>
  </sheetViews>
  <sheetFormatPr defaultColWidth="9.00390625" defaultRowHeight="12.75"/>
  <cols>
    <col min="1" max="1" width="10.00390625" style="80" customWidth="1"/>
    <col min="2" max="2" width="9.125" style="80" customWidth="1"/>
    <col min="3" max="3" width="9.875" style="80" customWidth="1"/>
    <col min="4" max="4" width="10.25390625" style="80" customWidth="1"/>
    <col min="5" max="5" width="10.125" style="80" bestFit="1" customWidth="1"/>
    <col min="6" max="6" width="9.875" style="80" customWidth="1"/>
    <col min="7" max="7" width="11.00390625" style="80" customWidth="1"/>
    <col min="8" max="8" width="10.125" style="80" customWidth="1"/>
    <col min="9" max="9" width="9.25390625" style="80" customWidth="1"/>
    <col min="10" max="10" width="9.875" style="80" customWidth="1"/>
    <col min="11" max="11" width="10.875" style="80" customWidth="1"/>
    <col min="12" max="12" width="10.125" style="80" customWidth="1"/>
    <col min="13" max="13" width="9.375" style="80" customWidth="1"/>
    <col min="14" max="14" width="10.375" style="80" customWidth="1"/>
    <col min="15" max="15" width="10.75390625" style="80" customWidth="1"/>
    <col min="16" max="16" width="13.00390625" style="80" customWidth="1"/>
    <col min="17" max="16384" width="9.125" style="80" customWidth="1"/>
  </cols>
  <sheetData>
    <row r="1" spans="2:8" ht="20.25" customHeight="1">
      <c r="B1" s="271" t="s">
        <v>55</v>
      </c>
      <c r="C1" s="271"/>
      <c r="D1" s="271"/>
      <c r="E1" s="271"/>
      <c r="F1" s="271"/>
      <c r="G1" s="271"/>
      <c r="H1" s="271"/>
    </row>
    <row r="2" spans="2:8" ht="21" customHeight="1">
      <c r="B2" s="271" t="s">
        <v>56</v>
      </c>
      <c r="C2" s="271"/>
      <c r="D2" s="271"/>
      <c r="E2" s="271"/>
      <c r="F2" s="271"/>
      <c r="G2" s="271"/>
      <c r="H2" s="271"/>
    </row>
    <row r="5" spans="1:15" ht="12.75">
      <c r="A5" s="272" t="s">
        <v>114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</row>
    <row r="6" spans="1:15" ht="12.75">
      <c r="A6" s="273" t="s">
        <v>113</v>
      </c>
      <c r="B6" s="273"/>
      <c r="C6" s="273"/>
      <c r="D6" s="273"/>
      <c r="E6" s="273"/>
      <c r="F6" s="273"/>
      <c r="G6" s="273"/>
      <c r="H6" s="46"/>
      <c r="I6" s="46"/>
      <c r="J6" s="46"/>
      <c r="K6" s="46"/>
      <c r="L6" s="46"/>
      <c r="M6" s="46"/>
      <c r="N6" s="46"/>
      <c r="O6" s="46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6" ht="13.5" thickBot="1">
      <c r="A8" s="274" t="s">
        <v>57</v>
      </c>
      <c r="B8" s="274"/>
      <c r="C8" s="274"/>
      <c r="D8" s="274"/>
      <c r="E8" s="274">
        <v>8.65</v>
      </c>
      <c r="F8" s="274"/>
    </row>
    <row r="9" spans="1:16" ht="12.75" customHeight="1">
      <c r="A9" s="220" t="s">
        <v>58</v>
      </c>
      <c r="B9" s="299" t="s">
        <v>1</v>
      </c>
      <c r="C9" s="302" t="s">
        <v>59</v>
      </c>
      <c r="D9" s="305" t="s">
        <v>3</v>
      </c>
      <c r="E9" s="286" t="s">
        <v>60</v>
      </c>
      <c r="F9" s="287"/>
      <c r="G9" s="267" t="s">
        <v>61</v>
      </c>
      <c r="H9" s="268"/>
      <c r="I9" s="294" t="s">
        <v>10</v>
      </c>
      <c r="J9" s="244"/>
      <c r="K9" s="244"/>
      <c r="L9" s="244"/>
      <c r="M9" s="244"/>
      <c r="N9" s="295"/>
      <c r="O9" s="275" t="s">
        <v>62</v>
      </c>
      <c r="P9" s="275" t="s">
        <v>12</v>
      </c>
    </row>
    <row r="10" spans="1:16" ht="12.75">
      <c r="A10" s="221"/>
      <c r="B10" s="300"/>
      <c r="C10" s="303"/>
      <c r="D10" s="306"/>
      <c r="E10" s="288"/>
      <c r="F10" s="289"/>
      <c r="G10" s="269"/>
      <c r="H10" s="270"/>
      <c r="I10" s="296"/>
      <c r="J10" s="245"/>
      <c r="K10" s="245"/>
      <c r="L10" s="245"/>
      <c r="M10" s="245"/>
      <c r="N10" s="297"/>
      <c r="O10" s="276"/>
      <c r="P10" s="276"/>
    </row>
    <row r="11" spans="1:16" ht="26.25" customHeight="1">
      <c r="A11" s="221"/>
      <c r="B11" s="300"/>
      <c r="C11" s="303"/>
      <c r="D11" s="306"/>
      <c r="E11" s="278" t="s">
        <v>63</v>
      </c>
      <c r="F11" s="279"/>
      <c r="G11" s="42" t="s">
        <v>64</v>
      </c>
      <c r="H11" s="280" t="s">
        <v>7</v>
      </c>
      <c r="I11" s="282" t="s">
        <v>65</v>
      </c>
      <c r="J11" s="284" t="s">
        <v>32</v>
      </c>
      <c r="K11" s="284" t="s">
        <v>66</v>
      </c>
      <c r="L11" s="284" t="s">
        <v>37</v>
      </c>
      <c r="M11" s="284" t="s">
        <v>67</v>
      </c>
      <c r="N11" s="280" t="s">
        <v>39</v>
      </c>
      <c r="O11" s="276"/>
      <c r="P11" s="276"/>
    </row>
    <row r="12" spans="1:16" ht="66.75" customHeight="1" thickBot="1">
      <c r="A12" s="298"/>
      <c r="B12" s="301"/>
      <c r="C12" s="304"/>
      <c r="D12" s="307"/>
      <c r="E12" s="132" t="s">
        <v>68</v>
      </c>
      <c r="F12" s="133" t="s">
        <v>21</v>
      </c>
      <c r="G12" s="134" t="s">
        <v>69</v>
      </c>
      <c r="H12" s="281"/>
      <c r="I12" s="283"/>
      <c r="J12" s="285"/>
      <c r="K12" s="285"/>
      <c r="L12" s="285"/>
      <c r="M12" s="285"/>
      <c r="N12" s="281"/>
      <c r="O12" s="277"/>
      <c r="P12" s="277"/>
    </row>
    <row r="13" spans="1:16" ht="13.5" thickBot="1">
      <c r="A13" s="29">
        <v>1</v>
      </c>
      <c r="B13" s="30">
        <v>2</v>
      </c>
      <c r="C13" s="29">
        <v>3</v>
      </c>
      <c r="D13" s="30">
        <v>4</v>
      </c>
      <c r="E13" s="29">
        <v>5</v>
      </c>
      <c r="F13" s="30">
        <v>6</v>
      </c>
      <c r="G13" s="29">
        <v>7</v>
      </c>
      <c r="H13" s="30">
        <v>8</v>
      </c>
      <c r="I13" s="29">
        <v>9</v>
      </c>
      <c r="J13" s="30">
        <v>10</v>
      </c>
      <c r="K13" s="29">
        <v>11</v>
      </c>
      <c r="L13" s="30">
        <v>12</v>
      </c>
      <c r="M13" s="29">
        <v>13</v>
      </c>
      <c r="N13" s="30">
        <v>14</v>
      </c>
      <c r="O13" s="29">
        <v>15</v>
      </c>
      <c r="P13" s="30">
        <v>16</v>
      </c>
    </row>
    <row r="14" spans="1:16" ht="13.5" hidden="1" thickBot="1">
      <c r="A14" s="3" t="s">
        <v>40</v>
      </c>
      <c r="B14" s="4"/>
      <c r="C14" s="12"/>
      <c r="D14" s="3"/>
      <c r="E14" s="4"/>
      <c r="F14" s="5"/>
      <c r="G14" s="3"/>
      <c r="H14" s="5"/>
      <c r="I14" s="3"/>
      <c r="J14" s="4"/>
      <c r="K14" s="4"/>
      <c r="L14" s="4"/>
      <c r="M14" s="4"/>
      <c r="N14" s="5"/>
      <c r="O14" s="38"/>
      <c r="P14" s="156"/>
    </row>
    <row r="15" spans="1:16" ht="13.5" hidden="1" thickBot="1">
      <c r="A15" s="91" t="s">
        <v>41</v>
      </c>
      <c r="B15" s="40">
        <f>'[5]Лист1'!B9</f>
        <v>3550.2</v>
      </c>
      <c r="C15" s="13">
        <f>B15*8.65</f>
        <v>30709.23</v>
      </c>
      <c r="D15" s="14">
        <f>'[5]Лист1'!D9</f>
        <v>7397.239322400001</v>
      </c>
      <c r="E15" s="139">
        <f>'[5]Лист1'!S9</f>
        <v>19016.100000000002</v>
      </c>
      <c r="F15" s="141">
        <f>'[5]Лист1'!T9</f>
        <v>4642.63</v>
      </c>
      <c r="G15" s="143">
        <f>'[5]Лист1'!AB9</f>
        <v>682</v>
      </c>
      <c r="H15" s="141">
        <f>'[5]Лист1'!AC9</f>
        <v>12721.869322400002</v>
      </c>
      <c r="I15" s="143">
        <f>'[5]Лист1'!AG9</f>
        <v>2130.12</v>
      </c>
      <c r="J15" s="139">
        <f>'[5]Лист1'!AI9+'[5]Лист1'!AJ9</f>
        <v>3568.3794247999995</v>
      </c>
      <c r="K15" s="139">
        <f>'[5]Лист1'!AH9+'[5]Лист1'!AK9+'[5]Лист1'!AL9+'[5]Лист1'!AM9+'[5]Лист1'!AN9+'[5]Лист1'!AO9+'[5]Лист1'!AP9</f>
        <v>12530.05138362</v>
      </c>
      <c r="L15" s="140">
        <f>'[5]Лист1'!AS9+'[5]Лист1'!AU9</f>
        <v>52480.712400000004</v>
      </c>
      <c r="M15" s="140">
        <f>'[5]Лист1'!AX9</f>
        <v>0</v>
      </c>
      <c r="N15" s="141">
        <f>'[5]Лист1'!BB9</f>
        <v>70709.26320842</v>
      </c>
      <c r="O15" s="142">
        <f>'[5]Лист1'!BD9</f>
        <v>-57987.39388602</v>
      </c>
      <c r="P15" s="142">
        <f>'[5]Лист1'!BE9</f>
        <v>-18334.100000000002</v>
      </c>
    </row>
    <row r="16" spans="1:16" ht="13.5" hidden="1" thickBot="1">
      <c r="A16" s="91" t="s">
        <v>42</v>
      </c>
      <c r="B16" s="40">
        <f>'[5]Лист1'!B10</f>
        <v>3550.2</v>
      </c>
      <c r="C16" s="13">
        <f aca="true" t="shared" si="0" ref="C16:C31">B16*8.65</f>
        <v>30709.23</v>
      </c>
      <c r="D16" s="14">
        <f>'[5]Лист1'!D10</f>
        <v>7397.239322400001</v>
      </c>
      <c r="E16" s="139">
        <f>'[5]Лист1'!S10</f>
        <v>19016.100000000002</v>
      </c>
      <c r="F16" s="141">
        <f>'[5]Лист1'!T10</f>
        <v>4642.63</v>
      </c>
      <c r="G16" s="143">
        <f>'[5]Лист1'!AB10</f>
        <v>12248.16</v>
      </c>
      <c r="H16" s="141">
        <f>'[5]Лист1'!AC10</f>
        <v>24288.0293224</v>
      </c>
      <c r="I16" s="143">
        <f>'[5]Лист1'!AG10</f>
        <v>2130.12</v>
      </c>
      <c r="J16" s="139">
        <f>'[5]Лист1'!AI10+'[5]Лист1'!AJ10</f>
        <v>3568.3794247999995</v>
      </c>
      <c r="K16" s="139">
        <f>'[5]Лист1'!AH10+'[5]Лист1'!AK10+'[5]Лист1'!AL10+'[5]Лист1'!AM10+'[5]Лист1'!AN10+'[5]Лист1'!AO10+'[5]Лист1'!AP10</f>
        <v>12492.670333764</v>
      </c>
      <c r="L16" s="140">
        <f>'[5]Лист1'!AS10+'[5]Лист1'!AU10</f>
        <v>11592.32</v>
      </c>
      <c r="M16" s="140">
        <f>'[5]Лист1'!AX10</f>
        <v>0</v>
      </c>
      <c r="N16" s="141">
        <f>'[5]Лист1'!BB10</f>
        <v>29783.489758564</v>
      </c>
      <c r="O16" s="142">
        <f>'[5]Лист1'!BD10</f>
        <v>-5495.460436163998</v>
      </c>
      <c r="P16" s="142">
        <f>'[5]Лист1'!BE10</f>
        <v>-6767.940000000002</v>
      </c>
    </row>
    <row r="17" spans="1:18" ht="13.5" hidden="1" thickBot="1">
      <c r="A17" s="144" t="s">
        <v>43</v>
      </c>
      <c r="B17" s="40">
        <f>'[5]Лист1'!B11</f>
        <v>3550.2</v>
      </c>
      <c r="C17" s="15">
        <f t="shared" si="0"/>
        <v>30709.23</v>
      </c>
      <c r="D17" s="14">
        <f>'[5]Лист1'!D11</f>
        <v>7380.9634305</v>
      </c>
      <c r="E17" s="139">
        <f>'[5]Лист1'!S11</f>
        <v>20880</v>
      </c>
      <c r="F17" s="141">
        <f>'[5]Лист1'!T11</f>
        <v>4233.9800000000005</v>
      </c>
      <c r="G17" s="143">
        <f>'[5]Лист1'!AB11</f>
        <v>19383.31</v>
      </c>
      <c r="H17" s="141">
        <f>'[5]Лист1'!AC11</f>
        <v>30998.2534305</v>
      </c>
      <c r="I17" s="143">
        <f>'[5]Лист1'!AG11</f>
        <v>2130.12</v>
      </c>
      <c r="J17" s="139">
        <f>'[5]Лист1'!AI11+'[5]Лист1'!AJ11</f>
        <v>3558.00191952</v>
      </c>
      <c r="K17" s="139">
        <f>'[5]Лист1'!AH11+'[5]Лист1'!AK11+'[5]Лист1'!AL11+'[5]Лист1'!AM11+'[5]Лист1'!AN11+'[5]Лист1'!AO11+'[5]Лист1'!AP11</f>
        <v>12472.373520846</v>
      </c>
      <c r="L17" s="140">
        <f>'[5]Лист1'!AS11+'[5]Лист1'!AU11</f>
        <v>13699.8</v>
      </c>
      <c r="M17" s="140">
        <f>'[5]Лист1'!AX11</f>
        <v>0</v>
      </c>
      <c r="N17" s="141">
        <f>'[5]Лист1'!BB11</f>
        <v>31860.295440366</v>
      </c>
      <c r="O17" s="142">
        <f>'[5]Лист1'!BD11</f>
        <v>-862.0420098659997</v>
      </c>
      <c r="P17" s="142">
        <f>'[5]Лист1'!BE11</f>
        <v>-1496.6899999999987</v>
      </c>
      <c r="Q17" s="79"/>
      <c r="R17" s="79"/>
    </row>
    <row r="18" spans="1:18" s="9" customFormat="1" ht="13.5" hidden="1" thickBot="1">
      <c r="A18" s="16" t="s">
        <v>5</v>
      </c>
      <c r="B18" s="17"/>
      <c r="C18" s="18">
        <f>SUM(C15:C17)</f>
        <v>92127.69</v>
      </c>
      <c r="D18" s="31">
        <f aca="true" t="shared" si="1" ref="D18:P18">SUM(D15:D17)</f>
        <v>22175.4420753</v>
      </c>
      <c r="E18" s="18">
        <f t="shared" si="1"/>
        <v>58912.200000000004</v>
      </c>
      <c r="F18" s="32">
        <f t="shared" si="1"/>
        <v>13519.240000000002</v>
      </c>
      <c r="G18" s="31">
        <f t="shared" si="1"/>
        <v>32313.47</v>
      </c>
      <c r="H18" s="32">
        <f t="shared" si="1"/>
        <v>68008.15207530001</v>
      </c>
      <c r="I18" s="31">
        <f t="shared" si="1"/>
        <v>6390.36</v>
      </c>
      <c r="J18" s="18">
        <f t="shared" si="1"/>
        <v>10694.76076912</v>
      </c>
      <c r="K18" s="18">
        <f t="shared" si="1"/>
        <v>37495.09523823</v>
      </c>
      <c r="L18" s="18">
        <f t="shared" si="1"/>
        <v>77772.8324</v>
      </c>
      <c r="M18" s="18">
        <f t="shared" si="1"/>
        <v>0</v>
      </c>
      <c r="N18" s="32">
        <f t="shared" si="1"/>
        <v>132353.04840735</v>
      </c>
      <c r="O18" s="37">
        <f t="shared" si="1"/>
        <v>-64344.89633204999</v>
      </c>
      <c r="P18" s="37">
        <f t="shared" si="1"/>
        <v>-26598.730000000003</v>
      </c>
      <c r="Q18" s="34"/>
      <c r="R18" s="35"/>
    </row>
    <row r="19" spans="1:18" ht="13.5" hidden="1" thickBot="1">
      <c r="A19" s="3" t="s">
        <v>44</v>
      </c>
      <c r="B19" s="135"/>
      <c r="C19" s="21"/>
      <c r="D19" s="22"/>
      <c r="E19" s="136"/>
      <c r="F19" s="137"/>
      <c r="G19" s="138"/>
      <c r="H19" s="137"/>
      <c r="I19" s="138"/>
      <c r="J19" s="139"/>
      <c r="K19" s="139"/>
      <c r="L19" s="140"/>
      <c r="M19" s="33"/>
      <c r="N19" s="141"/>
      <c r="O19" s="142"/>
      <c r="P19" s="142"/>
      <c r="Q19" s="79"/>
      <c r="R19" s="79"/>
    </row>
    <row r="20" spans="1:18" ht="13.5" hidden="1" thickBot="1">
      <c r="A20" s="91" t="s">
        <v>45</v>
      </c>
      <c r="B20" s="40">
        <f>'[5]Лист1'!B14</f>
        <v>3550.2</v>
      </c>
      <c r="C20" s="13">
        <f t="shared" si="0"/>
        <v>30709.23</v>
      </c>
      <c r="D20" s="14">
        <f>'[5]Лист1'!D14</f>
        <v>3838.65375</v>
      </c>
      <c r="E20" s="139">
        <f>'[5]Лист1'!S14</f>
        <v>18589.750000000004</v>
      </c>
      <c r="F20" s="141">
        <f>'[5]Лист1'!T14</f>
        <v>4433.65</v>
      </c>
      <c r="G20" s="143">
        <f>'[5]Лист1'!AB14</f>
        <v>13668.919999999998</v>
      </c>
      <c r="H20" s="141">
        <f>'[5]Лист1'!AC14</f>
        <v>21941.223749999997</v>
      </c>
      <c r="I20" s="143">
        <f>'[5]Лист1'!AG14</f>
        <v>1917.108</v>
      </c>
      <c r="J20" s="139">
        <f>'[5]Лист1'!AI14+'[5]Лист1'!AJ14</f>
        <v>3087.2338701999997</v>
      </c>
      <c r="K20" s="139">
        <f>'[5]Лист1'!AH14+'[5]Лист1'!AK14+'[5]Лист1'!AL14+'[5]Лист1'!AM14+'[5]Лист1'!AN14+'[5]Лист1'!AO14+'[5]Лист1'!AP14+'[5]Лист1'!AQ14+'[5]Лист1'!AR14</f>
        <v>10602.876507504001</v>
      </c>
      <c r="L20" s="140">
        <f>'[5]Лист1'!AS14+'[5]Лист1'!AT14+'[5]Лист1'!AU14+'[5]Лист1'!AZ14+'[5]Лист1'!BA14</f>
        <v>8245.85</v>
      </c>
      <c r="M20" s="140">
        <f>'[5]Лист1'!AX14</f>
        <v>700.448</v>
      </c>
      <c r="N20" s="141">
        <f>'[5]Лист1'!BB14</f>
        <v>24553.516377703996</v>
      </c>
      <c r="O20" s="142">
        <f>'[5]Лист1'!BD14</f>
        <v>-2612.2926277039987</v>
      </c>
      <c r="P20" s="142">
        <f>'[5]Лист1'!BE14</f>
        <v>-4920.830000000005</v>
      </c>
      <c r="Q20" s="79"/>
      <c r="R20" s="79"/>
    </row>
    <row r="21" spans="1:18" ht="13.5" hidden="1" thickBot="1">
      <c r="A21" s="91" t="s">
        <v>46</v>
      </c>
      <c r="B21" s="40">
        <f>'[5]Лист1'!B15</f>
        <v>3549.6</v>
      </c>
      <c r="C21" s="13">
        <f t="shared" si="0"/>
        <v>30704.04</v>
      </c>
      <c r="D21" s="14">
        <f>'[5]Лист1'!D15</f>
        <v>3838.005</v>
      </c>
      <c r="E21" s="139">
        <f>'[5]Лист1'!S15</f>
        <v>20644.89</v>
      </c>
      <c r="F21" s="141">
        <f>'[5]Лист1'!T15</f>
        <v>4535.72</v>
      </c>
      <c r="G21" s="143">
        <f>'[5]Лист1'!AB15</f>
        <v>13082.33</v>
      </c>
      <c r="H21" s="141">
        <f>'[5]Лист1'!AC15</f>
        <v>21456.055</v>
      </c>
      <c r="I21" s="143">
        <f>'[5]Лист1'!AG15</f>
        <v>1916.7839999999999</v>
      </c>
      <c r="J21" s="139">
        <f>'[5]Лист1'!AI15+'[5]Лист1'!AJ15</f>
        <v>3083.1754607999997</v>
      </c>
      <c r="K21" s="139">
        <f>'[5]Лист1'!AH15+'[5]Лист1'!AK15+'[5]Лист1'!AL15+'[5]Лист1'!AM15+'[5]Лист1'!AN15+'[5]Лист1'!AO15+'[5]Лист1'!AP15+'[5]Лист1'!AQ15+'[5]Лист1'!AR15</f>
        <v>10616.040315647999</v>
      </c>
      <c r="L21" s="140">
        <f>'[5]Лист1'!AS15+'[5]Лист1'!AT15+'[5]Лист1'!AU15+'[5]Лист1'!AZ15+'[5]Лист1'!BA15</f>
        <v>35652.52</v>
      </c>
      <c r="M21" s="140">
        <f>'[5]Лист1'!AX15</f>
        <v>864.3263999999999</v>
      </c>
      <c r="N21" s="141">
        <f>'[5]Лист1'!BB15</f>
        <v>52132.846176447994</v>
      </c>
      <c r="O21" s="142">
        <f>'[5]Лист1'!BD15</f>
        <v>-30676.791176447994</v>
      </c>
      <c r="P21" s="142">
        <f>'[5]Лист1'!BE15</f>
        <v>-7562.5599999999995</v>
      </c>
      <c r="Q21" s="79"/>
      <c r="R21" s="79"/>
    </row>
    <row r="22" spans="1:18" ht="13.5" hidden="1" thickBot="1">
      <c r="A22" s="91" t="s">
        <v>47</v>
      </c>
      <c r="B22" s="40">
        <f>'[5]Лист1'!B16</f>
        <v>3549.6</v>
      </c>
      <c r="C22" s="13">
        <f t="shared" si="0"/>
        <v>30704.04</v>
      </c>
      <c r="D22" s="14">
        <f>'[5]Лист1'!D16</f>
        <v>3838.005</v>
      </c>
      <c r="E22" s="139">
        <f>'[5]Лист1'!S16</f>
        <v>20299.96</v>
      </c>
      <c r="F22" s="141">
        <f>'[5]Лист1'!T16</f>
        <v>4535.72</v>
      </c>
      <c r="G22" s="143">
        <f>'[5]Лист1'!AB16</f>
        <v>22262.31</v>
      </c>
      <c r="H22" s="141">
        <f>'[5]Лист1'!AC16</f>
        <v>30636.035000000003</v>
      </c>
      <c r="I22" s="143">
        <f>'[5]Лист1'!AG16</f>
        <v>1916.7839999999999</v>
      </c>
      <c r="J22" s="139">
        <f>'[5]Лист1'!AI16+'[5]Лист1'!AJ16</f>
        <v>3088.5276340000005</v>
      </c>
      <c r="K22" s="139">
        <f>'[5]Лист1'!AH16+'[5]Лист1'!AK16+'[5]Лист1'!AL16+'[5]Лист1'!AM16+'[5]Лист1'!AN16+'[5]Лист1'!AO16+'[5]Лист1'!AP16+'[5]Лист1'!AQ16+'[5]Лист1'!AR16</f>
        <v>10262.10225536</v>
      </c>
      <c r="L22" s="140">
        <f>'[5]Лист1'!AS16+'[5]Лист1'!AT16+'[5]Лист1'!AU16+'[5]Лист1'!AZ16+'[5]Лист1'!BA16</f>
        <v>2931.12</v>
      </c>
      <c r="M22" s="140">
        <f>'[5]Лист1'!AX16</f>
        <v>815.4272000000001</v>
      </c>
      <c r="N22" s="141">
        <f>'[5]Лист1'!BB16</f>
        <v>19013.961089359997</v>
      </c>
      <c r="O22" s="142">
        <f>'[5]Лист1'!BD16</f>
        <v>11622.073910640007</v>
      </c>
      <c r="P22" s="142">
        <f>'[5]Лист1'!BE16</f>
        <v>1962.3500000000022</v>
      </c>
      <c r="Q22" s="79"/>
      <c r="R22" s="79"/>
    </row>
    <row r="23" spans="1:18" ht="13.5" hidden="1" thickBot="1">
      <c r="A23" s="91" t="s">
        <v>48</v>
      </c>
      <c r="B23" s="40">
        <f>'[5]Лист1'!B17</f>
        <v>3549.6</v>
      </c>
      <c r="C23" s="13">
        <f t="shared" si="0"/>
        <v>30704.04</v>
      </c>
      <c r="D23" s="14">
        <f>'[5]Лист1'!D17</f>
        <v>3838.005</v>
      </c>
      <c r="E23" s="139">
        <f>'[5]Лист1'!S17</f>
        <v>21023.22</v>
      </c>
      <c r="F23" s="141">
        <f>'[5]Лист1'!T17</f>
        <v>4535.72</v>
      </c>
      <c r="G23" s="143">
        <f>'[5]Лист1'!AB17</f>
        <v>16599.41</v>
      </c>
      <c r="H23" s="141">
        <f>'[5]Лист1'!AC17</f>
        <v>24973.135000000002</v>
      </c>
      <c r="I23" s="143">
        <f>'[5]Лист1'!AG17</f>
        <v>1916.7839999999999</v>
      </c>
      <c r="J23" s="139">
        <f>'[5]Лист1'!AI17+'[5]Лист1'!AJ17</f>
        <v>3180.7262779199996</v>
      </c>
      <c r="K23" s="139">
        <f>'[5]Лист1'!AH17+'[5]Лист1'!AK17+'[5]Лист1'!AL17+'[5]Лист1'!AM17+'[5]Лист1'!AN17+'[5]Лист1'!AO17+'[5]Лист1'!AP17+'[5]Лист1'!AQ17+'[5]Лист1'!AR17</f>
        <v>16218.445926655999</v>
      </c>
      <c r="L23" s="140">
        <f>'[5]Лист1'!AS17+'[5]Лист1'!AT17+'[5]Лист1'!AU17+'[5]Лист1'!AY17+'[5]Лист1'!AZ17</f>
        <v>1350.5454</v>
      </c>
      <c r="M23" s="140">
        <f>'[5]Лист1'!AX17</f>
        <v>886.7936000000001</v>
      </c>
      <c r="N23" s="141">
        <f>'[5]Лист1'!BB17</f>
        <v>23553.295204576003</v>
      </c>
      <c r="O23" s="142">
        <f>'[5]Лист1'!BD17</f>
        <v>1419.839795423999</v>
      </c>
      <c r="P23" s="142">
        <f>'[5]Лист1'!BE17</f>
        <v>-4423.810000000001</v>
      </c>
      <c r="Q23" s="79"/>
      <c r="R23" s="79"/>
    </row>
    <row r="24" spans="1:18" ht="13.5" hidden="1" thickBot="1">
      <c r="A24" s="91" t="s">
        <v>49</v>
      </c>
      <c r="B24" s="40">
        <f>'[5]Лист1'!B18</f>
        <v>3549.6</v>
      </c>
      <c r="C24" s="13">
        <f t="shared" si="0"/>
        <v>30704.04</v>
      </c>
      <c r="D24" s="14">
        <f>'[5]Лист1'!D18</f>
        <v>2616.520000000001</v>
      </c>
      <c r="E24" s="139">
        <f>'[5]Лист1'!S18</f>
        <v>23091.020000000004</v>
      </c>
      <c r="F24" s="141">
        <f>'[5]Лист1'!T18</f>
        <v>4996.5</v>
      </c>
      <c r="G24" s="143">
        <f>'[5]Лист1'!AB18</f>
        <v>17019.47</v>
      </c>
      <c r="H24" s="141">
        <f>'[5]Лист1'!AC18</f>
        <v>24632.49</v>
      </c>
      <c r="I24" s="143">
        <f>'[5]Лист1'!AG18</f>
        <v>2129.7599999999998</v>
      </c>
      <c r="J24" s="139">
        <f>'[5]Лист1'!AI18+'[5]Лист1'!AJ18</f>
        <v>3560.2488</v>
      </c>
      <c r="K24" s="139">
        <f>'[5]Лист1'!AH18+'[5]Лист1'!AK18+'[5]Лист1'!AL18+'[5]Лист1'!AM18+'[5]Лист1'!AN18+'[5]Лист1'!AO18+'[5]Лист1'!AP18+'[5]Лист1'!AQ18+'[5]Лист1'!AR18</f>
        <v>12193.58592</v>
      </c>
      <c r="L24" s="140">
        <f>'[5]Лист1'!AS18+'[5]Лист1'!AT18+'[5]Лист1'!AU18+'[5]Лист1'!AZ18+'[5]Лист1'!BA18</f>
        <v>3950.2506000000003</v>
      </c>
      <c r="M24" s="140">
        <f>'[5]Лист1'!AX18</f>
        <v>737.4528</v>
      </c>
      <c r="N24" s="141">
        <f>'[5]Лист1'!BB18</f>
        <v>22571.29812</v>
      </c>
      <c r="O24" s="142">
        <f>'[5]Лист1'!BD18</f>
        <v>2061.191880000002</v>
      </c>
      <c r="P24" s="142">
        <f>'[5]Лист1'!BE18</f>
        <v>-6071.550000000003</v>
      </c>
      <c r="Q24" s="79"/>
      <c r="R24" s="79"/>
    </row>
    <row r="25" spans="1:18" ht="13.5" hidden="1" thickBot="1">
      <c r="A25" s="91" t="s">
        <v>50</v>
      </c>
      <c r="B25" s="40">
        <f>'[5]Лист1'!B19</f>
        <v>3549.6</v>
      </c>
      <c r="C25" s="13">
        <f t="shared" si="0"/>
        <v>30704.04</v>
      </c>
      <c r="D25" s="14">
        <f>'[5]Лист1'!D19</f>
        <v>2455.5200000000036</v>
      </c>
      <c r="E25" s="139">
        <f>'[5]Лист1'!S19</f>
        <v>23304.839999999997</v>
      </c>
      <c r="F25" s="141">
        <f>'[5]Лист1'!T19</f>
        <v>4943.679999999999</v>
      </c>
      <c r="G25" s="143">
        <f>'[5]Лист1'!AB19</f>
        <v>19039.309999999998</v>
      </c>
      <c r="H25" s="141">
        <f>'[5]Лист1'!AC19</f>
        <v>26438.510000000002</v>
      </c>
      <c r="I25" s="143">
        <f>'[5]Лист1'!AG19</f>
        <v>2129.7599999999998</v>
      </c>
      <c r="J25" s="139">
        <f>'[5]Лист1'!AI19+'[5]Лист1'!AJ19</f>
        <v>3560.2488</v>
      </c>
      <c r="K25" s="139">
        <f>'[5]Лист1'!AH19+'[5]Лист1'!AK19+'[5]Лист1'!AL19+'[5]Лист1'!AM19+'[5]Лист1'!AN19+'[5]Лист1'!AO19+'[5]Лист1'!AP19+'[5]Лист1'!AQ19+'[5]Лист1'!AR19</f>
        <v>23190.504183999998</v>
      </c>
      <c r="L25" s="140">
        <f>'[5]Лист1'!AS19+'[5]Лист1'!AT19+'[5]Лист1'!AU19+'[5]Лист1'!AZ19+'[5]Лист1'!BA19</f>
        <v>784.7</v>
      </c>
      <c r="M25" s="140">
        <f>'[5]Лист1'!AX19</f>
        <v>866.9696</v>
      </c>
      <c r="N25" s="141">
        <f>'[5]Лист1'!BB19</f>
        <v>30532.182584000002</v>
      </c>
      <c r="O25" s="142">
        <f>'[5]Лист1'!BD19</f>
        <v>-4093.672584</v>
      </c>
      <c r="P25" s="142">
        <f>'[5]Лист1'!BE19</f>
        <v>-4265.529999999999</v>
      </c>
      <c r="Q25" s="79"/>
      <c r="R25" s="79"/>
    </row>
    <row r="26" spans="1:18" ht="13.5" hidden="1" thickBot="1">
      <c r="A26" s="91" t="s">
        <v>51</v>
      </c>
      <c r="B26" s="40">
        <f>'[5]Лист1'!B20</f>
        <v>3549</v>
      </c>
      <c r="C26" s="13">
        <f t="shared" si="0"/>
        <v>30698.850000000002</v>
      </c>
      <c r="D26" s="14">
        <f>'[5]Лист1'!D20</f>
        <v>2432.450000000005</v>
      </c>
      <c r="E26" s="139">
        <f>'[5]Лист1'!S20</f>
        <v>23325.08</v>
      </c>
      <c r="F26" s="141">
        <f>'[5]Лист1'!T20</f>
        <v>4941.32</v>
      </c>
      <c r="G26" s="143">
        <f>'[5]Лист1'!AB20</f>
        <v>21975.489999999998</v>
      </c>
      <c r="H26" s="141">
        <f>'[5]Лист1'!AC20</f>
        <v>29349.260000000002</v>
      </c>
      <c r="I26" s="143">
        <f>'[5]Лист1'!AG20</f>
        <v>2129.4</v>
      </c>
      <c r="J26" s="139">
        <f>'[5]Лист1'!AI20+'[5]Лист1'!AJ20</f>
        <v>3509.1000126000004</v>
      </c>
      <c r="K26" s="139">
        <f>'[5]Лист1'!AH20+'[5]Лист1'!AK20+'[5]Лист1'!AL20+'[5]Лист1'!AM20+'[5]Лист1'!AN20+'[5]Лист1'!AO20+'[5]Лист1'!AP20+'[5]Лист1'!AQ20+'[5]Лист1'!AR20</f>
        <v>12070.53662178</v>
      </c>
      <c r="L26" s="140">
        <f>'[5]Лист1'!AS20+'[5]Лист1'!AT20+'[5]Лист1'!AU20+'[5]Лист1'!AZ20+'[5]Лист1'!BA20</f>
        <v>0</v>
      </c>
      <c r="M26" s="140">
        <f>'[5]Лист1'!AX20</f>
        <v>687.2320000000001</v>
      </c>
      <c r="N26" s="141">
        <f>'[5]Лист1'!BB20</f>
        <v>18396.268634379998</v>
      </c>
      <c r="O26" s="142">
        <f>'[5]Лист1'!BD20</f>
        <v>10952.991365620004</v>
      </c>
      <c r="P26" s="142">
        <f>'[5]Лист1'!BE20</f>
        <v>-1349.5900000000038</v>
      </c>
      <c r="Q26" s="79"/>
      <c r="R26" s="79"/>
    </row>
    <row r="27" spans="1:18" ht="13.5" hidden="1" thickBot="1">
      <c r="A27" s="91" t="s">
        <v>52</v>
      </c>
      <c r="B27" s="40">
        <f>'[5]Лист1'!B21</f>
        <v>3549</v>
      </c>
      <c r="C27" s="13">
        <f t="shared" si="0"/>
        <v>30698.850000000002</v>
      </c>
      <c r="D27" s="14">
        <f>'[5]Лист1'!D21</f>
        <v>2432.4500000000053</v>
      </c>
      <c r="E27" s="139">
        <f>'[5]Лист1'!S21</f>
        <v>23325.07</v>
      </c>
      <c r="F27" s="141">
        <f>'[5]Лист1'!T21</f>
        <v>4941.33</v>
      </c>
      <c r="G27" s="143">
        <f>'[5]Лист1'!AB21</f>
        <v>26528.859999999997</v>
      </c>
      <c r="H27" s="141">
        <f>'[5]Лист1'!AC21</f>
        <v>33902.64</v>
      </c>
      <c r="I27" s="143">
        <f>'[5]Лист1'!AG21</f>
        <v>2129.4</v>
      </c>
      <c r="J27" s="139">
        <f>'[5]Лист1'!AI21+'[5]Лист1'!AJ21</f>
        <v>3507.14220675</v>
      </c>
      <c r="K27" s="139">
        <f>'[5]Лист1'!AH21+'[5]Лист1'!AK21+'[5]Лист1'!AL21+'[5]Лист1'!AM21+'[5]Лист1'!AN21+'[5]Лист1'!AO21+'[5]Лист1'!AP21+'[5]Лист1'!AQ21+'[5]Лист1'!AR21</f>
        <v>12068.000506379998</v>
      </c>
      <c r="L27" s="140">
        <f>'[5]Лист1'!AS21+'[5]Лист1'!AT21+'[5]Лист1'!AU21+'[5]Лист1'!AZ21+'[5]Лист1'!BA21</f>
        <v>3856.24</v>
      </c>
      <c r="M27" s="140">
        <f>'[5]Лист1'!AX21</f>
        <v>663.4431999999999</v>
      </c>
      <c r="N27" s="141">
        <f>'[5]Лист1'!BB21</f>
        <v>22224.22591313</v>
      </c>
      <c r="O27" s="142">
        <f>'[5]Лист1'!BD21</f>
        <v>11678.414086869998</v>
      </c>
      <c r="P27" s="142">
        <f>'[5]Лист1'!BE21</f>
        <v>3203.7899999999972</v>
      </c>
      <c r="Q27" s="79"/>
      <c r="R27" s="79"/>
    </row>
    <row r="28" spans="1:18" ht="13.5" hidden="1" thickBot="1">
      <c r="A28" s="91" t="s">
        <v>53</v>
      </c>
      <c r="B28" s="40">
        <f>'[5]Лист1'!B22</f>
        <v>3549</v>
      </c>
      <c r="C28" s="13">
        <f t="shared" si="0"/>
        <v>30698.850000000002</v>
      </c>
      <c r="D28" s="14">
        <f>'[5]Лист1'!D22</f>
        <v>2469.3900000000026</v>
      </c>
      <c r="E28" s="139">
        <f>'[5]Лист1'!S22</f>
        <v>23288.15</v>
      </c>
      <c r="F28" s="141">
        <f>'[5]Лист1'!T22</f>
        <v>4941.3099999999995</v>
      </c>
      <c r="G28" s="143">
        <f>'[5]Лист1'!AB22</f>
        <v>17220.53</v>
      </c>
      <c r="H28" s="141">
        <f>'[5]Лист1'!AC22</f>
        <v>24631.230000000003</v>
      </c>
      <c r="I28" s="143">
        <f>'[5]Лист1'!AG22</f>
        <v>2129.4</v>
      </c>
      <c r="J28" s="139">
        <f>'[5]Лист1'!AI22+'[5]Лист1'!AJ22</f>
        <v>3506.5370667599996</v>
      </c>
      <c r="K28" s="139">
        <f>'[5]Лист1'!AH22+'[5]Лист1'!AK22+'[5]Лист1'!AL22+'[5]Лист1'!AM22+'[5]Лист1'!AN22+'[5]Лист1'!AO22+'[5]Лист1'!AP22+'[5]Лист1'!AQ22+'[5]Лист1'!AR22</f>
        <v>12067.287412908001</v>
      </c>
      <c r="L28" s="140">
        <f>'[5]Лист1'!AS22+'[5]Лист1'!AT22+'[5]Лист1'!AU22+'[5]Лист1'!AZ22+'[5]Лист1'!BA22</f>
        <v>0</v>
      </c>
      <c r="M28" s="140">
        <f>'[5]Лист1'!AX22</f>
        <v>1100.8928</v>
      </c>
      <c r="N28" s="141">
        <f>'[5]Лист1'!BB22</f>
        <v>18804.117279668</v>
      </c>
      <c r="O28" s="142">
        <f>'[5]Лист1'!BD22</f>
        <v>5827.112720332003</v>
      </c>
      <c r="P28" s="142">
        <f>'[5]Лист1'!BE22</f>
        <v>-6067.620000000003</v>
      </c>
      <c r="Q28" s="79"/>
      <c r="R28" s="79"/>
    </row>
    <row r="29" spans="1:18" ht="13.5" hidden="1" thickBot="1">
      <c r="A29" s="91" t="s">
        <v>41</v>
      </c>
      <c r="B29" s="40">
        <f>'[5]Лист1'!B23</f>
        <v>3549</v>
      </c>
      <c r="C29" s="13">
        <f>B29*8.65</f>
        <v>30698.850000000002</v>
      </c>
      <c r="D29" s="14">
        <f>'[5]Лист1'!D23</f>
        <v>2480.680000000002</v>
      </c>
      <c r="E29" s="139">
        <f>'[5]Лист1'!S23</f>
        <v>23276.85</v>
      </c>
      <c r="F29" s="141">
        <f>'[5]Лист1'!T23</f>
        <v>4941.32</v>
      </c>
      <c r="G29" s="143">
        <f>'[5]Лист1'!AB23</f>
        <v>20631.82</v>
      </c>
      <c r="H29" s="141">
        <f>'[5]Лист1'!AC23</f>
        <v>28053.82</v>
      </c>
      <c r="I29" s="143">
        <f>'[5]Лист1'!AG23</f>
        <v>2129.4</v>
      </c>
      <c r="J29" s="139">
        <f>'[5]Лист1'!AI23+'[5]Лист1'!AJ23</f>
        <v>3547.0835399999996</v>
      </c>
      <c r="K29" s="139">
        <f>'[5]Лист1'!AH23+'[5]Лист1'!AK23+'[5]Лист1'!AL23+'[5]Лист1'!AM23+'[5]Лист1'!AN23+'[5]Лист1'!AO23+'[5]Лист1'!AP23+'[5]Лист1'!AQ23+'[5]Лист1'!AR23</f>
        <v>12170.9406</v>
      </c>
      <c r="L29" s="140">
        <f>'[5]Лист1'!AS23+'[5]Лист1'!AT23+'[5]Лист1'!AU23+'[5]Лист1'!AZ23+'[5]Лист1'!BA23</f>
        <v>3840.7112</v>
      </c>
      <c r="M29" s="140">
        <f>'[5]Лист1'!AX23</f>
        <v>733.4879999999999</v>
      </c>
      <c r="N29" s="141">
        <f>'[5]Лист1'!BB23</f>
        <v>22421.62334</v>
      </c>
      <c r="O29" s="142">
        <f>'[5]Лист1'!BD23</f>
        <v>5632.196660000001</v>
      </c>
      <c r="P29" s="142">
        <f>'[5]Лист1'!BE23</f>
        <v>-2645.029999999999</v>
      </c>
      <c r="Q29" s="79"/>
      <c r="R29" s="79"/>
    </row>
    <row r="30" spans="1:18" ht="13.5" hidden="1" thickBot="1">
      <c r="A30" s="91" t="s">
        <v>42</v>
      </c>
      <c r="B30" s="40">
        <f>'[5]Лист1'!B24</f>
        <v>3549</v>
      </c>
      <c r="C30" s="13">
        <f t="shared" si="0"/>
        <v>30698.850000000002</v>
      </c>
      <c r="D30" s="14">
        <f>'[5]Лист1'!D24</f>
        <v>2480.700000000006</v>
      </c>
      <c r="E30" s="139">
        <f>'[5]Лист1'!S24</f>
        <v>23276.85</v>
      </c>
      <c r="F30" s="141">
        <f>'[5]Лист1'!T24</f>
        <v>4941.300000000001</v>
      </c>
      <c r="G30" s="143">
        <f>'[5]Лист1'!AB24</f>
        <v>20221.520000000004</v>
      </c>
      <c r="H30" s="141">
        <f>'[5]Лист1'!AC24</f>
        <v>27643.52000000001</v>
      </c>
      <c r="I30" s="143">
        <f>'[5]Лист1'!AG24</f>
        <v>2129.4</v>
      </c>
      <c r="J30" s="139">
        <f>'[5]Лист1'!AI24+'[5]Лист1'!AJ24</f>
        <v>3559.647</v>
      </c>
      <c r="K30" s="139">
        <f>'[5]Лист1'!AH24+'[5]Лист1'!AK24+'[5]Лист1'!AL24+'[5]Лист1'!AM24+'[5]Лист1'!AN24+'[5]Лист1'!AO24+'[5]Лист1'!AP24+'[5]Лист1'!AQ24+'[5]Лист1'!AR24</f>
        <v>12184.4268</v>
      </c>
      <c r="L30" s="140">
        <f>'[5]Лист1'!AS24+'[5]Лист1'!AT24+'[5]Лист1'!AU24+'[5]Лист1'!AZ24+'[5]Лист1'!BA24</f>
        <v>16992</v>
      </c>
      <c r="M30" s="140">
        <f>'[5]Лист1'!AX24</f>
        <v>841.8592</v>
      </c>
      <c r="N30" s="141">
        <f>'[5]Лист1'!BB24</f>
        <v>35707.333</v>
      </c>
      <c r="O30" s="142">
        <f>'[5]Лист1'!BD24</f>
        <v>-8063.812999999987</v>
      </c>
      <c r="P30" s="142">
        <f>'[5]Лист1'!BE24</f>
        <v>-3055.3299999999945</v>
      </c>
      <c r="Q30" s="79"/>
      <c r="R30" s="79"/>
    </row>
    <row r="31" spans="1:18" ht="13.5" hidden="1" thickBot="1">
      <c r="A31" s="144" t="s">
        <v>43</v>
      </c>
      <c r="B31" s="40">
        <f>'[5]Лист1'!B25</f>
        <v>3548.5</v>
      </c>
      <c r="C31" s="15">
        <f t="shared" si="0"/>
        <v>30694.525</v>
      </c>
      <c r="D31" s="14">
        <f>'[5]Лист1'!D25</f>
        <v>2480.2649999999985</v>
      </c>
      <c r="E31" s="139">
        <f>'[5]Лист1'!S25</f>
        <v>23274.89</v>
      </c>
      <c r="F31" s="141">
        <f>'[5]Лист1'!T25</f>
        <v>4939.37</v>
      </c>
      <c r="G31" s="143">
        <f>'[5]Лист1'!AB25</f>
        <v>31434.510000000002</v>
      </c>
      <c r="H31" s="141">
        <f>'[5]Лист1'!AC25</f>
        <v>38854.145000000004</v>
      </c>
      <c r="I31" s="143">
        <f>'[5]Лист1'!AG25</f>
        <v>2129.1</v>
      </c>
      <c r="J31" s="139">
        <f>'[5]Лист1'!AI25+'[5]Лист1'!AJ25</f>
        <v>3559.1454999999996</v>
      </c>
      <c r="K31" s="139">
        <f>'[5]Лист1'!AH25+'[5]Лист1'!AK25+'[5]Лист1'!AL25+'[5]Лист1'!AM25+'[5]Лист1'!AN25+'[5]Лист1'!AO25+'[5]Лист1'!AP25+'[5]Лист1'!AQ25+'[5]Лист1'!AR25</f>
        <v>12182.7102</v>
      </c>
      <c r="L31" s="140">
        <f>'[5]Лист1'!AS25+'[5]Лист1'!AT25+'[5]Лист1'!AU25+'[5]Лист1'!AZ25+'[5]Лист1'!BA25</f>
        <v>0</v>
      </c>
      <c r="M31" s="140">
        <f>'[5]Лист1'!AX25</f>
        <v>849.7888</v>
      </c>
      <c r="N31" s="141">
        <f>'[5]Лист1'!BB25</f>
        <v>18720.744499999997</v>
      </c>
      <c r="O31" s="142">
        <f>'[5]Лист1'!BD25</f>
        <v>20133.400500000007</v>
      </c>
      <c r="P31" s="142">
        <f>'[5]Лист1'!BE25</f>
        <v>8159.620000000003</v>
      </c>
      <c r="Q31" s="79"/>
      <c r="R31" s="79"/>
    </row>
    <row r="32" spans="1:18" s="9" customFormat="1" ht="13.5" hidden="1" thickBot="1">
      <c r="A32" s="16" t="s">
        <v>5</v>
      </c>
      <c r="B32" s="17"/>
      <c r="C32" s="18">
        <f aca="true" t="shared" si="2" ref="C32:P32">SUM(C20:C31)</f>
        <v>368418.205</v>
      </c>
      <c r="D32" s="31">
        <f t="shared" si="2"/>
        <v>35200.643750000025</v>
      </c>
      <c r="E32" s="18">
        <f t="shared" si="2"/>
        <v>266720.57</v>
      </c>
      <c r="F32" s="32">
        <f t="shared" si="2"/>
        <v>57626.94</v>
      </c>
      <c r="G32" s="31">
        <f t="shared" si="2"/>
        <v>239684.47999999998</v>
      </c>
      <c r="H32" s="32">
        <f t="shared" si="2"/>
        <v>332512.06375000003</v>
      </c>
      <c r="I32" s="31">
        <f t="shared" si="2"/>
        <v>24703.08</v>
      </c>
      <c r="J32" s="18">
        <f t="shared" si="2"/>
        <v>40748.81616902999</v>
      </c>
      <c r="K32" s="18">
        <f t="shared" si="2"/>
        <v>155827.45725023598</v>
      </c>
      <c r="L32" s="18">
        <f>SUM(L20:L31)</f>
        <v>77603.93719999999</v>
      </c>
      <c r="M32" s="18">
        <f t="shared" si="2"/>
        <v>9748.1216</v>
      </c>
      <c r="N32" s="32">
        <f t="shared" si="2"/>
        <v>308631.41221926594</v>
      </c>
      <c r="O32" s="37">
        <f t="shared" si="2"/>
        <v>23880.651530734045</v>
      </c>
      <c r="P32" s="37">
        <f t="shared" si="2"/>
        <v>-27036.090000000004</v>
      </c>
      <c r="Q32" s="35"/>
      <c r="R32" s="35"/>
    </row>
    <row r="33" spans="1:18" ht="13.5" thickBot="1">
      <c r="A33" s="290" t="s">
        <v>85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145"/>
      <c r="Q33" s="79"/>
      <c r="R33" s="79"/>
    </row>
    <row r="34" spans="1:18" s="9" customFormat="1" ht="13.5" thickBot="1">
      <c r="A34" s="39" t="s">
        <v>54</v>
      </c>
      <c r="B34" s="19"/>
      <c r="C34" s="20">
        <f>C18+C32</f>
        <v>460545.895</v>
      </c>
      <c r="D34" s="176">
        <f aca="true" t="shared" si="3" ref="D34:P34">D18+D32</f>
        <v>57376.085825300026</v>
      </c>
      <c r="E34" s="19">
        <f t="shared" si="3"/>
        <v>325632.77</v>
      </c>
      <c r="F34" s="20">
        <f t="shared" si="3"/>
        <v>71146.18000000001</v>
      </c>
      <c r="G34" s="176">
        <f t="shared" si="3"/>
        <v>271997.94999999995</v>
      </c>
      <c r="H34" s="20">
        <f t="shared" si="3"/>
        <v>400520.2158253</v>
      </c>
      <c r="I34" s="176">
        <f t="shared" si="3"/>
        <v>31093.440000000002</v>
      </c>
      <c r="J34" s="19">
        <f t="shared" si="3"/>
        <v>51443.576938149985</v>
      </c>
      <c r="K34" s="19">
        <f t="shared" si="3"/>
        <v>193322.55248846597</v>
      </c>
      <c r="L34" s="19">
        <f t="shared" si="3"/>
        <v>155376.7696</v>
      </c>
      <c r="M34" s="19">
        <f t="shared" si="3"/>
        <v>9748.1216</v>
      </c>
      <c r="N34" s="177">
        <f t="shared" si="3"/>
        <v>440984.4606266159</v>
      </c>
      <c r="O34" s="178">
        <f>O18+O32</f>
        <v>-40464.244801315945</v>
      </c>
      <c r="P34" s="178">
        <f t="shared" si="3"/>
        <v>-53634.82000000001</v>
      </c>
      <c r="Q34" s="36"/>
      <c r="R34" s="35"/>
    </row>
    <row r="35" spans="1:18" ht="12.75">
      <c r="A35" s="3" t="s">
        <v>84</v>
      </c>
      <c r="B35" s="135"/>
      <c r="C35" s="21"/>
      <c r="D35" s="22"/>
      <c r="E35" s="136"/>
      <c r="F35" s="137"/>
      <c r="G35" s="138"/>
      <c r="H35" s="137"/>
      <c r="I35" s="138"/>
      <c r="J35" s="139"/>
      <c r="K35" s="139"/>
      <c r="L35" s="140"/>
      <c r="M35" s="33"/>
      <c r="N35" s="141"/>
      <c r="O35" s="142"/>
      <c r="P35" s="142"/>
      <c r="Q35" s="79"/>
      <c r="R35" s="79"/>
    </row>
    <row r="36" spans="1:18" ht="12.75">
      <c r="A36" s="91" t="s">
        <v>45</v>
      </c>
      <c r="B36" s="40">
        <f>'[5]Лист1'!B30</f>
        <v>3548.5</v>
      </c>
      <c r="C36" s="13">
        <f aca="true" t="shared" si="4" ref="C36:C47">B36*8.65</f>
        <v>30694.525</v>
      </c>
      <c r="D36" s="14">
        <f>'[5]Лист1'!D30</f>
        <v>2480.2450000000003</v>
      </c>
      <c r="E36" s="139">
        <f>'[5]Лист1'!S30</f>
        <v>23274.91</v>
      </c>
      <c r="F36" s="141">
        <f>'[5]Лист1'!T30</f>
        <v>4939.37</v>
      </c>
      <c r="G36" s="143">
        <f>'[5]Лист1'!AB30</f>
        <v>18518.07</v>
      </c>
      <c r="H36" s="141">
        <f>'[5]Лист1'!AC30</f>
        <v>25937.684999999998</v>
      </c>
      <c r="I36" s="143">
        <f>'[5]Лист1'!AG30</f>
        <v>2129.1</v>
      </c>
      <c r="J36" s="139">
        <f>'[5]Лист1'!AI30+'[5]Лист1'!AJ30</f>
        <v>3548.5</v>
      </c>
      <c r="K36" s="139">
        <f>'[5]Лист1'!AH30+'[5]Лист1'!AK30+'[5]Лист1'!AL30+'[5]Лист1'!AM30+'[5]Лист1'!AN30+'[5]Лист1'!AO30+'[5]Лист1'!AP30+'[5]Лист1'!AQ30+'[5]Лист1'!AR30</f>
        <v>12171.355</v>
      </c>
      <c r="L36" s="140">
        <f>'[5]Лист1'!AS30+'[5]Лист1'!AT30+'[5]Лист1'!AU30+'[5]Лист1'!AZ30+'[5]Лист1'!BA30</f>
        <v>2246</v>
      </c>
      <c r="M36" s="140">
        <f>'[5]Лист1'!AX30</f>
        <v>1085</v>
      </c>
      <c r="N36" s="141">
        <f>'[5]Лист1'!BB30</f>
        <v>21179.955</v>
      </c>
      <c r="O36" s="142">
        <f>'[5]Лист1'!BD30</f>
        <v>4757.729999999996</v>
      </c>
      <c r="P36" s="142">
        <f>'[5]Лист1'!BE30</f>
        <v>-4756.84</v>
      </c>
      <c r="Q36" s="79"/>
      <c r="R36" s="79"/>
    </row>
    <row r="37" spans="1:18" ht="12.75">
      <c r="A37" s="91" t="s">
        <v>46</v>
      </c>
      <c r="B37" s="40">
        <f>'[5]Лист1'!B31</f>
        <v>3548.5</v>
      </c>
      <c r="C37" s="13">
        <f t="shared" si="4"/>
        <v>30694.525</v>
      </c>
      <c r="D37" s="14">
        <f>'[5]Лист1'!D31</f>
        <v>2501.2950000000046</v>
      </c>
      <c r="E37" s="139">
        <f>'[5]Лист1'!S31</f>
        <v>23253.86</v>
      </c>
      <c r="F37" s="141">
        <f>'[5]Лист1'!T31</f>
        <v>4939.37</v>
      </c>
      <c r="G37" s="143">
        <f>'[5]Лист1'!AB31</f>
        <v>14476.84</v>
      </c>
      <c r="H37" s="141">
        <f>'[5]Лист1'!AC31</f>
        <v>21917.505000000005</v>
      </c>
      <c r="I37" s="143">
        <f>'[5]Лист1'!AG31</f>
        <v>2129.1</v>
      </c>
      <c r="J37" s="139">
        <f>'[5]Лист1'!AI31+'[5]Лист1'!AJ31</f>
        <v>3548.5</v>
      </c>
      <c r="K37" s="139">
        <f>'[5]Лист1'!AH31+'[5]Лист1'!AK31+'[5]Лист1'!AL31+'[5]Лист1'!AM31+'[5]Лист1'!AN31+'[5]Лист1'!AO31+'[5]Лист1'!AP31+'[5]Лист1'!AQ31+'[5]Лист1'!AR31</f>
        <v>12171.355</v>
      </c>
      <c r="L37" s="140">
        <f>'[5]Лист1'!AS31+'[5]Лист1'!AT31+'[5]Лист1'!AU31+'[5]Лист1'!AZ31+'[5]Лист1'!BA31</f>
        <v>1492</v>
      </c>
      <c r="M37" s="140">
        <f>'[5]Лист1'!AX31</f>
        <v>1034.6</v>
      </c>
      <c r="N37" s="141">
        <f>'[5]Лист1'!BB31</f>
        <v>20375.555</v>
      </c>
      <c r="O37" s="142">
        <f>'[5]Лист1'!BD31</f>
        <v>1541.9500000000044</v>
      </c>
      <c r="P37" s="142">
        <f>'[5]Лист1'!BE31</f>
        <v>-8777.02</v>
      </c>
      <c r="Q37" s="79"/>
      <c r="R37" s="79"/>
    </row>
    <row r="38" spans="1:18" ht="12.75">
      <c r="A38" s="91" t="s">
        <v>47</v>
      </c>
      <c r="B38" s="40">
        <f>'[5]Лист1'!B32</f>
        <v>3548.5</v>
      </c>
      <c r="C38" s="13">
        <f t="shared" si="4"/>
        <v>30694.525</v>
      </c>
      <c r="D38" s="14">
        <f>'[5]Лист1'!D32</f>
        <v>2495.485000000004</v>
      </c>
      <c r="E38" s="139">
        <f>'[5]Лист1'!S32</f>
        <v>23438.95</v>
      </c>
      <c r="F38" s="141">
        <f>'[5]Лист1'!T32</f>
        <v>4760.089999999999</v>
      </c>
      <c r="G38" s="143">
        <f>'[5]Лист1'!AB32</f>
        <v>25747.01</v>
      </c>
      <c r="H38" s="141">
        <f>'[5]Лист1'!AC32</f>
        <v>33002.585</v>
      </c>
      <c r="I38" s="143">
        <f>'[5]Лист1'!AG32</f>
        <v>2129.1</v>
      </c>
      <c r="J38" s="139">
        <f>'[5]Лист1'!AI32+'[5]Лист1'!AJ32</f>
        <v>3548.5</v>
      </c>
      <c r="K38" s="139">
        <f>'[5]Лист1'!AH32+'[5]Лист1'!AK32+'[5]Лист1'!AL32+'[5]Лист1'!AM32+'[5]Лист1'!AN32+'[5]Лист1'!AO32+'[5]Лист1'!AP32+'[5]Лист1'!AQ32+'[5]Лист1'!AR32</f>
        <v>12171.355</v>
      </c>
      <c r="L38" s="140">
        <f>'[5]Лист1'!AS32+'[5]Лист1'!AT32+'[5]Лист1'!AU32+'[5]Лист1'!AZ32+'[5]Лист1'!BA32</f>
        <v>550</v>
      </c>
      <c r="M38" s="140">
        <f>'[5]Лист1'!AX32</f>
        <v>974.4</v>
      </c>
      <c r="N38" s="141">
        <f>'[5]Лист1'!BB32</f>
        <v>19373.355000000003</v>
      </c>
      <c r="O38" s="142">
        <f>'[5]Лист1'!BD32</f>
        <v>13629.229999999996</v>
      </c>
      <c r="P38" s="142">
        <f>'[5]Лист1'!BE32</f>
        <v>2308.0599999999977</v>
      </c>
      <c r="Q38" s="79"/>
      <c r="R38" s="79"/>
    </row>
    <row r="39" spans="1:18" ht="12.75">
      <c r="A39" s="91" t="s">
        <v>48</v>
      </c>
      <c r="B39" s="40">
        <f>'[5]Лист1'!B33</f>
        <v>3548.5</v>
      </c>
      <c r="C39" s="13">
        <f t="shared" si="4"/>
        <v>30694.525</v>
      </c>
      <c r="D39" s="14">
        <f>'[5]Лист1'!D33</f>
        <v>2508.335000000002</v>
      </c>
      <c r="E39" s="139">
        <f>'[5]Лист1'!S33</f>
        <v>23354.07</v>
      </c>
      <c r="F39" s="141">
        <f>'[5]Лист1'!T33</f>
        <v>4832.120000000001</v>
      </c>
      <c r="G39" s="143">
        <f>'[5]Лист1'!AB33</f>
        <v>16599.41</v>
      </c>
      <c r="H39" s="141">
        <f>'[5]Лист1'!AC33</f>
        <v>23939.865</v>
      </c>
      <c r="I39" s="143">
        <f>'[5]Лист1'!AG33</f>
        <v>2129.1</v>
      </c>
      <c r="J39" s="139">
        <f>'[5]Лист1'!AI33+'[5]Лист1'!AJ33</f>
        <v>3548.5</v>
      </c>
      <c r="K39" s="139">
        <f>'[5]Лист1'!AH33+'[5]Лист1'!AK33+'[5]Лист1'!AL33+'[5]Лист1'!AM33+'[5]Лист1'!AN33+'[5]Лист1'!AO33+'[5]Лист1'!AP33+'[5]Лист1'!AQ33+'[5]Лист1'!AR33</f>
        <v>12171.355</v>
      </c>
      <c r="L39" s="140">
        <f>'[5]Лист1'!AS33+'[5]Лист1'!AT33+'[5]Лист1'!AU33+'[5]Лист1'!AY33+'[5]Лист1'!AZ33</f>
        <v>2374</v>
      </c>
      <c r="M39" s="140">
        <f>'[5]Лист1'!AX33</f>
        <v>840</v>
      </c>
      <c r="N39" s="141">
        <f>'[5]Лист1'!BB33</f>
        <v>21062.955</v>
      </c>
      <c r="O39" s="142">
        <f>'[5]Лист1'!BD33</f>
        <v>2876.91</v>
      </c>
      <c r="P39" s="142">
        <f>'[5]Лист1'!BE33</f>
        <v>-6754.66</v>
      </c>
      <c r="Q39" s="79"/>
      <c r="R39" s="79"/>
    </row>
    <row r="40" spans="1:18" ht="12.75">
      <c r="A40" s="91" t="s">
        <v>49</v>
      </c>
      <c r="B40" s="40">
        <f>'[5]Лист1'!B34</f>
        <v>3549.12</v>
      </c>
      <c r="C40" s="13">
        <f t="shared" si="4"/>
        <v>30699.888</v>
      </c>
      <c r="D40" s="14">
        <f>'[5]Лист1'!D34</f>
        <v>2500.2779999999975</v>
      </c>
      <c r="E40" s="139">
        <f>'[5]Лист1'!S34</f>
        <v>23260.239999999998</v>
      </c>
      <c r="F40" s="141">
        <f>'[5]Лист1'!T34</f>
        <v>4939.37</v>
      </c>
      <c r="G40" s="143">
        <f>'[5]Лист1'!AB34</f>
        <v>22189.17</v>
      </c>
      <c r="H40" s="141">
        <f>'[5]Лист1'!AC34</f>
        <v>29628.817999999996</v>
      </c>
      <c r="I40" s="143">
        <f>'[5]Лист1'!AG34</f>
        <v>2129.4719999999998</v>
      </c>
      <c r="J40" s="139">
        <f>'[5]Лист1'!AI34+'[5]Лист1'!AJ34</f>
        <v>3549.12</v>
      </c>
      <c r="K40" s="139">
        <f>'[5]Лист1'!AH34+'[5]Лист1'!AK34+'[5]Лист1'!AL34+'[5]Лист1'!AM34+'[5]Лист1'!AN34+'[5]Лист1'!AO34+'[5]Лист1'!AP34+'[5]Лист1'!AQ34+'[5]Лист1'!AR34</f>
        <v>16552.8816</v>
      </c>
      <c r="L40" s="140">
        <f>'[5]Лист1'!AS34+'[5]Лист1'!AT34+'[5]Лист1'!AU34+'[5]Лист1'!AZ34+'[5]Лист1'!BA34</f>
        <v>3090</v>
      </c>
      <c r="M40" s="140">
        <f>'[5]Лист1'!AX34</f>
        <v>698.5999999999999</v>
      </c>
      <c r="N40" s="141">
        <f>'[5]Лист1'!BB34</f>
        <v>26020.073599999996</v>
      </c>
      <c r="O40" s="142">
        <f>'[5]Лист1'!BD34</f>
        <v>3608.7443999999996</v>
      </c>
      <c r="P40" s="142">
        <f>'[5]Лист1'!BE34</f>
        <v>-1071.0699999999997</v>
      </c>
      <c r="Q40" s="79"/>
      <c r="R40" s="79"/>
    </row>
    <row r="41" spans="1:18" ht="12.75">
      <c r="A41" s="91" t="s">
        <v>50</v>
      </c>
      <c r="B41" s="40">
        <f>'[5]Лист1'!B35</f>
        <v>3549.12</v>
      </c>
      <c r="C41" s="13">
        <f t="shared" si="4"/>
        <v>30699.888</v>
      </c>
      <c r="D41" s="14">
        <f>'[5]Лист1'!D35</f>
        <v>2457.7280000000023</v>
      </c>
      <c r="E41" s="139">
        <f>'[5]Лист1'!S35</f>
        <v>23345.82</v>
      </c>
      <c r="F41" s="141">
        <f>'[5]Лист1'!T35</f>
        <v>4896.34</v>
      </c>
      <c r="G41" s="143">
        <f>'[5]Лист1'!AB35</f>
        <v>22853.23</v>
      </c>
      <c r="H41" s="141">
        <f>'[5]Лист1'!AC35</f>
        <v>30207.298000000003</v>
      </c>
      <c r="I41" s="143">
        <f>'[5]Лист1'!AG35</f>
        <v>2129.4719999999998</v>
      </c>
      <c r="J41" s="139">
        <f>'[5]Лист1'!AI35+'[5]Лист1'!AJ35</f>
        <v>3549.12</v>
      </c>
      <c r="K41" s="139">
        <f>'[5]Лист1'!AH35+'[5]Лист1'!AK35+'[5]Лист1'!AL35+'[5]Лист1'!AM35+'[5]Лист1'!AN35+'[5]Лист1'!AO35+'[5]Лист1'!AP35+'[5]Лист1'!AQ35+'[5]Лист1'!AR35</f>
        <v>12173.4816</v>
      </c>
      <c r="L41" s="140">
        <f>'[5]Лист1'!AS35+'[5]Лист1'!AT35+'[5]Лист1'!AU35+'[5]Лист1'!AZ35+'[5]Лист1'!BA35</f>
        <v>7797</v>
      </c>
      <c r="M41" s="140">
        <f>'[5]Лист1'!AX35</f>
        <v>950.5999999999999</v>
      </c>
      <c r="N41" s="141">
        <f>'[5]Лист1'!BB35</f>
        <v>26599.6736</v>
      </c>
      <c r="O41" s="142">
        <f>'[5]Лист1'!BD35</f>
        <v>3607.6244000000042</v>
      </c>
      <c r="P41" s="142">
        <f>'[5]Лист1'!BE35</f>
        <v>-492.59000000000015</v>
      </c>
      <c r="Q41" s="79"/>
      <c r="R41" s="79"/>
    </row>
    <row r="42" spans="1:18" ht="12.75">
      <c r="A42" s="91" t="s">
        <v>51</v>
      </c>
      <c r="B42" s="40">
        <f>'[5]Лист1'!B36</f>
        <v>3549.12</v>
      </c>
      <c r="C42" s="13">
        <f t="shared" si="4"/>
        <v>30699.888</v>
      </c>
      <c r="D42" s="14">
        <f>'[5]Лист1'!D36</f>
        <v>2498.0579999999964</v>
      </c>
      <c r="E42" s="139">
        <f>'[5]Лист1'!S36</f>
        <v>28201.83</v>
      </c>
      <c r="F42" s="141">
        <f>'[5]Лист1'!T36</f>
        <v>0</v>
      </c>
      <c r="G42" s="143">
        <f>'[5]Лист1'!AB36</f>
        <v>21250.99</v>
      </c>
      <c r="H42" s="141">
        <f>'[5]Лист1'!AC36</f>
        <v>23749.048</v>
      </c>
      <c r="I42" s="143">
        <f>'[5]Лист1'!AG36</f>
        <v>2129.4719999999998</v>
      </c>
      <c r="J42" s="139">
        <f>'[5]Лист1'!AI36+'[5]Лист1'!AJ36</f>
        <v>3549.12</v>
      </c>
      <c r="K42" s="139">
        <f>'[5]Лист1'!AH36+'[5]Лист1'!AK36+'[5]Лист1'!AL36+'[5]Лист1'!AM36+'[5]Лист1'!AN36+'[5]Лист1'!AO36+'[5]Лист1'!AP36+'[5]Лист1'!AQ36+'[5]Лист1'!AR36</f>
        <v>12173.4816</v>
      </c>
      <c r="L42" s="140">
        <f>'[5]Лист1'!AS36+'[5]Лист1'!AT36+'[5]Лист1'!AU36+'[5]Лист1'!AZ36+'[5]Лист1'!BA36</f>
        <v>0</v>
      </c>
      <c r="M42" s="140">
        <f>'[5]Лист1'!AX36</f>
        <v>1016.4</v>
      </c>
      <c r="N42" s="141">
        <f>'[5]Лист1'!BB36</f>
        <v>18868.4736</v>
      </c>
      <c r="O42" s="142">
        <f>'[5]Лист1'!BD36</f>
        <v>4880.574399999998</v>
      </c>
      <c r="P42" s="142">
        <f>'[5]Лист1'!BE36</f>
        <v>-6950.84</v>
      </c>
      <c r="Q42" s="79"/>
      <c r="R42" s="79"/>
    </row>
    <row r="43" spans="1:18" ht="12.75">
      <c r="A43" s="91" t="s">
        <v>52</v>
      </c>
      <c r="B43" s="40">
        <f>'[5]Лист1'!B37</f>
        <v>3549.12</v>
      </c>
      <c r="C43" s="13">
        <f t="shared" si="4"/>
        <v>30699.888</v>
      </c>
      <c r="D43" s="14">
        <f>'[5]Лист1'!D37</f>
        <v>2296.5779999999986</v>
      </c>
      <c r="E43" s="139">
        <f>'[5]Лист1'!S37</f>
        <v>28403.31</v>
      </c>
      <c r="F43" s="141">
        <f>'[5]Лист1'!T37</f>
        <v>0</v>
      </c>
      <c r="G43" s="143">
        <f>'[5]Лист1'!AB37</f>
        <v>23237.559999999998</v>
      </c>
      <c r="H43" s="141">
        <f>'[5]Лист1'!AC37</f>
        <v>25534.137999999995</v>
      </c>
      <c r="I43" s="143">
        <f>'[5]Лист1'!AG37</f>
        <v>2129.4719999999998</v>
      </c>
      <c r="J43" s="139">
        <f>'[5]Лист1'!AI37+'[5]Лист1'!AJ37</f>
        <v>3549.12</v>
      </c>
      <c r="K43" s="139">
        <f>'[5]Лист1'!AH37+'[5]Лист1'!AK37+'[5]Лист1'!AL37+'[5]Лист1'!AM37+'[5]Лист1'!AN37+'[5]Лист1'!AO37+'[5]Лист1'!AP37+'[5]Лист1'!AQ37+'[5]Лист1'!AR37</f>
        <v>12173.4816</v>
      </c>
      <c r="L43" s="140">
        <f>'[5]Лист1'!AS37+'[5]Лист1'!AT37+'[5]Лист1'!AU37+'[5]Лист1'!AZ37+'[5]Лист1'!BA37</f>
        <v>204.8</v>
      </c>
      <c r="M43" s="140">
        <f>'[5]Лист1'!AX37</f>
        <v>753.1999999999999</v>
      </c>
      <c r="N43" s="141">
        <f>'[5]Лист1'!BB37</f>
        <v>18810.0736</v>
      </c>
      <c r="O43" s="142">
        <f>'[5]Лист1'!BD37</f>
        <v>6724.064399999996</v>
      </c>
      <c r="P43" s="142">
        <f>'[5]Лист1'!BE37</f>
        <v>-5165.750000000004</v>
      </c>
      <c r="Q43" s="79"/>
      <c r="R43" s="79"/>
    </row>
    <row r="44" spans="1:18" ht="12.75">
      <c r="A44" s="91" t="s">
        <v>53</v>
      </c>
      <c r="B44" s="40">
        <f>'[5]Лист1'!B38</f>
        <v>3549.12</v>
      </c>
      <c r="C44" s="13">
        <f t="shared" si="4"/>
        <v>30699.888</v>
      </c>
      <c r="D44" s="14">
        <f>'[5]Лист1'!D38</f>
        <v>2505.708</v>
      </c>
      <c r="E44" s="139">
        <f>'[5]Лист1'!S38</f>
        <v>28194.18</v>
      </c>
      <c r="F44" s="141">
        <f>'[5]Лист1'!T38</f>
        <v>0</v>
      </c>
      <c r="G44" s="143">
        <f>'[5]Лист1'!AB38</f>
        <v>35065.61</v>
      </c>
      <c r="H44" s="141">
        <f>'[5]Лист1'!AC38</f>
        <v>37571.318</v>
      </c>
      <c r="I44" s="143">
        <f>'[5]Лист1'!AG38</f>
        <v>2129.4719999999998</v>
      </c>
      <c r="J44" s="139">
        <f>'[5]Лист1'!AI38+'[5]Лист1'!AJ38</f>
        <v>3549.12</v>
      </c>
      <c r="K44" s="139">
        <f>'[5]Лист1'!AH38+'[5]Лист1'!AK38+'[5]Лист1'!AL38+'[5]Лист1'!AM38+'[5]Лист1'!AN38+'[5]Лист1'!AO38+'[5]Лист1'!AP38+'[5]Лист1'!AQ38+'[5]Лист1'!AR38</f>
        <v>12173.4816</v>
      </c>
      <c r="L44" s="140">
        <f>'[5]Лист1'!AS38+'[5]Лист1'!AT38+'[5]Лист1'!AU38+'[5]Лист1'!AZ38+'[5]Лист1'!BA38</f>
        <v>2981</v>
      </c>
      <c r="M44" s="140">
        <f>'[5]Лист1'!AX38</f>
        <v>950.5999999999999</v>
      </c>
      <c r="N44" s="141">
        <f>'[5]Лист1'!BB38</f>
        <v>21783.6736</v>
      </c>
      <c r="O44" s="142">
        <f>'[5]Лист1'!BD38</f>
        <v>15787.644400000001</v>
      </c>
      <c r="P44" s="142">
        <f>'[5]Лист1'!BE38</f>
        <v>6871.43</v>
      </c>
      <c r="Q44" s="79"/>
      <c r="R44" s="79"/>
    </row>
    <row r="45" spans="1:18" ht="12.75">
      <c r="A45" s="91" t="s">
        <v>41</v>
      </c>
      <c r="B45" s="40">
        <f>'[5]Лист1'!B39</f>
        <v>3549.12</v>
      </c>
      <c r="C45" s="13">
        <f>B45*8.65</f>
        <v>30699.888</v>
      </c>
      <c r="D45" s="14">
        <f>'[5]Лист1'!D39</f>
        <v>42505.708</v>
      </c>
      <c r="E45" s="139">
        <f>'[5]Лист1'!S39</f>
        <v>28194.18</v>
      </c>
      <c r="F45" s="141">
        <f>'[5]Лист1'!T39</f>
        <v>0</v>
      </c>
      <c r="G45" s="143">
        <f>'[5]Лист1'!AB39</f>
        <v>26663.95</v>
      </c>
      <c r="H45" s="141">
        <f>'[5]Лист1'!AC39</f>
        <v>69169.658</v>
      </c>
      <c r="I45" s="143">
        <f>'[5]Лист1'!AG39</f>
        <v>2129.4719999999998</v>
      </c>
      <c r="J45" s="139">
        <f>'[5]Лист1'!AI39+'[5]Лист1'!AJ39</f>
        <v>3549.12</v>
      </c>
      <c r="K45" s="139">
        <f>'[5]Лист1'!AH39+'[5]Лист1'!AK39+'[5]Лист1'!AL39+'[5]Лист1'!AM39+'[5]Лист1'!AN39+'[5]Лист1'!AO39+'[5]Лист1'!AP39+'[5]Лист1'!AQ39+'[5]Лист1'!AR39</f>
        <v>12173.4816</v>
      </c>
      <c r="L45" s="140">
        <f>'[5]Лист1'!AS39+'[5]Лист1'!AT39+'[5]Лист1'!AU39+'[5]Лист1'!AZ39+'[5]Лист1'!BA39</f>
        <v>298</v>
      </c>
      <c r="M45" s="140">
        <f>'[5]Лист1'!AX39</f>
        <v>935.1999999999999</v>
      </c>
      <c r="N45" s="141">
        <f>'[5]Лист1'!BB39</f>
        <v>19085.2736</v>
      </c>
      <c r="O45" s="142">
        <f>'[5]Лист1'!BD39</f>
        <v>50084.384399999995</v>
      </c>
      <c r="P45" s="142">
        <f>'[5]Лист1'!BE39</f>
        <v>-1530.2299999999996</v>
      </c>
      <c r="Q45" s="79"/>
      <c r="R45" s="79"/>
    </row>
    <row r="46" spans="1:18" ht="12.75">
      <c r="A46" s="91" t="s">
        <v>42</v>
      </c>
      <c r="B46" s="40">
        <f>'[5]Лист1'!B40</f>
        <v>3549.12</v>
      </c>
      <c r="C46" s="13">
        <f t="shared" si="4"/>
        <v>30699.888</v>
      </c>
      <c r="D46" s="14">
        <f>'[5]Лист1'!D40</f>
        <v>2505.6779999999994</v>
      </c>
      <c r="E46" s="139">
        <f>'[5]Лист1'!S40</f>
        <v>28194.209999999995</v>
      </c>
      <c r="F46" s="141">
        <f>'[5]Лист1'!T40</f>
        <v>0</v>
      </c>
      <c r="G46" s="143">
        <f>'[5]Лист1'!AB40</f>
        <v>28636.510000000002</v>
      </c>
      <c r="H46" s="141">
        <f>'[5]Лист1'!AC40</f>
        <v>31142.188000000002</v>
      </c>
      <c r="I46" s="143">
        <f>'[5]Лист1'!AG40</f>
        <v>2129.4719999999998</v>
      </c>
      <c r="J46" s="139">
        <f>'[5]Лист1'!AI40+'[5]Лист1'!AJ40</f>
        <v>3549.12</v>
      </c>
      <c r="K46" s="139">
        <f>'[5]Лист1'!AH40+'[5]Лист1'!AK40+'[5]Лист1'!AL40+'[5]Лист1'!AM40+'[5]Лист1'!AN40+'[5]Лист1'!AO40+'[5]Лист1'!AP40+'[5]Лист1'!AQ40+'[5]Лист1'!AR40</f>
        <v>12173.4816</v>
      </c>
      <c r="L46" s="140">
        <f>'[5]Лист1'!AS40+'[5]Лист1'!AT40+'[5]Лист1'!AU40+'[5]Лист1'!AZ40+'[5]Лист1'!BA40</f>
        <v>41212</v>
      </c>
      <c r="M46" s="140">
        <f>'[5]Лист1'!AX40</f>
        <v>1166.1999999999998</v>
      </c>
      <c r="N46" s="141">
        <f>'[5]Лист1'!BB40</f>
        <v>60230.2736</v>
      </c>
      <c r="O46" s="142">
        <f>'[5]Лист1'!BD40</f>
        <v>-29088.0856</v>
      </c>
      <c r="P46" s="142">
        <f>'[5]Лист1'!BE40</f>
        <v>442.30000000000655</v>
      </c>
      <c r="Q46" s="79"/>
      <c r="R46" s="79"/>
    </row>
    <row r="47" spans="1:18" ht="13.5" thickBot="1">
      <c r="A47" s="144" t="s">
        <v>43</v>
      </c>
      <c r="B47" s="40">
        <f>'[5]Лист1'!B41</f>
        <v>3549.12</v>
      </c>
      <c r="C47" s="15">
        <f t="shared" si="4"/>
        <v>30699.888</v>
      </c>
      <c r="D47" s="14">
        <f>'[5]Лист1'!D41</f>
        <v>2517.547999999995</v>
      </c>
      <c r="E47" s="139">
        <f>'[5]Лист1'!S41</f>
        <v>28182.34</v>
      </c>
      <c r="F47" s="141">
        <f>'[5]Лист1'!T41</f>
        <v>0</v>
      </c>
      <c r="G47" s="143">
        <f>'[5]Лист1'!AB41</f>
        <v>32231.58</v>
      </c>
      <c r="H47" s="141">
        <f>'[5]Лист1'!AC41</f>
        <v>34749.128</v>
      </c>
      <c r="I47" s="143">
        <f>'[5]Лист1'!AG41</f>
        <v>2129.4719999999998</v>
      </c>
      <c r="J47" s="139">
        <f>'[5]Лист1'!AI41+'[5]Лист1'!AJ41</f>
        <v>3549.12</v>
      </c>
      <c r="K47" s="139">
        <f>'[5]Лист1'!AH41+'[5]Лист1'!AK41+'[5]Лист1'!AL41+'[5]Лист1'!AM41+'[5]Лист1'!AN41+'[5]Лист1'!AO41+'[5]Лист1'!AP41+'[5]Лист1'!AQ41+'[5]Лист1'!AR41</f>
        <v>12173.4816</v>
      </c>
      <c r="L47" s="140">
        <f>'[5]Лист1'!AS41+'[5]Лист1'!AT41+'[5]Лист1'!AU41+'[5]Лист1'!AZ41+'[5]Лист1'!BA41</f>
        <v>8143.3512</v>
      </c>
      <c r="M47" s="140">
        <f>'[5]Лист1'!AX41</f>
        <v>1226.3999999999999</v>
      </c>
      <c r="N47" s="141">
        <f>'[5]Лист1'!BB41</f>
        <v>27221.824800000002</v>
      </c>
      <c r="O47" s="142">
        <f>'[5]Лист1'!BD41</f>
        <v>7527.303199999995</v>
      </c>
      <c r="P47" s="142">
        <f>'[5]Лист1'!BE41</f>
        <v>4049.2400000000016</v>
      </c>
      <c r="Q47" s="79"/>
      <c r="R47" s="79"/>
    </row>
    <row r="48" spans="1:18" s="9" customFormat="1" ht="13.5" thickBot="1">
      <c r="A48" s="16" t="s">
        <v>5</v>
      </c>
      <c r="B48" s="17"/>
      <c r="C48" s="18">
        <f aca="true" t="shared" si="5" ref="C48:P48">SUM(C36:C47)</f>
        <v>368377.20399999997</v>
      </c>
      <c r="D48" s="31">
        <f t="shared" si="5"/>
        <v>69772.644</v>
      </c>
      <c r="E48" s="18">
        <f t="shared" si="5"/>
        <v>309297.9</v>
      </c>
      <c r="F48" s="32">
        <f t="shared" si="5"/>
        <v>29306.659999999996</v>
      </c>
      <c r="G48" s="31">
        <f t="shared" si="5"/>
        <v>287469.93000000005</v>
      </c>
      <c r="H48" s="32">
        <f t="shared" si="5"/>
        <v>386549.23400000005</v>
      </c>
      <c r="I48" s="31">
        <f t="shared" si="5"/>
        <v>25552.176000000007</v>
      </c>
      <c r="J48" s="18">
        <f t="shared" si="5"/>
        <v>42586.96</v>
      </c>
      <c r="K48" s="18">
        <f t="shared" si="5"/>
        <v>150452.6728</v>
      </c>
      <c r="L48" s="18">
        <f t="shared" si="5"/>
        <v>70388.15120000001</v>
      </c>
      <c r="M48" s="18">
        <f t="shared" si="5"/>
        <v>11631.199999999999</v>
      </c>
      <c r="N48" s="32">
        <f t="shared" si="5"/>
        <v>300611.16000000003</v>
      </c>
      <c r="O48" s="37">
        <f t="shared" si="5"/>
        <v>85938.074</v>
      </c>
      <c r="P48" s="37">
        <f t="shared" si="5"/>
        <v>-21827.969999999998</v>
      </c>
      <c r="Q48" s="35"/>
      <c r="R48" s="35"/>
    </row>
    <row r="49" spans="1:18" ht="13.5" thickBot="1">
      <c r="A49" s="290" t="s">
        <v>70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145"/>
      <c r="Q49" s="79"/>
      <c r="R49" s="79"/>
    </row>
    <row r="50" spans="1:18" s="9" customFormat="1" ht="13.5" thickBot="1">
      <c r="A50" s="39" t="s">
        <v>54</v>
      </c>
      <c r="B50" s="19"/>
      <c r="C50" s="20">
        <f>C34+C48</f>
        <v>828923.0989999999</v>
      </c>
      <c r="D50" s="176">
        <f aca="true" t="shared" si="6" ref="D50:N50">D34+D48</f>
        <v>127148.72982530002</v>
      </c>
      <c r="E50" s="19">
        <f t="shared" si="6"/>
        <v>634930.67</v>
      </c>
      <c r="F50" s="20">
        <f t="shared" si="6"/>
        <v>100452.84</v>
      </c>
      <c r="G50" s="176">
        <f t="shared" si="6"/>
        <v>559467.88</v>
      </c>
      <c r="H50" s="20">
        <f t="shared" si="6"/>
        <v>787069.4498253001</v>
      </c>
      <c r="I50" s="176">
        <f t="shared" si="6"/>
        <v>56645.61600000001</v>
      </c>
      <c r="J50" s="19">
        <f t="shared" si="6"/>
        <v>94030.53693814998</v>
      </c>
      <c r="K50" s="19">
        <f t="shared" si="6"/>
        <v>343775.22528846597</v>
      </c>
      <c r="L50" s="19">
        <f t="shared" si="6"/>
        <v>225764.92080000002</v>
      </c>
      <c r="M50" s="19">
        <f t="shared" si="6"/>
        <v>21379.3216</v>
      </c>
      <c r="N50" s="177">
        <f t="shared" si="6"/>
        <v>741595.620626616</v>
      </c>
      <c r="O50" s="178">
        <f>O34+O48</f>
        <v>45473.82919868405</v>
      </c>
      <c r="P50" s="178">
        <f>P34+P48</f>
        <v>-75462.79000000001</v>
      </c>
      <c r="Q50" s="36"/>
      <c r="R50" s="35"/>
    </row>
    <row r="53" spans="1:18" ht="12.75">
      <c r="A53" s="9"/>
      <c r="D53" s="41"/>
      <c r="Q53" s="79"/>
      <c r="R53" s="79"/>
    </row>
    <row r="54" spans="3:4" s="79" customFormat="1" ht="12.75">
      <c r="C54" s="292"/>
      <c r="D54" s="292"/>
    </row>
    <row r="55" spans="1:4" s="79" customFormat="1" ht="12.75">
      <c r="A55" s="213"/>
      <c r="B55" s="213"/>
      <c r="C55" s="293"/>
      <c r="D55" s="293"/>
    </row>
    <row r="56" spans="1:18" ht="12.75">
      <c r="A56" s="154"/>
      <c r="Q56" s="79"/>
      <c r="R56" s="79"/>
    </row>
    <row r="57" spans="17:18" ht="12.75">
      <c r="Q57" s="79"/>
      <c r="R57" s="79"/>
    </row>
    <row r="58" ht="12.75">
      <c r="A58" s="79"/>
    </row>
    <row r="59" ht="12.75">
      <c r="A59" s="79"/>
    </row>
  </sheetData>
  <sheetProtection/>
  <mergeCells count="27">
    <mergeCell ref="A33:O33"/>
    <mergeCell ref="A49:O49"/>
    <mergeCell ref="C54:D54"/>
    <mergeCell ref="C55:D55"/>
    <mergeCell ref="I9:N10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N11:N12"/>
    <mergeCell ref="E9:F10"/>
    <mergeCell ref="G9:H10"/>
    <mergeCell ref="B1:H1"/>
    <mergeCell ref="B2:H2"/>
    <mergeCell ref="A5:O5"/>
    <mergeCell ref="A6:G6"/>
    <mergeCell ref="A8:D8"/>
    <mergeCell ref="E8:F8"/>
  </mergeCells>
  <printOptions/>
  <pageMargins left="0.2362204724409449" right="0.15748031496062992" top="0.6299212598425197" bottom="0.4724409448818898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G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25" sqref="BF25"/>
    </sheetView>
  </sheetViews>
  <sheetFormatPr defaultColWidth="9.00390625" defaultRowHeight="12.75"/>
  <cols>
    <col min="1" max="1" width="8.75390625" style="80" bestFit="1" customWidth="1"/>
    <col min="2" max="2" width="9.125" style="80" customWidth="1"/>
    <col min="3" max="3" width="10.125" style="80" customWidth="1"/>
    <col min="4" max="4" width="10.375" style="80" customWidth="1"/>
    <col min="5" max="6" width="9.125" style="80" customWidth="1"/>
    <col min="7" max="7" width="10.25390625" style="80" customWidth="1"/>
    <col min="8" max="8" width="9.125" style="80" customWidth="1"/>
    <col min="9" max="9" width="9.875" style="80" customWidth="1"/>
    <col min="10" max="10" width="9.125" style="80" customWidth="1"/>
    <col min="11" max="11" width="10.375" style="80" customWidth="1"/>
    <col min="12" max="12" width="9.125" style="80" customWidth="1"/>
    <col min="13" max="13" width="10.125" style="80" bestFit="1" customWidth="1"/>
    <col min="14" max="14" width="9.125" style="80" customWidth="1"/>
    <col min="15" max="15" width="10.125" style="80" bestFit="1" customWidth="1"/>
    <col min="16" max="18" width="9.125" style="80" customWidth="1"/>
    <col min="19" max="19" width="10.125" style="80" bestFit="1" customWidth="1"/>
    <col min="20" max="20" width="10.125" style="80" customWidth="1"/>
    <col min="21" max="21" width="10.125" style="80" bestFit="1" customWidth="1"/>
    <col min="22" max="22" width="11.00390625" style="80" customWidth="1"/>
    <col min="23" max="23" width="10.625" style="80" customWidth="1"/>
    <col min="24" max="24" width="10.125" style="80" customWidth="1"/>
    <col min="25" max="25" width="9.125" style="80" customWidth="1"/>
    <col min="26" max="28" width="10.125" style="80" bestFit="1" customWidth="1"/>
    <col min="29" max="30" width="11.375" style="80" customWidth="1"/>
    <col min="31" max="31" width="9.25390625" style="80" bestFit="1" customWidth="1"/>
    <col min="32" max="32" width="10.125" style="80" bestFit="1" customWidth="1"/>
    <col min="33" max="33" width="10.25390625" style="80" customWidth="1"/>
    <col min="34" max="38" width="9.25390625" style="80" bestFit="1" customWidth="1"/>
    <col min="39" max="39" width="10.125" style="80" bestFit="1" customWidth="1"/>
    <col min="40" max="41" width="9.25390625" style="80" bestFit="1" customWidth="1"/>
    <col min="42" max="42" width="10.125" style="80" bestFit="1" customWidth="1"/>
    <col min="43" max="45" width="9.25390625" style="80" customWidth="1"/>
    <col min="46" max="46" width="10.125" style="80" bestFit="1" customWidth="1"/>
    <col min="47" max="47" width="11.625" style="80" customWidth="1"/>
    <col min="48" max="48" width="10.875" style="80" customWidth="1"/>
    <col min="49" max="49" width="10.625" style="80" customWidth="1"/>
    <col min="50" max="50" width="9.25390625" style="80" customWidth="1"/>
    <col min="51" max="51" width="10.625" style="80" customWidth="1"/>
    <col min="52" max="52" width="9.25390625" style="80" bestFit="1" customWidth="1"/>
    <col min="53" max="54" width="10.125" style="80" bestFit="1" customWidth="1"/>
    <col min="55" max="55" width="12.25390625" style="80" customWidth="1"/>
    <col min="56" max="56" width="10.375" style="80" customWidth="1"/>
    <col min="57" max="57" width="12.125" style="80" customWidth="1"/>
    <col min="58" max="58" width="14.00390625" style="80" customWidth="1"/>
    <col min="59" max="59" width="10.375" style="80" customWidth="1"/>
    <col min="60" max="16384" width="9.125" style="80" customWidth="1"/>
  </cols>
  <sheetData>
    <row r="1" spans="1:18" ht="21" customHeight="1">
      <c r="A1" s="219" t="s">
        <v>116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79"/>
      <c r="P1" s="79"/>
      <c r="Q1" s="79"/>
      <c r="R1" s="79"/>
    </row>
    <row r="2" spans="1:18" ht="13.5" thickBot="1">
      <c r="A2" s="79"/>
      <c r="B2" s="81"/>
      <c r="C2" s="82"/>
      <c r="D2" s="82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59" ht="29.25" customHeight="1" thickBot="1">
      <c r="A3" s="308" t="s">
        <v>0</v>
      </c>
      <c r="B3" s="310" t="s">
        <v>1</v>
      </c>
      <c r="C3" s="312" t="s">
        <v>2</v>
      </c>
      <c r="D3" s="314" t="s">
        <v>3</v>
      </c>
      <c r="E3" s="308" t="s">
        <v>86</v>
      </c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287"/>
      <c r="S3" s="308"/>
      <c r="T3" s="316"/>
      <c r="U3" s="308" t="s">
        <v>5</v>
      </c>
      <c r="V3" s="316"/>
      <c r="W3" s="324" t="s">
        <v>6</v>
      </c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6"/>
      <c r="AJ3" s="353" t="s">
        <v>74</v>
      </c>
      <c r="AK3" s="356" t="s">
        <v>10</v>
      </c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8"/>
      <c r="BF3" s="369" t="s">
        <v>11</v>
      </c>
      <c r="BG3" s="366" t="s">
        <v>12</v>
      </c>
    </row>
    <row r="4" spans="1:59" ht="51.75" customHeight="1" hidden="1" thickBot="1">
      <c r="A4" s="309"/>
      <c r="B4" s="311"/>
      <c r="C4" s="313"/>
      <c r="D4" s="315"/>
      <c r="E4" s="309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279"/>
      <c r="S4" s="322"/>
      <c r="T4" s="323"/>
      <c r="U4" s="322"/>
      <c r="V4" s="323"/>
      <c r="W4" s="327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9"/>
      <c r="AJ4" s="354"/>
      <c r="AK4" s="359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1"/>
      <c r="BF4" s="370"/>
      <c r="BG4" s="367"/>
    </row>
    <row r="5" spans="1:59" ht="19.5" customHeight="1">
      <c r="A5" s="309"/>
      <c r="B5" s="311"/>
      <c r="C5" s="313"/>
      <c r="D5" s="315"/>
      <c r="E5" s="318" t="s">
        <v>13</v>
      </c>
      <c r="F5" s="319"/>
      <c r="G5" s="318" t="s">
        <v>87</v>
      </c>
      <c r="H5" s="319"/>
      <c r="I5" s="318" t="s">
        <v>14</v>
      </c>
      <c r="J5" s="319"/>
      <c r="K5" s="318" t="s">
        <v>16</v>
      </c>
      <c r="L5" s="319"/>
      <c r="M5" s="318" t="s">
        <v>15</v>
      </c>
      <c r="N5" s="319"/>
      <c r="O5" s="336" t="s">
        <v>17</v>
      </c>
      <c r="P5" s="336"/>
      <c r="Q5" s="318" t="s">
        <v>88</v>
      </c>
      <c r="R5" s="319"/>
      <c r="S5" s="336" t="s">
        <v>89</v>
      </c>
      <c r="T5" s="319"/>
      <c r="U5" s="339" t="s">
        <v>20</v>
      </c>
      <c r="V5" s="330" t="s">
        <v>21</v>
      </c>
      <c r="W5" s="332" t="s">
        <v>22</v>
      </c>
      <c r="X5" s="332" t="s">
        <v>90</v>
      </c>
      <c r="Y5" s="332" t="s">
        <v>23</v>
      </c>
      <c r="Z5" s="332" t="s">
        <v>25</v>
      </c>
      <c r="AA5" s="332" t="s">
        <v>24</v>
      </c>
      <c r="AB5" s="332" t="s">
        <v>26</v>
      </c>
      <c r="AC5" s="332" t="s">
        <v>27</v>
      </c>
      <c r="AD5" s="334" t="s">
        <v>28</v>
      </c>
      <c r="AE5" s="334" t="s">
        <v>91</v>
      </c>
      <c r="AF5" s="341" t="s">
        <v>29</v>
      </c>
      <c r="AG5" s="343" t="s">
        <v>83</v>
      </c>
      <c r="AH5" s="345" t="s">
        <v>8</v>
      </c>
      <c r="AI5" s="347" t="s">
        <v>9</v>
      </c>
      <c r="AJ5" s="354"/>
      <c r="AK5" s="349" t="s">
        <v>92</v>
      </c>
      <c r="AL5" s="351" t="s">
        <v>93</v>
      </c>
      <c r="AM5" s="351" t="s">
        <v>94</v>
      </c>
      <c r="AN5" s="362" t="s">
        <v>95</v>
      </c>
      <c r="AO5" s="351" t="s">
        <v>96</v>
      </c>
      <c r="AP5" s="362" t="s">
        <v>97</v>
      </c>
      <c r="AQ5" s="362" t="s">
        <v>98</v>
      </c>
      <c r="AR5" s="362" t="s">
        <v>99</v>
      </c>
      <c r="AS5" s="362" t="s">
        <v>100</v>
      </c>
      <c r="AT5" s="362" t="s">
        <v>36</v>
      </c>
      <c r="AU5" s="260" t="s">
        <v>101</v>
      </c>
      <c r="AV5" s="258" t="s">
        <v>102</v>
      </c>
      <c r="AW5" s="260" t="s">
        <v>103</v>
      </c>
      <c r="AX5" s="262" t="s">
        <v>104</v>
      </c>
      <c r="AY5" s="77"/>
      <c r="AZ5" s="372" t="s">
        <v>19</v>
      </c>
      <c r="BA5" s="362" t="s">
        <v>38</v>
      </c>
      <c r="BB5" s="362" t="s">
        <v>33</v>
      </c>
      <c r="BC5" s="374" t="s">
        <v>39</v>
      </c>
      <c r="BD5" s="364" t="s">
        <v>75</v>
      </c>
      <c r="BE5" s="362" t="s">
        <v>105</v>
      </c>
      <c r="BF5" s="370"/>
      <c r="BG5" s="367"/>
    </row>
    <row r="6" spans="1:59" ht="56.25" customHeight="1" thickBot="1">
      <c r="A6" s="309"/>
      <c r="B6" s="311"/>
      <c r="C6" s="313"/>
      <c r="D6" s="315"/>
      <c r="E6" s="320"/>
      <c r="F6" s="321"/>
      <c r="G6" s="320"/>
      <c r="H6" s="321"/>
      <c r="I6" s="320"/>
      <c r="J6" s="321"/>
      <c r="K6" s="320"/>
      <c r="L6" s="321"/>
      <c r="M6" s="320"/>
      <c r="N6" s="321"/>
      <c r="O6" s="337"/>
      <c r="P6" s="337"/>
      <c r="Q6" s="320"/>
      <c r="R6" s="321"/>
      <c r="S6" s="338"/>
      <c r="T6" s="321"/>
      <c r="U6" s="340"/>
      <c r="V6" s="331"/>
      <c r="W6" s="333"/>
      <c r="X6" s="333"/>
      <c r="Y6" s="333"/>
      <c r="Z6" s="333"/>
      <c r="AA6" s="333"/>
      <c r="AB6" s="333"/>
      <c r="AC6" s="333"/>
      <c r="AD6" s="335"/>
      <c r="AE6" s="335"/>
      <c r="AF6" s="342"/>
      <c r="AG6" s="344"/>
      <c r="AH6" s="346"/>
      <c r="AI6" s="348"/>
      <c r="AJ6" s="355"/>
      <c r="AK6" s="350"/>
      <c r="AL6" s="352"/>
      <c r="AM6" s="352"/>
      <c r="AN6" s="363"/>
      <c r="AO6" s="352"/>
      <c r="AP6" s="363"/>
      <c r="AQ6" s="363"/>
      <c r="AR6" s="363"/>
      <c r="AS6" s="363"/>
      <c r="AT6" s="363"/>
      <c r="AU6" s="261"/>
      <c r="AV6" s="259"/>
      <c r="AW6" s="261"/>
      <c r="AX6" s="263"/>
      <c r="AY6" s="78" t="s">
        <v>106</v>
      </c>
      <c r="AZ6" s="373"/>
      <c r="BA6" s="363"/>
      <c r="BB6" s="363"/>
      <c r="BC6" s="375"/>
      <c r="BD6" s="365"/>
      <c r="BE6" s="363"/>
      <c r="BF6" s="371"/>
      <c r="BG6" s="368"/>
    </row>
    <row r="7" spans="1:59" ht="19.5" customHeight="1" thickBot="1">
      <c r="A7" s="83">
        <v>1</v>
      </c>
      <c r="B7" s="84">
        <v>2</v>
      </c>
      <c r="C7" s="84">
        <v>3</v>
      </c>
      <c r="D7" s="83">
        <v>4</v>
      </c>
      <c r="E7" s="84">
        <v>5</v>
      </c>
      <c r="F7" s="84">
        <v>6</v>
      </c>
      <c r="G7" s="83">
        <v>7</v>
      </c>
      <c r="H7" s="84">
        <v>8</v>
      </c>
      <c r="I7" s="84">
        <v>9</v>
      </c>
      <c r="J7" s="83">
        <v>10</v>
      </c>
      <c r="K7" s="84">
        <v>11</v>
      </c>
      <c r="L7" s="84">
        <v>12</v>
      </c>
      <c r="M7" s="83">
        <v>13</v>
      </c>
      <c r="N7" s="84">
        <v>14</v>
      </c>
      <c r="O7" s="84">
        <v>15</v>
      </c>
      <c r="P7" s="83">
        <v>16</v>
      </c>
      <c r="Q7" s="84">
        <v>17</v>
      </c>
      <c r="R7" s="84">
        <v>18</v>
      </c>
      <c r="S7" s="83">
        <v>19</v>
      </c>
      <c r="T7" s="84">
        <v>20</v>
      </c>
      <c r="U7" s="84">
        <v>21</v>
      </c>
      <c r="V7" s="83">
        <v>22</v>
      </c>
      <c r="W7" s="84">
        <v>23</v>
      </c>
      <c r="X7" s="83">
        <v>24</v>
      </c>
      <c r="Y7" s="84">
        <v>25</v>
      </c>
      <c r="Z7" s="83">
        <v>26</v>
      </c>
      <c r="AA7" s="84">
        <v>27</v>
      </c>
      <c r="AB7" s="83">
        <v>28</v>
      </c>
      <c r="AC7" s="84">
        <v>29</v>
      </c>
      <c r="AD7" s="83">
        <v>30</v>
      </c>
      <c r="AE7" s="83">
        <v>31</v>
      </c>
      <c r="AF7" s="84">
        <v>32</v>
      </c>
      <c r="AG7" s="83">
        <v>33</v>
      </c>
      <c r="AH7" s="84">
        <v>34</v>
      </c>
      <c r="AI7" s="83">
        <v>35</v>
      </c>
      <c r="AJ7" s="84">
        <v>36</v>
      </c>
      <c r="AK7" s="83">
        <v>37</v>
      </c>
      <c r="AL7" s="84">
        <v>38</v>
      </c>
      <c r="AM7" s="83">
        <v>39</v>
      </c>
      <c r="AN7" s="83">
        <v>40</v>
      </c>
      <c r="AO7" s="84">
        <v>41</v>
      </c>
      <c r="AP7" s="83">
        <v>42</v>
      </c>
      <c r="AQ7" s="84">
        <v>43</v>
      </c>
      <c r="AR7" s="83"/>
      <c r="AS7" s="83">
        <v>44</v>
      </c>
      <c r="AT7" s="84">
        <v>45</v>
      </c>
      <c r="AU7" s="83">
        <v>46</v>
      </c>
      <c r="AV7" s="84">
        <v>47</v>
      </c>
      <c r="AW7" s="83">
        <v>48</v>
      </c>
      <c r="AX7" s="83">
        <v>49</v>
      </c>
      <c r="AY7" s="84"/>
      <c r="AZ7" s="84">
        <v>50</v>
      </c>
      <c r="BA7" s="84">
        <v>51</v>
      </c>
      <c r="BB7" s="84">
        <v>52</v>
      </c>
      <c r="BC7" s="84">
        <v>53</v>
      </c>
      <c r="BD7" s="84">
        <v>54</v>
      </c>
      <c r="BE7" s="84"/>
      <c r="BF7" s="84">
        <v>55</v>
      </c>
      <c r="BG7" s="84">
        <v>56</v>
      </c>
    </row>
    <row r="8" spans="1:59" s="9" customFormat="1" ht="13.5" thickBot="1">
      <c r="A8" s="10" t="s">
        <v>54</v>
      </c>
      <c r="B8" s="71"/>
      <c r="C8" s="71">
        <f>Лист1!C44</f>
        <v>828923.0989999999</v>
      </c>
      <c r="D8" s="71">
        <f>Лист1!D44</f>
        <v>127148.72982530002</v>
      </c>
      <c r="E8" s="71">
        <f>Лист1!E44</f>
        <v>73360.47</v>
      </c>
      <c r="F8" s="71">
        <f>Лист1!F44</f>
        <v>11598.290000000005</v>
      </c>
      <c r="G8" s="71">
        <f>0</f>
        <v>0</v>
      </c>
      <c r="H8" s="71">
        <f>0</f>
        <v>0</v>
      </c>
      <c r="I8" s="71">
        <f>Лист1!G44</f>
        <v>99284</v>
      </c>
      <c r="J8" s="71">
        <f>Лист1!H44</f>
        <v>15701.189999999999</v>
      </c>
      <c r="K8" s="71">
        <f>Лист1!K44</f>
        <v>165308.75</v>
      </c>
      <c r="L8" s="71">
        <f>Лист1!L44</f>
        <v>26138.87</v>
      </c>
      <c r="M8" s="71">
        <f>Лист1!I44</f>
        <v>238288.34999999998</v>
      </c>
      <c r="N8" s="71">
        <f>Лист1!J44</f>
        <v>37736.61</v>
      </c>
      <c r="O8" s="71">
        <f>Лист1!M44</f>
        <v>58689.09999999999</v>
      </c>
      <c r="P8" s="71">
        <f>Лист1!N44</f>
        <v>9277.880000000001</v>
      </c>
      <c r="Q8" s="71">
        <f>'[1]Лист1'!O44</f>
        <v>0</v>
      </c>
      <c r="R8" s="71">
        <f>'[1]Лист1'!P44</f>
        <v>0</v>
      </c>
      <c r="S8" s="71">
        <f>'[1]Лист1'!Q44</f>
        <v>0</v>
      </c>
      <c r="T8" s="71">
        <f>'[1]Лист1'!R44</f>
        <v>0</v>
      </c>
      <c r="U8" s="71">
        <f>Лист1!S44</f>
        <v>634930.67</v>
      </c>
      <c r="V8" s="71">
        <f>Лист1!T44</f>
        <v>100452.84</v>
      </c>
      <c r="W8" s="71">
        <f>Лист1!U44</f>
        <v>64659.780000000006</v>
      </c>
      <c r="X8" s="71">
        <v>0</v>
      </c>
      <c r="Y8" s="71">
        <f>Лист1!V44</f>
        <v>87462.54</v>
      </c>
      <c r="Z8" s="71">
        <f>Лист1!X44</f>
        <v>145633.28</v>
      </c>
      <c r="AA8" s="71">
        <f>Лист1!W44</f>
        <v>210004.12</v>
      </c>
      <c r="AB8" s="71">
        <f>Лист1!Y44</f>
        <v>51708.159999999996</v>
      </c>
      <c r="AC8" s="71">
        <f>'[2]Лист1'!Z46</f>
        <v>0</v>
      </c>
      <c r="AD8" s="71">
        <f>'[2]Лист1'!AA46</f>
        <v>0</v>
      </c>
      <c r="AF8" s="71">
        <f>Лист1!AB44</f>
        <v>559467.88</v>
      </c>
      <c r="AG8" s="71">
        <f>Лист1!AC44</f>
        <v>787069.4498253001</v>
      </c>
      <c r="AH8" s="71">
        <f>'[2]Лист1'!AD46</f>
        <v>0</v>
      </c>
      <c r="AI8" s="71">
        <f>'[2]Лист1'!AE46</f>
        <v>0</v>
      </c>
      <c r="AJ8" s="71">
        <f>Лист1!AF44</f>
        <v>0</v>
      </c>
      <c r="AK8" s="71">
        <f>Лист1!AG44</f>
        <v>56645.61600000001</v>
      </c>
      <c r="AL8" s="71">
        <f>Лист1!AH44</f>
        <v>18980.938850000006</v>
      </c>
      <c r="AM8" s="71">
        <f>Лист1!AI44+Лист1!AJ44</f>
        <v>94030.53693815</v>
      </c>
      <c r="AN8" s="71">
        <v>0</v>
      </c>
      <c r="AO8" s="71">
        <f>Лист1!AK44+Лист1!AL44</f>
        <v>93792.36621260921</v>
      </c>
      <c r="AP8" s="71">
        <f>Лист1!AM44+Лист1!AN44</f>
        <v>209815.8038258568</v>
      </c>
      <c r="AQ8" s="71">
        <v>0</v>
      </c>
      <c r="AR8" s="71">
        <v>0</v>
      </c>
      <c r="AS8" s="71">
        <f>0</f>
        <v>0</v>
      </c>
      <c r="AT8" s="71">
        <f>Лист1!AO44</f>
        <v>4379.4</v>
      </c>
      <c r="AU8" s="71">
        <f>Лист1!AS44+Лист1!AU44</f>
        <v>169709.28079999998</v>
      </c>
      <c r="AV8" s="71">
        <f>0</f>
        <v>0</v>
      </c>
      <c r="AW8" s="71">
        <f>Лист1!AT44</f>
        <v>56055.64</v>
      </c>
      <c r="AX8" s="71">
        <f>Лист1!AQ44+Лист1!AR44</f>
        <v>16806.716399999998</v>
      </c>
      <c r="AY8" s="85">
        <f>Лист1!AX44</f>
        <v>21379.3216</v>
      </c>
      <c r="AZ8" s="85">
        <f>'[2]Лист1'!AY46</f>
        <v>0</v>
      </c>
      <c r="BA8" s="85">
        <f>'[2]Лист1'!AZ46</f>
        <v>0</v>
      </c>
      <c r="BB8" s="85">
        <f>'[2]Лист1'!BA46</f>
        <v>0</v>
      </c>
      <c r="BC8" s="85">
        <f>Лист1!BB44</f>
        <v>741595.620626616</v>
      </c>
      <c r="BD8" s="85">
        <f>'[2]Лист1'!BC46</f>
        <v>0</v>
      </c>
      <c r="BE8" s="86">
        <f>'2012 полн'!BC8</f>
        <v>741595.620626616</v>
      </c>
      <c r="BF8" s="87">
        <f>Лист1!BD44</f>
        <v>45473.82919868405</v>
      </c>
      <c r="BG8" s="87">
        <f>Лист1!BE44</f>
        <v>-75462.79000000001</v>
      </c>
    </row>
    <row r="9" spans="1:59" ht="12.75">
      <c r="A9" s="1" t="s">
        <v>107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87"/>
      <c r="BG9" s="90"/>
    </row>
    <row r="10" spans="1:59" ht="12.75">
      <c r="A10" s="91" t="s">
        <v>45</v>
      </c>
      <c r="B10" s="58">
        <v>3549.12</v>
      </c>
      <c r="C10" s="55">
        <f aca="true" t="shared" si="0" ref="C10:C18">B10*8.55</f>
        <v>30344.976000000002</v>
      </c>
      <c r="D10" s="48">
        <v>514.284</v>
      </c>
      <c r="E10" s="109">
        <v>0</v>
      </c>
      <c r="F10" s="62">
        <v>0</v>
      </c>
      <c r="G10" s="109">
        <v>18721.51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10549.49</v>
      </c>
      <c r="N10" s="109">
        <v>0</v>
      </c>
      <c r="O10" s="109">
        <v>2607.65</v>
      </c>
      <c r="P10" s="62">
        <v>0</v>
      </c>
      <c r="Q10" s="92">
        <v>0</v>
      </c>
      <c r="R10" s="93">
        <v>0</v>
      </c>
      <c r="S10" s="92">
        <v>0</v>
      </c>
      <c r="T10" s="93">
        <v>0</v>
      </c>
      <c r="U10" s="94">
        <f aca="true" t="shared" si="1" ref="U10:V21">E10+G10+I10+K10+M10+O10+Q10+S10</f>
        <v>31878.65</v>
      </c>
      <c r="V10" s="95">
        <f t="shared" si="1"/>
        <v>0</v>
      </c>
      <c r="W10" s="59">
        <v>2708.01</v>
      </c>
      <c r="X10" s="59"/>
      <c r="Y10" s="59">
        <v>3343.07</v>
      </c>
      <c r="Z10" s="59">
        <v>5430.2</v>
      </c>
      <c r="AA10" s="59">
        <v>8638.11</v>
      </c>
      <c r="AB10" s="59">
        <v>1166.44</v>
      </c>
      <c r="AC10" s="60">
        <v>0</v>
      </c>
      <c r="AD10" s="60">
        <v>0</v>
      </c>
      <c r="AE10" s="96">
        <v>0</v>
      </c>
      <c r="AF10" s="96">
        <f>SUM(W10:AE10)</f>
        <v>21285.829999999998</v>
      </c>
      <c r="AG10" s="97">
        <f>AF10+V10+D10</f>
        <v>21800.113999999998</v>
      </c>
      <c r="AH10" s="98">
        <f aca="true" t="shared" si="2" ref="AH10:AI21">AC10</f>
        <v>0</v>
      </c>
      <c r="AI10" s="98">
        <f t="shared" si="2"/>
        <v>0</v>
      </c>
      <c r="AJ10" s="64"/>
      <c r="AK10" s="65">
        <f aca="true" t="shared" si="3" ref="AK10:AK18">0.67*B10</f>
        <v>2377.9104</v>
      </c>
      <c r="AL10" s="65">
        <f aca="true" t="shared" si="4" ref="AL10:AL18">B10*0.2</f>
        <v>709.8240000000001</v>
      </c>
      <c r="AM10" s="65">
        <f aca="true" t="shared" si="5" ref="AM10:AM18">B10*1</f>
        <v>3549.12</v>
      </c>
      <c r="AN10" s="65">
        <f aca="true" t="shared" si="6" ref="AN10:AN18">B10*0.21</f>
        <v>745.3152</v>
      </c>
      <c r="AO10" s="65">
        <f aca="true" t="shared" si="7" ref="AO10:AO18">2.02*B10</f>
        <v>7169.2224</v>
      </c>
      <c r="AP10" s="65">
        <f aca="true" t="shared" si="8" ref="AP10:AP18">B10*1.03</f>
        <v>3655.5936</v>
      </c>
      <c r="AQ10" s="65">
        <f aca="true" t="shared" si="9" ref="AQ10:AQ18">B10*0.75</f>
        <v>2661.84</v>
      </c>
      <c r="AR10" s="65">
        <f aca="true" t="shared" si="10" ref="AR10:AR18">B10*0.75</f>
        <v>2661.84</v>
      </c>
      <c r="AS10" s="65">
        <f>B10*1.15</f>
        <v>4081.4879999999994</v>
      </c>
      <c r="AT10" s="65"/>
      <c r="AU10" s="67">
        <v>6099</v>
      </c>
      <c r="AV10" s="66"/>
      <c r="AW10" s="67"/>
      <c r="AX10" s="67">
        <f>'[3]январь 2011'!$F$100</f>
        <v>116.39999999999999</v>
      </c>
      <c r="AY10" s="51"/>
      <c r="AZ10" s="211"/>
      <c r="BA10" s="69"/>
      <c r="BB10" s="69">
        <f>BA10*0.18</f>
        <v>0</v>
      </c>
      <c r="BC10" s="69">
        <f aca="true" t="shared" si="11" ref="BC10:BC21">SUM(AK10:BB10)</f>
        <v>33827.5536</v>
      </c>
      <c r="BD10" s="70"/>
      <c r="BE10" s="212">
        <f>BC10</f>
        <v>33827.5536</v>
      </c>
      <c r="BF10" s="212">
        <f>AG10-BC10</f>
        <v>-12027.439600000002</v>
      </c>
      <c r="BG10" s="212">
        <f>AF10-U10</f>
        <v>-10592.820000000003</v>
      </c>
    </row>
    <row r="11" spans="1:59" ht="12.75">
      <c r="A11" s="91" t="s">
        <v>46</v>
      </c>
      <c r="B11" s="58">
        <v>3548.12</v>
      </c>
      <c r="C11" s="55">
        <f t="shared" si="0"/>
        <v>30336.426000000003</v>
      </c>
      <c r="D11" s="48">
        <v>514.284</v>
      </c>
      <c r="E11" s="109">
        <v>-0.95</v>
      </c>
      <c r="F11" s="62">
        <v>0</v>
      </c>
      <c r="G11" s="109">
        <v>18527.19</v>
      </c>
      <c r="H11" s="109">
        <v>0</v>
      </c>
      <c r="I11" s="109">
        <v>-1.3</v>
      </c>
      <c r="J11" s="109">
        <v>0</v>
      </c>
      <c r="K11" s="109">
        <v>-2.14</v>
      </c>
      <c r="L11" s="109">
        <v>0</v>
      </c>
      <c r="M11" s="109">
        <v>7538.76</v>
      </c>
      <c r="N11" s="109">
        <v>0</v>
      </c>
      <c r="O11" s="109">
        <v>3700.74</v>
      </c>
      <c r="P11" s="109">
        <v>0</v>
      </c>
      <c r="Q11" s="62">
        <v>0</v>
      </c>
      <c r="R11" s="62">
        <v>0</v>
      </c>
      <c r="S11" s="60">
        <v>0</v>
      </c>
      <c r="T11" s="59">
        <v>0</v>
      </c>
      <c r="U11" s="99">
        <f t="shared" si="1"/>
        <v>29762.299999999996</v>
      </c>
      <c r="V11" s="95">
        <f t="shared" si="1"/>
        <v>0</v>
      </c>
      <c r="W11" s="59">
        <v>690.61</v>
      </c>
      <c r="X11" s="60">
        <v>10965.96</v>
      </c>
      <c r="Y11" s="59">
        <v>1004.11</v>
      </c>
      <c r="Z11" s="59">
        <v>1700.48</v>
      </c>
      <c r="AA11" s="59">
        <v>7721.15</v>
      </c>
      <c r="AB11" s="59">
        <v>2660</v>
      </c>
      <c r="AC11" s="60">
        <v>0</v>
      </c>
      <c r="AD11" s="60">
        <v>0</v>
      </c>
      <c r="AE11" s="60">
        <v>0</v>
      </c>
      <c r="AF11" s="96">
        <f>SUM(W11:AE11)</f>
        <v>24742.309999999998</v>
      </c>
      <c r="AG11" s="97">
        <f>AF11+V11+D11</f>
        <v>25256.593999999997</v>
      </c>
      <c r="AH11" s="98">
        <f t="shared" si="2"/>
        <v>0</v>
      </c>
      <c r="AI11" s="98">
        <f t="shared" si="2"/>
        <v>0</v>
      </c>
      <c r="AJ11" s="64"/>
      <c r="AK11" s="65">
        <f t="shared" si="3"/>
        <v>2377.2404</v>
      </c>
      <c r="AL11" s="65">
        <f t="shared" si="4"/>
        <v>709.624</v>
      </c>
      <c r="AM11" s="65">
        <f t="shared" si="5"/>
        <v>3548.12</v>
      </c>
      <c r="AN11" s="65">
        <f t="shared" si="6"/>
        <v>745.1052</v>
      </c>
      <c r="AO11" s="65">
        <f t="shared" si="7"/>
        <v>7167.2024</v>
      </c>
      <c r="AP11" s="65">
        <f t="shared" si="8"/>
        <v>3654.5636</v>
      </c>
      <c r="AQ11" s="65">
        <f t="shared" si="9"/>
        <v>2661.09</v>
      </c>
      <c r="AR11" s="65">
        <f t="shared" si="10"/>
        <v>2661.09</v>
      </c>
      <c r="AS11" s="65">
        <f>B11*1.15</f>
        <v>4080.3379999999997</v>
      </c>
      <c r="AT11" s="65">
        <f>0.45*811</f>
        <v>364.95</v>
      </c>
      <c r="AU11" s="67"/>
      <c r="AV11" s="66">
        <v>1219</v>
      </c>
      <c r="AW11" s="67">
        <v>660</v>
      </c>
      <c r="AX11" s="67">
        <f>'[3]февраль 2011'!$F$125</f>
        <v>33.839999999999996</v>
      </c>
      <c r="AY11" s="51"/>
      <c r="AZ11" s="211"/>
      <c r="BA11" s="69"/>
      <c r="BB11" s="69">
        <f>BA11*0.18</f>
        <v>0</v>
      </c>
      <c r="BC11" s="69">
        <f t="shared" si="11"/>
        <v>29882.163600000003</v>
      </c>
      <c r="BD11" s="70"/>
      <c r="BE11" s="212">
        <f aca="true" t="shared" si="12" ref="BE11:BE21">BC11</f>
        <v>29882.163600000003</v>
      </c>
      <c r="BF11" s="212">
        <f aca="true" t="shared" si="13" ref="BF11:BF21">AG11-BC11</f>
        <v>-4625.569600000006</v>
      </c>
      <c r="BG11" s="212">
        <f aca="true" t="shared" si="14" ref="BG11:BG21">AF11-U11</f>
        <v>-5019.989999999998</v>
      </c>
    </row>
    <row r="12" spans="1:59" ht="12.75">
      <c r="A12" s="91" t="s">
        <v>47</v>
      </c>
      <c r="B12" s="58">
        <v>3548.12</v>
      </c>
      <c r="C12" s="55">
        <f t="shared" si="0"/>
        <v>30336.426000000003</v>
      </c>
      <c r="D12" s="48">
        <v>514.284</v>
      </c>
      <c r="E12" s="109">
        <v>-7.38</v>
      </c>
      <c r="F12" s="62">
        <v>0</v>
      </c>
      <c r="G12" s="109">
        <v>18681.24</v>
      </c>
      <c r="H12" s="109">
        <v>0</v>
      </c>
      <c r="I12" s="109">
        <v>-10.01</v>
      </c>
      <c r="J12" s="109">
        <v>0</v>
      </c>
      <c r="K12" s="109">
        <v>-16.65</v>
      </c>
      <c r="L12" s="109">
        <v>0</v>
      </c>
      <c r="M12" s="109">
        <v>9048.07</v>
      </c>
      <c r="N12" s="109">
        <v>0</v>
      </c>
      <c r="O12" s="109">
        <v>3158.33</v>
      </c>
      <c r="P12" s="109">
        <v>0</v>
      </c>
      <c r="Q12" s="109">
        <v>0</v>
      </c>
      <c r="R12" s="109">
        <v>0</v>
      </c>
      <c r="S12" s="109">
        <v>0</v>
      </c>
      <c r="T12" s="59">
        <v>0</v>
      </c>
      <c r="U12" s="59">
        <f t="shared" si="1"/>
        <v>30853.6</v>
      </c>
      <c r="V12" s="61">
        <f t="shared" si="1"/>
        <v>0</v>
      </c>
      <c r="W12" s="73">
        <v>862.48</v>
      </c>
      <c r="X12" s="60">
        <v>16797.12</v>
      </c>
      <c r="Y12" s="59">
        <v>1227.07</v>
      </c>
      <c r="Z12" s="59">
        <v>2067.94</v>
      </c>
      <c r="AA12" s="59">
        <v>11135.92</v>
      </c>
      <c r="AB12" s="59">
        <v>3797.29</v>
      </c>
      <c r="AC12" s="60">
        <v>0</v>
      </c>
      <c r="AD12" s="60">
        <v>0</v>
      </c>
      <c r="AE12" s="59">
        <v>0</v>
      </c>
      <c r="AF12" s="100">
        <f>SUM(W12:AE12)</f>
        <v>35887.82</v>
      </c>
      <c r="AG12" s="97">
        <f>AF12+V12+D12</f>
        <v>36402.104</v>
      </c>
      <c r="AH12" s="98">
        <f t="shared" si="2"/>
        <v>0</v>
      </c>
      <c r="AI12" s="98">
        <f t="shared" si="2"/>
        <v>0</v>
      </c>
      <c r="AJ12" s="64"/>
      <c r="AK12" s="65">
        <f t="shared" si="3"/>
        <v>2377.2404</v>
      </c>
      <c r="AL12" s="65">
        <f t="shared" si="4"/>
        <v>709.624</v>
      </c>
      <c r="AM12" s="65">
        <f t="shared" si="5"/>
        <v>3548.12</v>
      </c>
      <c r="AN12" s="65">
        <f t="shared" si="6"/>
        <v>745.1052</v>
      </c>
      <c r="AO12" s="65">
        <f t="shared" si="7"/>
        <v>7167.2024</v>
      </c>
      <c r="AP12" s="65">
        <f t="shared" si="8"/>
        <v>3654.5636</v>
      </c>
      <c r="AQ12" s="65">
        <f t="shared" si="9"/>
        <v>2661.09</v>
      </c>
      <c r="AR12" s="65">
        <f t="shared" si="10"/>
        <v>2661.09</v>
      </c>
      <c r="AS12" s="65">
        <f>B12*1.15</f>
        <v>4080.3379999999997</v>
      </c>
      <c r="AT12" s="65"/>
      <c r="AU12" s="67">
        <v>943</v>
      </c>
      <c r="AV12" s="66"/>
      <c r="AW12" s="67"/>
      <c r="AX12" s="67">
        <f>'[3]март 2011'!$F$102</f>
        <v>26</v>
      </c>
      <c r="AY12" s="51"/>
      <c r="AZ12" s="211"/>
      <c r="BA12" s="69"/>
      <c r="BB12" s="69">
        <f>BA12*0.18</f>
        <v>0</v>
      </c>
      <c r="BC12" s="69">
        <f t="shared" si="11"/>
        <v>28573.373600000003</v>
      </c>
      <c r="BD12" s="70"/>
      <c r="BE12" s="212">
        <f t="shared" si="12"/>
        <v>28573.373600000003</v>
      </c>
      <c r="BF12" s="212">
        <f t="shared" si="13"/>
        <v>7828.730399999997</v>
      </c>
      <c r="BG12" s="212">
        <f t="shared" si="14"/>
        <v>5034.220000000001</v>
      </c>
    </row>
    <row r="13" spans="1:59" ht="12.75">
      <c r="A13" s="91" t="s">
        <v>48</v>
      </c>
      <c r="B13" s="58">
        <v>3548.12</v>
      </c>
      <c r="C13" s="55">
        <f t="shared" si="0"/>
        <v>30336.426000000003</v>
      </c>
      <c r="D13" s="48">
        <v>514.284</v>
      </c>
      <c r="E13" s="92">
        <v>0</v>
      </c>
      <c r="F13" s="62">
        <v>0</v>
      </c>
      <c r="G13" s="196">
        <v>18636.96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9050.34</v>
      </c>
      <c r="N13" s="109">
        <v>0</v>
      </c>
      <c r="O13" s="109">
        <v>3156.45</v>
      </c>
      <c r="P13" s="109">
        <v>0</v>
      </c>
      <c r="Q13" s="62">
        <v>0</v>
      </c>
      <c r="R13" s="62">
        <v>0</v>
      </c>
      <c r="S13" s="200">
        <v>0</v>
      </c>
      <c r="T13" s="103">
        <v>0</v>
      </c>
      <c r="U13" s="99">
        <f t="shared" si="1"/>
        <v>30843.75</v>
      </c>
      <c r="V13" s="61">
        <f t="shared" si="1"/>
        <v>0</v>
      </c>
      <c r="W13" s="59">
        <v>79.74</v>
      </c>
      <c r="X13" s="60">
        <v>17109.51</v>
      </c>
      <c r="Y13" s="59">
        <v>156.21</v>
      </c>
      <c r="Z13" s="59">
        <v>280.1</v>
      </c>
      <c r="AA13" s="59">
        <v>8601.68</v>
      </c>
      <c r="AB13" s="60">
        <v>3233.04</v>
      </c>
      <c r="AC13" s="59">
        <v>0</v>
      </c>
      <c r="AD13" s="60">
        <v>0</v>
      </c>
      <c r="AE13" s="60">
        <v>0</v>
      </c>
      <c r="AF13" s="96">
        <f>SUM(W13:AD13)</f>
        <v>29460.28</v>
      </c>
      <c r="AG13" s="104">
        <f>AF13+V13+D13</f>
        <v>29974.564</v>
      </c>
      <c r="AH13" s="105">
        <f t="shared" si="2"/>
        <v>0</v>
      </c>
      <c r="AI13" s="105">
        <f t="shared" si="2"/>
        <v>0</v>
      </c>
      <c r="AJ13" s="106"/>
      <c r="AK13" s="65">
        <f t="shared" si="3"/>
        <v>2377.2404</v>
      </c>
      <c r="AL13" s="65">
        <f t="shared" si="4"/>
        <v>709.624</v>
      </c>
      <c r="AM13" s="65">
        <f t="shared" si="5"/>
        <v>3548.12</v>
      </c>
      <c r="AN13" s="65">
        <f t="shared" si="6"/>
        <v>745.1052</v>
      </c>
      <c r="AO13" s="65">
        <f t="shared" si="7"/>
        <v>7167.2024</v>
      </c>
      <c r="AP13" s="65">
        <f t="shared" si="8"/>
        <v>3654.5636</v>
      </c>
      <c r="AQ13" s="65">
        <f t="shared" si="9"/>
        <v>2661.09</v>
      </c>
      <c r="AR13" s="65">
        <f t="shared" si="10"/>
        <v>2661.09</v>
      </c>
      <c r="AS13" s="65"/>
      <c r="AT13" s="107">
        <f aca="true" t="shared" si="15" ref="AT13:AT18">0.45*811</f>
        <v>364.95</v>
      </c>
      <c r="AU13" s="108">
        <v>9877</v>
      </c>
      <c r="AV13" s="108"/>
      <c r="AW13" s="108">
        <v>12000</v>
      </c>
      <c r="AX13" s="108">
        <f>1514+417</f>
        <v>1931</v>
      </c>
      <c r="AY13" s="51"/>
      <c r="AZ13" s="51"/>
      <c r="BA13" s="107"/>
      <c r="BB13" s="107"/>
      <c r="BC13" s="109">
        <f t="shared" si="11"/>
        <v>47696.9856</v>
      </c>
      <c r="BD13" s="110"/>
      <c r="BE13" s="212">
        <f t="shared" si="12"/>
        <v>47696.9856</v>
      </c>
      <c r="BF13" s="212">
        <f t="shared" si="13"/>
        <v>-17722.4216</v>
      </c>
      <c r="BG13" s="212">
        <f t="shared" si="14"/>
        <v>-1383.4700000000012</v>
      </c>
    </row>
    <row r="14" spans="1:59" ht="12.75">
      <c r="A14" s="91" t="s">
        <v>49</v>
      </c>
      <c r="B14" s="155">
        <v>3548.12</v>
      </c>
      <c r="C14" s="55">
        <f t="shared" si="0"/>
        <v>30336.426000000003</v>
      </c>
      <c r="D14" s="48">
        <v>514.284</v>
      </c>
      <c r="E14" s="196">
        <v>0</v>
      </c>
      <c r="F14" s="62">
        <v>0</v>
      </c>
      <c r="G14" s="109">
        <v>18621.68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9042.83</v>
      </c>
      <c r="N14" s="109">
        <v>0</v>
      </c>
      <c r="O14" s="109">
        <v>3153.77</v>
      </c>
      <c r="P14" s="109">
        <v>0</v>
      </c>
      <c r="Q14" s="62">
        <v>0</v>
      </c>
      <c r="R14" s="62">
        <v>0</v>
      </c>
      <c r="S14" s="109">
        <v>0</v>
      </c>
      <c r="T14" s="60">
        <v>0</v>
      </c>
      <c r="U14" s="101">
        <f t="shared" si="1"/>
        <v>30818.280000000002</v>
      </c>
      <c r="V14" s="111">
        <f>F14+H14+J14+L14+N14++R14+T14</f>
        <v>0</v>
      </c>
      <c r="W14" s="59">
        <v>462.28</v>
      </c>
      <c r="X14" s="60">
        <v>17771.58</v>
      </c>
      <c r="Y14" s="59">
        <v>625.43</v>
      </c>
      <c r="Z14" s="59">
        <v>1041.53</v>
      </c>
      <c r="AA14" s="59">
        <v>10124.3</v>
      </c>
      <c r="AB14" s="59">
        <v>3377.42</v>
      </c>
      <c r="AC14" s="60">
        <v>0</v>
      </c>
      <c r="AD14" s="60">
        <v>0</v>
      </c>
      <c r="AE14" s="96">
        <v>0</v>
      </c>
      <c r="AF14" s="112">
        <f aca="true" t="shared" si="16" ref="AF14:AF21">SUM(W14:AE14)</f>
        <v>33402.54</v>
      </c>
      <c r="AG14" s="104">
        <f aca="true" t="shared" si="17" ref="AG14:AG21">D14+V14+AF14</f>
        <v>33916.824</v>
      </c>
      <c r="AH14" s="105">
        <f t="shared" si="2"/>
        <v>0</v>
      </c>
      <c r="AI14" s="105">
        <f t="shared" si="2"/>
        <v>0</v>
      </c>
      <c r="AJ14" s="106"/>
      <c r="AK14" s="65">
        <f t="shared" si="3"/>
        <v>2377.2404</v>
      </c>
      <c r="AL14" s="65">
        <f t="shared" si="4"/>
        <v>709.624</v>
      </c>
      <c r="AM14" s="65">
        <f t="shared" si="5"/>
        <v>3548.12</v>
      </c>
      <c r="AN14" s="65">
        <f t="shared" si="6"/>
        <v>745.1052</v>
      </c>
      <c r="AO14" s="65">
        <f t="shared" si="7"/>
        <v>7167.2024</v>
      </c>
      <c r="AP14" s="65">
        <f t="shared" si="8"/>
        <v>3654.5636</v>
      </c>
      <c r="AQ14" s="65">
        <f t="shared" si="9"/>
        <v>2661.09</v>
      </c>
      <c r="AR14" s="65">
        <f t="shared" si="10"/>
        <v>2661.09</v>
      </c>
      <c r="AS14" s="65"/>
      <c r="AT14" s="107">
        <f t="shared" si="15"/>
        <v>364.95</v>
      </c>
      <c r="AU14" s="108"/>
      <c r="AV14" s="108"/>
      <c r="AW14" s="108">
        <v>1045</v>
      </c>
      <c r="AX14" s="108">
        <f>322</f>
        <v>322</v>
      </c>
      <c r="AY14" s="51"/>
      <c r="AZ14" s="51"/>
      <c r="BA14" s="107"/>
      <c r="BB14" s="107"/>
      <c r="BC14" s="69">
        <f t="shared" si="11"/>
        <v>25255.985600000004</v>
      </c>
      <c r="BD14" s="110"/>
      <c r="BE14" s="212">
        <f t="shared" si="12"/>
        <v>25255.985600000004</v>
      </c>
      <c r="BF14" s="212">
        <f t="shared" si="13"/>
        <v>8660.838399999997</v>
      </c>
      <c r="BG14" s="212">
        <f t="shared" si="14"/>
        <v>2584.2599999999984</v>
      </c>
    </row>
    <row r="15" spans="1:59" ht="12.75">
      <c r="A15" s="91" t="s">
        <v>50</v>
      </c>
      <c r="B15" s="58">
        <v>3548.12</v>
      </c>
      <c r="C15" s="55">
        <f t="shared" si="0"/>
        <v>30336.426000000003</v>
      </c>
      <c r="D15" s="48">
        <v>514.284</v>
      </c>
      <c r="E15" s="113">
        <v>-1.96</v>
      </c>
      <c r="F15" s="113"/>
      <c r="G15" s="113">
        <v>18558.1</v>
      </c>
      <c r="H15" s="113">
        <v>103.4</v>
      </c>
      <c r="I15" s="114">
        <v>-2.63</v>
      </c>
      <c r="J15" s="114"/>
      <c r="K15" s="114">
        <v>-4.4</v>
      </c>
      <c r="L15" s="114"/>
      <c r="M15" s="114">
        <v>9005.21</v>
      </c>
      <c r="N15" s="114">
        <v>50.2</v>
      </c>
      <c r="O15" s="114">
        <v>3141.02</v>
      </c>
      <c r="P15" s="114"/>
      <c r="Q15" s="114">
        <v>0</v>
      </c>
      <c r="R15" s="115"/>
      <c r="S15" s="115">
        <v>0</v>
      </c>
      <c r="T15" s="114"/>
      <c r="U15" s="201">
        <f t="shared" si="1"/>
        <v>30695.339999999997</v>
      </c>
      <c r="V15" s="116">
        <f t="shared" si="1"/>
        <v>153.60000000000002</v>
      </c>
      <c r="W15" s="117">
        <v>207.42</v>
      </c>
      <c r="X15" s="113">
        <v>16999.59</v>
      </c>
      <c r="Y15" s="113">
        <v>322.15</v>
      </c>
      <c r="Z15" s="113">
        <v>553.85</v>
      </c>
      <c r="AA15" s="113">
        <v>8880.2</v>
      </c>
      <c r="AB15" s="113">
        <v>3304.2</v>
      </c>
      <c r="AC15" s="113">
        <v>0</v>
      </c>
      <c r="AD15" s="113">
        <v>0</v>
      </c>
      <c r="AE15" s="202">
        <v>0</v>
      </c>
      <c r="AF15" s="118">
        <f t="shared" si="16"/>
        <v>30267.41</v>
      </c>
      <c r="AG15" s="104">
        <f t="shared" si="17"/>
        <v>30935.294</v>
      </c>
      <c r="AH15" s="105">
        <f t="shared" si="2"/>
        <v>0</v>
      </c>
      <c r="AI15" s="105">
        <f t="shared" si="2"/>
        <v>0</v>
      </c>
      <c r="AJ15" s="106"/>
      <c r="AK15" s="65">
        <f t="shared" si="3"/>
        <v>2377.2404</v>
      </c>
      <c r="AL15" s="65">
        <f t="shared" si="4"/>
        <v>709.624</v>
      </c>
      <c r="AM15" s="65">
        <f t="shared" si="5"/>
        <v>3548.12</v>
      </c>
      <c r="AN15" s="65">
        <f t="shared" si="6"/>
        <v>745.1052</v>
      </c>
      <c r="AO15" s="65">
        <f t="shared" si="7"/>
        <v>7167.2024</v>
      </c>
      <c r="AP15" s="65">
        <f t="shared" si="8"/>
        <v>3654.5636</v>
      </c>
      <c r="AQ15" s="65">
        <f t="shared" si="9"/>
        <v>2661.09</v>
      </c>
      <c r="AR15" s="65">
        <f t="shared" si="10"/>
        <v>2661.09</v>
      </c>
      <c r="AS15" s="65"/>
      <c r="AT15" s="107">
        <f t="shared" si="15"/>
        <v>364.95</v>
      </c>
      <c r="AU15" s="108">
        <v>5651</v>
      </c>
      <c r="AV15" s="108">
        <v>343</v>
      </c>
      <c r="AW15" s="108"/>
      <c r="AX15" s="108">
        <v>510</v>
      </c>
      <c r="AY15" s="65"/>
      <c r="AZ15" s="65"/>
      <c r="BA15" s="107"/>
      <c r="BB15" s="107"/>
      <c r="BC15" s="69">
        <f t="shared" si="11"/>
        <v>30392.985600000004</v>
      </c>
      <c r="BD15" s="110"/>
      <c r="BE15" s="212">
        <f t="shared" si="12"/>
        <v>30392.985600000004</v>
      </c>
      <c r="BF15" s="212">
        <f t="shared" si="13"/>
        <v>542.3083999999981</v>
      </c>
      <c r="BG15" s="212">
        <f t="shared" si="14"/>
        <v>-427.92999999999665</v>
      </c>
    </row>
    <row r="16" spans="1:59" ht="12.75">
      <c r="A16" s="91" t="s">
        <v>51</v>
      </c>
      <c r="B16" s="58">
        <v>3548.12</v>
      </c>
      <c r="C16" s="55">
        <f t="shared" si="0"/>
        <v>30336.426000000003</v>
      </c>
      <c r="D16" s="48">
        <v>514.284</v>
      </c>
      <c r="E16" s="119"/>
      <c r="F16" s="119"/>
      <c r="G16" s="119">
        <v>18624.05</v>
      </c>
      <c r="H16" s="119">
        <v>103.4</v>
      </c>
      <c r="I16" s="119"/>
      <c r="J16" s="119"/>
      <c r="K16" s="119"/>
      <c r="L16" s="119"/>
      <c r="M16" s="119">
        <v>9043.99</v>
      </c>
      <c r="N16" s="119">
        <v>50.2</v>
      </c>
      <c r="O16" s="119">
        <v>3154.17</v>
      </c>
      <c r="P16" s="119"/>
      <c r="Q16" s="119"/>
      <c r="R16" s="119"/>
      <c r="S16" s="120"/>
      <c r="T16" s="117"/>
      <c r="U16" s="121">
        <f t="shared" si="1"/>
        <v>30822.21</v>
      </c>
      <c r="V16" s="203">
        <f t="shared" si="1"/>
        <v>153.60000000000002</v>
      </c>
      <c r="W16" s="122">
        <v>92.97</v>
      </c>
      <c r="X16" s="119">
        <v>15102.74</v>
      </c>
      <c r="Y16" s="119">
        <v>159.43</v>
      </c>
      <c r="Z16" s="119">
        <v>297.4</v>
      </c>
      <c r="AA16" s="119">
        <v>7651.92</v>
      </c>
      <c r="AB16" s="119">
        <v>2801.61</v>
      </c>
      <c r="AC16" s="113"/>
      <c r="AD16" s="119"/>
      <c r="AE16" s="120"/>
      <c r="AF16" s="118">
        <f t="shared" si="16"/>
        <v>26106.07</v>
      </c>
      <c r="AG16" s="123">
        <f t="shared" si="17"/>
        <v>26773.953999999998</v>
      </c>
      <c r="AH16" s="105">
        <f t="shared" si="2"/>
        <v>0</v>
      </c>
      <c r="AI16" s="105">
        <f t="shared" si="2"/>
        <v>0</v>
      </c>
      <c r="AJ16" s="106"/>
      <c r="AK16" s="65">
        <f t="shared" si="3"/>
        <v>2377.2404</v>
      </c>
      <c r="AL16" s="65">
        <f t="shared" si="4"/>
        <v>709.624</v>
      </c>
      <c r="AM16" s="65">
        <f t="shared" si="5"/>
        <v>3548.12</v>
      </c>
      <c r="AN16" s="65">
        <f t="shared" si="6"/>
        <v>745.1052</v>
      </c>
      <c r="AO16" s="65">
        <f t="shared" si="7"/>
        <v>7167.2024</v>
      </c>
      <c r="AP16" s="65">
        <f t="shared" si="8"/>
        <v>3654.5636</v>
      </c>
      <c r="AQ16" s="65">
        <f t="shared" si="9"/>
        <v>2661.09</v>
      </c>
      <c r="AR16" s="65">
        <f t="shared" si="10"/>
        <v>2661.09</v>
      </c>
      <c r="AS16" s="65"/>
      <c r="AT16" s="107">
        <f t="shared" si="15"/>
        <v>364.95</v>
      </c>
      <c r="AU16" s="108"/>
      <c r="AV16" s="108"/>
      <c r="AW16" s="108"/>
      <c r="AX16" s="108">
        <f>18.86+65.12</f>
        <v>83.98</v>
      </c>
      <c r="AY16" s="51"/>
      <c r="AZ16" s="51"/>
      <c r="BA16" s="107"/>
      <c r="BB16" s="107"/>
      <c r="BC16" s="69">
        <f t="shared" si="11"/>
        <v>23972.965600000003</v>
      </c>
      <c r="BD16" s="110"/>
      <c r="BE16" s="212">
        <f t="shared" si="12"/>
        <v>23972.965600000003</v>
      </c>
      <c r="BF16" s="212">
        <f t="shared" si="13"/>
        <v>2800.9883999999947</v>
      </c>
      <c r="BG16" s="212">
        <f t="shared" si="14"/>
        <v>-4716.139999999999</v>
      </c>
    </row>
    <row r="17" spans="1:59" ht="12.75">
      <c r="A17" s="91" t="s">
        <v>52</v>
      </c>
      <c r="B17" s="58">
        <v>3548.12</v>
      </c>
      <c r="C17" s="55">
        <f t="shared" si="0"/>
        <v>30336.426000000003</v>
      </c>
      <c r="D17" s="48">
        <v>514.284</v>
      </c>
      <c r="E17" s="204"/>
      <c r="F17" s="204"/>
      <c r="G17" s="204">
        <v>18631.28</v>
      </c>
      <c r="H17" s="204">
        <v>103.4</v>
      </c>
      <c r="I17" s="204"/>
      <c r="J17" s="204"/>
      <c r="K17" s="204"/>
      <c r="L17" s="204"/>
      <c r="M17" s="204">
        <v>9047.54</v>
      </c>
      <c r="N17" s="204">
        <v>50.2</v>
      </c>
      <c r="O17" s="204">
        <v>3155.43</v>
      </c>
      <c r="P17" s="204"/>
      <c r="Q17" s="204"/>
      <c r="R17" s="204"/>
      <c r="S17" s="205"/>
      <c r="T17" s="202"/>
      <c r="U17" s="206">
        <f t="shared" si="1"/>
        <v>30834.25</v>
      </c>
      <c r="V17" s="207">
        <f t="shared" si="1"/>
        <v>153.60000000000002</v>
      </c>
      <c r="W17" s="119">
        <v>15.54</v>
      </c>
      <c r="X17" s="119">
        <v>14801.85</v>
      </c>
      <c r="Y17" s="119">
        <v>44.83</v>
      </c>
      <c r="Z17" s="119">
        <v>84.58</v>
      </c>
      <c r="AA17" s="119">
        <v>7243.59</v>
      </c>
      <c r="AB17" s="119">
        <v>2599.08</v>
      </c>
      <c r="AC17" s="119"/>
      <c r="AD17" s="119"/>
      <c r="AE17" s="120"/>
      <c r="AF17" s="118">
        <f t="shared" si="16"/>
        <v>24789.47</v>
      </c>
      <c r="AG17" s="123">
        <f t="shared" si="17"/>
        <v>25457.354</v>
      </c>
      <c r="AH17" s="105">
        <f t="shared" si="2"/>
        <v>0</v>
      </c>
      <c r="AI17" s="105">
        <f t="shared" si="2"/>
        <v>0</v>
      </c>
      <c r="AJ17" s="106"/>
      <c r="AK17" s="65">
        <f t="shared" si="3"/>
        <v>2377.2404</v>
      </c>
      <c r="AL17" s="65">
        <f t="shared" si="4"/>
        <v>709.624</v>
      </c>
      <c r="AM17" s="65">
        <f t="shared" si="5"/>
        <v>3548.12</v>
      </c>
      <c r="AN17" s="65">
        <f t="shared" si="6"/>
        <v>745.1052</v>
      </c>
      <c r="AO17" s="65">
        <f t="shared" si="7"/>
        <v>7167.2024</v>
      </c>
      <c r="AP17" s="65">
        <f t="shared" si="8"/>
        <v>3654.5636</v>
      </c>
      <c r="AQ17" s="65">
        <f t="shared" si="9"/>
        <v>2661.09</v>
      </c>
      <c r="AR17" s="65">
        <f t="shared" si="10"/>
        <v>2661.09</v>
      </c>
      <c r="AS17" s="65"/>
      <c r="AT17" s="107">
        <f t="shared" si="15"/>
        <v>364.95</v>
      </c>
      <c r="AU17" s="108">
        <v>2096</v>
      </c>
      <c r="AV17" s="108"/>
      <c r="AW17" s="108"/>
      <c r="AX17" s="108"/>
      <c r="AY17" s="51"/>
      <c r="AZ17" s="51"/>
      <c r="BA17" s="107"/>
      <c r="BB17" s="107"/>
      <c r="BC17" s="109">
        <f t="shared" si="11"/>
        <v>25984.985600000004</v>
      </c>
      <c r="BD17" s="110"/>
      <c r="BE17" s="212">
        <f t="shared" si="12"/>
        <v>25984.985600000004</v>
      </c>
      <c r="BF17" s="212">
        <f t="shared" si="13"/>
        <v>-527.6316000000043</v>
      </c>
      <c r="BG17" s="212">
        <f t="shared" si="14"/>
        <v>-6044.779999999999</v>
      </c>
    </row>
    <row r="18" spans="1:59" ht="12.75">
      <c r="A18" s="91" t="s">
        <v>53</v>
      </c>
      <c r="B18" s="58">
        <v>3548.12</v>
      </c>
      <c r="C18" s="55">
        <f t="shared" si="0"/>
        <v>30336.426000000003</v>
      </c>
      <c r="D18" s="48">
        <v>514.284</v>
      </c>
      <c r="E18" s="119"/>
      <c r="F18" s="119"/>
      <c r="G18" s="119">
        <v>18729.05</v>
      </c>
      <c r="H18" s="119"/>
      <c r="I18" s="119"/>
      <c r="J18" s="119"/>
      <c r="K18" s="119"/>
      <c r="L18" s="119"/>
      <c r="M18" s="119">
        <v>9095.04</v>
      </c>
      <c r="N18" s="119"/>
      <c r="O18" s="119">
        <v>3154.5</v>
      </c>
      <c r="P18" s="119"/>
      <c r="Q18" s="119"/>
      <c r="R18" s="119"/>
      <c r="S18" s="120"/>
      <c r="T18" s="162"/>
      <c r="U18" s="162">
        <f t="shared" si="1"/>
        <v>30978.59</v>
      </c>
      <c r="V18" s="163">
        <f t="shared" si="1"/>
        <v>0</v>
      </c>
      <c r="W18" s="119">
        <v>329.51</v>
      </c>
      <c r="X18" s="119">
        <v>23591.74</v>
      </c>
      <c r="Y18" s="119">
        <v>464.02</v>
      </c>
      <c r="Z18" s="119">
        <v>779.53</v>
      </c>
      <c r="AA18" s="119">
        <v>12532.37</v>
      </c>
      <c r="AB18" s="119">
        <v>4368.29</v>
      </c>
      <c r="AC18" s="119"/>
      <c r="AD18" s="119"/>
      <c r="AE18" s="120"/>
      <c r="AF18" s="118">
        <f t="shared" si="16"/>
        <v>42065.46</v>
      </c>
      <c r="AG18" s="123">
        <f t="shared" si="17"/>
        <v>42579.744</v>
      </c>
      <c r="AH18" s="105">
        <f t="shared" si="2"/>
        <v>0</v>
      </c>
      <c r="AI18" s="105">
        <f t="shared" si="2"/>
        <v>0</v>
      </c>
      <c r="AJ18" s="106"/>
      <c r="AK18" s="65">
        <f t="shared" si="3"/>
        <v>2377.2404</v>
      </c>
      <c r="AL18" s="65">
        <f t="shared" si="4"/>
        <v>709.624</v>
      </c>
      <c r="AM18" s="65">
        <f t="shared" si="5"/>
        <v>3548.12</v>
      </c>
      <c r="AN18" s="65">
        <f t="shared" si="6"/>
        <v>745.1052</v>
      </c>
      <c r="AO18" s="65">
        <f t="shared" si="7"/>
        <v>7167.2024</v>
      </c>
      <c r="AP18" s="65">
        <f t="shared" si="8"/>
        <v>3654.5636</v>
      </c>
      <c r="AQ18" s="65">
        <f t="shared" si="9"/>
        <v>2661.09</v>
      </c>
      <c r="AR18" s="65">
        <f t="shared" si="10"/>
        <v>2661.09</v>
      </c>
      <c r="AS18" s="65"/>
      <c r="AT18" s="107">
        <f t="shared" si="15"/>
        <v>364.95</v>
      </c>
      <c r="AU18" s="108">
        <v>878</v>
      </c>
      <c r="AV18" s="108"/>
      <c r="AW18" s="108"/>
      <c r="AX18" s="108">
        <f>275</f>
        <v>275</v>
      </c>
      <c r="AY18" s="51"/>
      <c r="AZ18" s="51"/>
      <c r="BA18" s="107"/>
      <c r="BB18" s="107"/>
      <c r="BC18" s="69">
        <f t="shared" si="11"/>
        <v>25041.985600000004</v>
      </c>
      <c r="BD18" s="110"/>
      <c r="BE18" s="212">
        <f t="shared" si="12"/>
        <v>25041.985600000004</v>
      </c>
      <c r="BF18" s="212">
        <f t="shared" si="13"/>
        <v>17537.758399999995</v>
      </c>
      <c r="BG18" s="212">
        <f t="shared" si="14"/>
        <v>11086.869999999999</v>
      </c>
    </row>
    <row r="19" spans="1:59" ht="12.75">
      <c r="A19" s="91" t="s">
        <v>41</v>
      </c>
      <c r="B19" s="58">
        <v>3548.12</v>
      </c>
      <c r="C19" s="55">
        <f>B19*8.55</f>
        <v>30336.426000000003</v>
      </c>
      <c r="D19" s="48">
        <v>514.284</v>
      </c>
      <c r="E19" s="113"/>
      <c r="F19" s="113"/>
      <c r="G19" s="113">
        <v>18522.23</v>
      </c>
      <c r="H19" s="113">
        <v>206.8</v>
      </c>
      <c r="I19" s="113"/>
      <c r="J19" s="113"/>
      <c r="K19" s="113"/>
      <c r="L19" s="113"/>
      <c r="M19" s="113">
        <v>8994.65</v>
      </c>
      <c r="N19" s="113">
        <v>100.4</v>
      </c>
      <c r="O19" s="113">
        <v>3154.49</v>
      </c>
      <c r="P19" s="113"/>
      <c r="Q19" s="113"/>
      <c r="R19" s="113"/>
      <c r="S19" s="202"/>
      <c r="T19" s="208"/>
      <c r="U19" s="209">
        <f t="shared" si="1"/>
        <v>30671.369999999995</v>
      </c>
      <c r="V19" s="210">
        <f t="shared" si="1"/>
        <v>307.20000000000005</v>
      </c>
      <c r="W19" s="113">
        <v>0</v>
      </c>
      <c r="X19" s="113">
        <v>16477.12</v>
      </c>
      <c r="Y19" s="113">
        <v>0</v>
      </c>
      <c r="Z19" s="113">
        <v>0</v>
      </c>
      <c r="AA19" s="113">
        <v>8002.12</v>
      </c>
      <c r="AB19" s="113">
        <v>2776.11</v>
      </c>
      <c r="AC19" s="113"/>
      <c r="AD19" s="113"/>
      <c r="AE19" s="202"/>
      <c r="AF19" s="118">
        <f t="shared" si="16"/>
        <v>27255.35</v>
      </c>
      <c r="AG19" s="123">
        <f t="shared" si="17"/>
        <v>28076.834</v>
      </c>
      <c r="AH19" s="105">
        <f t="shared" si="2"/>
        <v>0</v>
      </c>
      <c r="AI19" s="105">
        <f t="shared" si="2"/>
        <v>0</v>
      </c>
      <c r="AJ19" s="106"/>
      <c r="AK19" s="65">
        <f>0.67*B19</f>
        <v>2377.2404</v>
      </c>
      <c r="AL19" s="65">
        <f>B19*0.2</f>
        <v>709.624</v>
      </c>
      <c r="AM19" s="65">
        <f>B19*1</f>
        <v>3548.12</v>
      </c>
      <c r="AN19" s="65">
        <f>B19*0.21</f>
        <v>745.1052</v>
      </c>
      <c r="AO19" s="65">
        <f>2.02*B19</f>
        <v>7167.2024</v>
      </c>
      <c r="AP19" s="65">
        <f>B19*1.03</f>
        <v>3654.5636</v>
      </c>
      <c r="AQ19" s="65">
        <f>B19*0.75</f>
        <v>2661.09</v>
      </c>
      <c r="AR19" s="65">
        <f>B19*0.75</f>
        <v>2661.09</v>
      </c>
      <c r="AS19" s="215">
        <f>B19*1.15</f>
        <v>4080.3379999999997</v>
      </c>
      <c r="AT19" s="107">
        <f>0.45*811</f>
        <v>364.95</v>
      </c>
      <c r="AU19" s="108">
        <v>1520</v>
      </c>
      <c r="AV19" s="108"/>
      <c r="AW19" s="108"/>
      <c r="AX19" s="108">
        <f>36.06</f>
        <v>36.06</v>
      </c>
      <c r="AY19" s="51"/>
      <c r="AZ19" s="107"/>
      <c r="BA19" s="107"/>
      <c r="BB19" s="107"/>
      <c r="BC19" s="69">
        <f t="shared" si="11"/>
        <v>29525.383600000005</v>
      </c>
      <c r="BD19" s="110"/>
      <c r="BE19" s="212">
        <f t="shared" si="12"/>
        <v>29525.383600000005</v>
      </c>
      <c r="BF19" s="212">
        <f t="shared" si="13"/>
        <v>-1448.5496000000057</v>
      </c>
      <c r="BG19" s="212">
        <f t="shared" si="14"/>
        <v>-3416.019999999997</v>
      </c>
    </row>
    <row r="20" spans="1:59" ht="12.75">
      <c r="A20" s="91" t="s">
        <v>42</v>
      </c>
      <c r="B20" s="58">
        <v>3548.12</v>
      </c>
      <c r="C20" s="55">
        <f>B20*8.55</f>
        <v>30336.426000000003</v>
      </c>
      <c r="D20" s="48">
        <v>514.284</v>
      </c>
      <c r="E20" s="113"/>
      <c r="F20" s="113"/>
      <c r="G20" s="113">
        <v>18625.65</v>
      </c>
      <c r="H20" s="113">
        <v>103.4</v>
      </c>
      <c r="I20" s="113"/>
      <c r="J20" s="113"/>
      <c r="K20" s="113"/>
      <c r="L20" s="113"/>
      <c r="M20" s="113">
        <v>9044.84</v>
      </c>
      <c r="N20" s="113">
        <v>50.2</v>
      </c>
      <c r="O20" s="113">
        <v>3154.48</v>
      </c>
      <c r="P20" s="113"/>
      <c r="Q20" s="113"/>
      <c r="R20" s="113"/>
      <c r="S20" s="202"/>
      <c r="T20" s="208"/>
      <c r="U20" s="209">
        <f t="shared" si="1"/>
        <v>30824.97</v>
      </c>
      <c r="V20" s="210">
        <f t="shared" si="1"/>
        <v>153.60000000000002</v>
      </c>
      <c r="W20" s="113">
        <v>0</v>
      </c>
      <c r="X20" s="113">
        <v>16194</v>
      </c>
      <c r="Y20" s="113">
        <v>0</v>
      </c>
      <c r="Z20" s="113">
        <v>0</v>
      </c>
      <c r="AA20" s="113">
        <v>7863.73</v>
      </c>
      <c r="AB20" s="113">
        <v>2761.58</v>
      </c>
      <c r="AC20" s="113"/>
      <c r="AD20" s="113"/>
      <c r="AE20" s="202"/>
      <c r="AF20" s="118">
        <f t="shared" si="16"/>
        <v>26819.309999999998</v>
      </c>
      <c r="AG20" s="123">
        <f t="shared" si="17"/>
        <v>27487.193999999996</v>
      </c>
      <c r="AH20" s="105">
        <f t="shared" si="2"/>
        <v>0</v>
      </c>
      <c r="AI20" s="105">
        <f t="shared" si="2"/>
        <v>0</v>
      </c>
      <c r="AJ20" s="106"/>
      <c r="AK20" s="65">
        <f>0.67*B20</f>
        <v>2377.2404</v>
      </c>
      <c r="AL20" s="65">
        <f>B20*0.2</f>
        <v>709.624</v>
      </c>
      <c r="AM20" s="65">
        <f>B20*1</f>
        <v>3548.12</v>
      </c>
      <c r="AN20" s="65">
        <f>B20*0.21</f>
        <v>745.1052</v>
      </c>
      <c r="AO20" s="65">
        <f>2.02*B20</f>
        <v>7167.2024</v>
      </c>
      <c r="AP20" s="65">
        <f>B20*1.03</f>
        <v>3654.5636</v>
      </c>
      <c r="AQ20" s="65">
        <f>B20*0.75</f>
        <v>2661.09</v>
      </c>
      <c r="AR20" s="65">
        <f>B20*0.75</f>
        <v>2661.09</v>
      </c>
      <c r="AS20" s="215">
        <f>B20*1.15</f>
        <v>4080.3379999999997</v>
      </c>
      <c r="AT20" s="107">
        <f>0.45*811</f>
        <v>364.95</v>
      </c>
      <c r="AU20" s="108">
        <v>2154</v>
      </c>
      <c r="AV20" s="108"/>
      <c r="AW20" s="108">
        <v>5258</v>
      </c>
      <c r="AX20" s="108">
        <f>52.68</f>
        <v>52.68</v>
      </c>
      <c r="AY20" s="51"/>
      <c r="AZ20" s="107"/>
      <c r="BA20" s="107"/>
      <c r="BB20" s="107"/>
      <c r="BC20" s="69">
        <f t="shared" si="11"/>
        <v>35434.003600000004</v>
      </c>
      <c r="BD20" s="110"/>
      <c r="BE20" s="212">
        <f t="shared" si="12"/>
        <v>35434.003600000004</v>
      </c>
      <c r="BF20" s="212">
        <f t="shared" si="13"/>
        <v>-7946.809600000008</v>
      </c>
      <c r="BG20" s="212">
        <f t="shared" si="14"/>
        <v>-4005.6600000000035</v>
      </c>
    </row>
    <row r="21" spans="1:59" ht="13.5" thickBot="1">
      <c r="A21" s="91" t="s">
        <v>43</v>
      </c>
      <c r="B21" s="58">
        <v>3548.12</v>
      </c>
      <c r="C21" s="55">
        <f>B21*8.55</f>
        <v>30336.426000000003</v>
      </c>
      <c r="D21" s="48">
        <v>514.284</v>
      </c>
      <c r="E21" s="216"/>
      <c r="F21" s="216"/>
      <c r="G21" s="216">
        <v>18625.65</v>
      </c>
      <c r="H21" s="216">
        <v>103.4</v>
      </c>
      <c r="I21" s="216"/>
      <c r="J21" s="216"/>
      <c r="K21" s="216"/>
      <c r="L21" s="216"/>
      <c r="M21" s="216">
        <v>9044.84</v>
      </c>
      <c r="N21" s="216">
        <v>50.2</v>
      </c>
      <c r="O21" s="216">
        <v>3154.5</v>
      </c>
      <c r="P21" s="216"/>
      <c r="Q21" s="216"/>
      <c r="R21" s="216"/>
      <c r="S21" s="217"/>
      <c r="T21" s="218"/>
      <c r="U21" s="209">
        <f t="shared" si="1"/>
        <v>30824.99</v>
      </c>
      <c r="V21" s="210">
        <f>F21+H21+J21+L21+N21+P21+R21+T21</f>
        <v>153.60000000000002</v>
      </c>
      <c r="W21" s="113">
        <v>0</v>
      </c>
      <c r="X21" s="113">
        <v>22274.4</v>
      </c>
      <c r="Y21" s="113">
        <v>0</v>
      </c>
      <c r="Z21" s="113">
        <v>0</v>
      </c>
      <c r="AA21" s="113">
        <v>10816.72</v>
      </c>
      <c r="AB21" s="113">
        <v>3769.66</v>
      </c>
      <c r="AC21" s="113"/>
      <c r="AD21" s="113"/>
      <c r="AE21" s="202"/>
      <c r="AF21" s="118">
        <f t="shared" si="16"/>
        <v>36860.78</v>
      </c>
      <c r="AG21" s="123">
        <f t="shared" si="17"/>
        <v>37528.664</v>
      </c>
      <c r="AH21" s="105">
        <f t="shared" si="2"/>
        <v>0</v>
      </c>
      <c r="AI21" s="105">
        <f t="shared" si="2"/>
        <v>0</v>
      </c>
      <c r="AJ21" s="106"/>
      <c r="AK21" s="65">
        <f>0.67*B21</f>
        <v>2377.2404</v>
      </c>
      <c r="AL21" s="65">
        <f>B21*0.2</f>
        <v>709.624</v>
      </c>
      <c r="AM21" s="65">
        <f>B21*1</f>
        <v>3548.12</v>
      </c>
      <c r="AN21" s="65">
        <f>B21*0.21</f>
        <v>745.1052</v>
      </c>
      <c r="AO21" s="65">
        <f>2.02*B21</f>
        <v>7167.2024</v>
      </c>
      <c r="AP21" s="65">
        <f>B21*1.03</f>
        <v>3654.5636</v>
      </c>
      <c r="AQ21" s="65">
        <f>B21*0.75</f>
        <v>2661.09</v>
      </c>
      <c r="AR21" s="65">
        <f>B21*0.75</f>
        <v>2661.09</v>
      </c>
      <c r="AS21" s="215">
        <f>B21*1.15</f>
        <v>4080.3379999999997</v>
      </c>
      <c r="AT21" s="107">
        <f>0.45*811+4379.4</f>
        <v>4744.349999999999</v>
      </c>
      <c r="AU21" s="108"/>
      <c r="AV21" s="108"/>
      <c r="AW21" s="108"/>
      <c r="AX21" s="108"/>
      <c r="AY21" s="51"/>
      <c r="AZ21" s="107"/>
      <c r="BA21" s="107"/>
      <c r="BB21" s="107"/>
      <c r="BC21" s="109">
        <f t="shared" si="11"/>
        <v>32348.7236</v>
      </c>
      <c r="BD21" s="110"/>
      <c r="BE21" s="212">
        <f t="shared" si="12"/>
        <v>32348.7236</v>
      </c>
      <c r="BF21" s="212">
        <f t="shared" si="13"/>
        <v>5179.940399999996</v>
      </c>
      <c r="BG21" s="212">
        <f t="shared" si="14"/>
        <v>6035.789999999997</v>
      </c>
    </row>
    <row r="22" spans="1:59" s="9" customFormat="1" ht="13.5" thickBot="1">
      <c r="A22" s="124" t="s">
        <v>5</v>
      </c>
      <c r="B22" s="125"/>
      <c r="C22" s="131">
        <f aca="true" t="shared" si="18" ref="C22:BF22">SUM(C10:C21)</f>
        <v>364045.66199999995</v>
      </c>
      <c r="D22" s="131">
        <f t="shared" si="18"/>
        <v>6171.4079999999985</v>
      </c>
      <c r="E22" s="131">
        <f t="shared" si="18"/>
        <v>-10.29</v>
      </c>
      <c r="F22" s="131">
        <f t="shared" si="18"/>
        <v>0</v>
      </c>
      <c r="G22" s="131">
        <f t="shared" si="18"/>
        <v>223504.59</v>
      </c>
      <c r="H22" s="131">
        <f t="shared" si="18"/>
        <v>723.8</v>
      </c>
      <c r="I22" s="131">
        <f t="shared" si="18"/>
        <v>-13.940000000000001</v>
      </c>
      <c r="J22" s="131">
        <f t="shared" si="18"/>
        <v>0</v>
      </c>
      <c r="K22" s="131">
        <f t="shared" si="18"/>
        <v>-23.189999999999998</v>
      </c>
      <c r="L22" s="131">
        <f t="shared" si="18"/>
        <v>0</v>
      </c>
      <c r="M22" s="131">
        <f t="shared" si="18"/>
        <v>108505.6</v>
      </c>
      <c r="N22" s="131">
        <f t="shared" si="18"/>
        <v>351.40000000000003</v>
      </c>
      <c r="O22" s="131">
        <f t="shared" si="18"/>
        <v>37845.53</v>
      </c>
      <c r="P22" s="131">
        <f t="shared" si="18"/>
        <v>0</v>
      </c>
      <c r="Q22" s="131">
        <f t="shared" si="18"/>
        <v>0</v>
      </c>
      <c r="R22" s="131">
        <f t="shared" si="18"/>
        <v>0</v>
      </c>
      <c r="S22" s="131">
        <f t="shared" si="18"/>
        <v>0</v>
      </c>
      <c r="T22" s="131">
        <f t="shared" si="18"/>
        <v>0</v>
      </c>
      <c r="U22" s="131">
        <f t="shared" si="18"/>
        <v>369808.29999999993</v>
      </c>
      <c r="V22" s="131">
        <f t="shared" si="18"/>
        <v>1075.2000000000003</v>
      </c>
      <c r="W22" s="131">
        <f t="shared" si="18"/>
        <v>5448.56</v>
      </c>
      <c r="X22" s="131">
        <f t="shared" si="18"/>
        <v>188085.61</v>
      </c>
      <c r="Y22" s="131">
        <f t="shared" si="18"/>
        <v>7346.32</v>
      </c>
      <c r="Z22" s="131">
        <f t="shared" si="18"/>
        <v>12235.610000000002</v>
      </c>
      <c r="AA22" s="131">
        <f t="shared" si="18"/>
        <v>109211.80999999998</v>
      </c>
      <c r="AB22" s="131">
        <f t="shared" si="18"/>
        <v>36614.72</v>
      </c>
      <c r="AC22" s="131">
        <f t="shared" si="18"/>
        <v>0</v>
      </c>
      <c r="AD22" s="131">
        <f t="shared" si="18"/>
        <v>0</v>
      </c>
      <c r="AE22" s="131">
        <f t="shared" si="18"/>
        <v>0</v>
      </c>
      <c r="AF22" s="131">
        <f t="shared" si="18"/>
        <v>358942.63</v>
      </c>
      <c r="AG22" s="131">
        <f t="shared" si="18"/>
        <v>366189.23799999995</v>
      </c>
      <c r="AH22" s="131">
        <f t="shared" si="18"/>
        <v>0</v>
      </c>
      <c r="AI22" s="131">
        <f t="shared" si="18"/>
        <v>0</v>
      </c>
      <c r="AJ22" s="131">
        <f t="shared" si="18"/>
        <v>0</v>
      </c>
      <c r="AK22" s="131">
        <f t="shared" si="18"/>
        <v>28527.554799999994</v>
      </c>
      <c r="AL22" s="131">
        <f t="shared" si="18"/>
        <v>8515.687999999998</v>
      </c>
      <c r="AM22" s="131">
        <f t="shared" si="18"/>
        <v>42578.44</v>
      </c>
      <c r="AN22" s="131">
        <f t="shared" si="18"/>
        <v>8941.4724</v>
      </c>
      <c r="AO22" s="131">
        <f t="shared" si="18"/>
        <v>86008.4488</v>
      </c>
      <c r="AP22" s="131">
        <f t="shared" si="18"/>
        <v>43855.79320000001</v>
      </c>
      <c r="AQ22" s="131">
        <f t="shared" si="18"/>
        <v>31933.83</v>
      </c>
      <c r="AR22" s="131">
        <f t="shared" si="18"/>
        <v>31933.83</v>
      </c>
      <c r="AS22" s="131">
        <f t="shared" si="18"/>
        <v>24483.177999999996</v>
      </c>
      <c r="AT22" s="131">
        <f t="shared" si="18"/>
        <v>8028.899999999999</v>
      </c>
      <c r="AU22" s="131">
        <f t="shared" si="18"/>
        <v>29218</v>
      </c>
      <c r="AV22" s="131">
        <f t="shared" si="18"/>
        <v>1562</v>
      </c>
      <c r="AW22" s="131">
        <f t="shared" si="18"/>
        <v>18963</v>
      </c>
      <c r="AX22" s="131">
        <f t="shared" si="18"/>
        <v>3386.9599999999996</v>
      </c>
      <c r="AY22" s="131">
        <f t="shared" si="18"/>
        <v>0</v>
      </c>
      <c r="AZ22" s="131">
        <f t="shared" si="18"/>
        <v>0</v>
      </c>
      <c r="BA22" s="131">
        <f t="shared" si="18"/>
        <v>0</v>
      </c>
      <c r="BB22" s="131">
        <f t="shared" si="18"/>
        <v>0</v>
      </c>
      <c r="BC22" s="131">
        <f t="shared" si="18"/>
        <v>367937.0952000001</v>
      </c>
      <c r="BD22" s="131">
        <f t="shared" si="18"/>
        <v>0</v>
      </c>
      <c r="BE22" s="131">
        <f t="shared" si="18"/>
        <v>367937.0952000001</v>
      </c>
      <c r="BF22" s="131">
        <f t="shared" si="18"/>
        <v>-1747.8572000000495</v>
      </c>
      <c r="BG22" s="131">
        <f>SUM(BG10:BG21)</f>
        <v>-10865.670000000002</v>
      </c>
    </row>
    <row r="23" spans="1:59" s="9" customFormat="1" ht="13.5" thickBot="1">
      <c r="A23" s="57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7"/>
      <c r="BF23" s="126"/>
      <c r="BG23" s="128"/>
    </row>
    <row r="24" spans="1:59" s="9" customFormat="1" ht="13.5" thickBot="1">
      <c r="A24" s="10" t="s">
        <v>54</v>
      </c>
      <c r="B24" s="126"/>
      <c r="C24" s="129">
        <f aca="true" t="shared" si="19" ref="C24:AD24">C22+C8</f>
        <v>1192968.761</v>
      </c>
      <c r="D24" s="129">
        <f t="shared" si="19"/>
        <v>133320.13782530001</v>
      </c>
      <c r="E24" s="129">
        <f t="shared" si="19"/>
        <v>73350.18000000001</v>
      </c>
      <c r="F24" s="129">
        <f t="shared" si="19"/>
        <v>11598.290000000005</v>
      </c>
      <c r="G24" s="129">
        <f t="shared" si="19"/>
        <v>223504.59</v>
      </c>
      <c r="H24" s="129">
        <f t="shared" si="19"/>
        <v>723.8</v>
      </c>
      <c r="I24" s="129">
        <f t="shared" si="19"/>
        <v>99270.06</v>
      </c>
      <c r="J24" s="129">
        <f t="shared" si="19"/>
        <v>15701.189999999999</v>
      </c>
      <c r="K24" s="129">
        <f t="shared" si="19"/>
        <v>165285.56</v>
      </c>
      <c r="L24" s="129">
        <f t="shared" si="19"/>
        <v>26138.87</v>
      </c>
      <c r="M24" s="129">
        <f t="shared" si="19"/>
        <v>346793.94999999995</v>
      </c>
      <c r="N24" s="129">
        <f t="shared" si="19"/>
        <v>38088.01</v>
      </c>
      <c r="O24" s="129">
        <f t="shared" si="19"/>
        <v>96534.62999999999</v>
      </c>
      <c r="P24" s="129">
        <f t="shared" si="19"/>
        <v>9277.880000000001</v>
      </c>
      <c r="Q24" s="129">
        <f t="shared" si="19"/>
        <v>0</v>
      </c>
      <c r="R24" s="129">
        <f t="shared" si="19"/>
        <v>0</v>
      </c>
      <c r="S24" s="129">
        <f t="shared" si="19"/>
        <v>0</v>
      </c>
      <c r="T24" s="129">
        <f t="shared" si="19"/>
        <v>0</v>
      </c>
      <c r="U24" s="129">
        <f t="shared" si="19"/>
        <v>1004738.97</v>
      </c>
      <c r="V24" s="129">
        <f t="shared" si="19"/>
        <v>101528.04</v>
      </c>
      <c r="W24" s="129">
        <f t="shared" si="19"/>
        <v>70108.34000000001</v>
      </c>
      <c r="X24" s="129">
        <f t="shared" si="19"/>
        <v>188085.61</v>
      </c>
      <c r="Y24" s="129">
        <f t="shared" si="19"/>
        <v>94808.85999999999</v>
      </c>
      <c r="Z24" s="129">
        <f t="shared" si="19"/>
        <v>157868.89</v>
      </c>
      <c r="AA24" s="129">
        <f t="shared" si="19"/>
        <v>319215.93</v>
      </c>
      <c r="AB24" s="129">
        <f t="shared" si="19"/>
        <v>88322.88</v>
      </c>
      <c r="AC24" s="129">
        <f t="shared" si="19"/>
        <v>0</v>
      </c>
      <c r="AD24" s="129">
        <f t="shared" si="19"/>
        <v>0</v>
      </c>
      <c r="AE24" s="129">
        <f>AE22+AF8</f>
        <v>559467.88</v>
      </c>
      <c r="AF24" s="129" t="e">
        <f>AF22+#REF!</f>
        <v>#REF!</v>
      </c>
      <c r="AG24" s="129">
        <f aca="true" t="shared" si="20" ref="AG24:BG24">AG22+AG8</f>
        <v>1153258.6878253</v>
      </c>
      <c r="AH24" s="129">
        <f t="shared" si="20"/>
        <v>0</v>
      </c>
      <c r="AI24" s="129">
        <f t="shared" si="20"/>
        <v>0</v>
      </c>
      <c r="AJ24" s="129">
        <f t="shared" si="20"/>
        <v>0</v>
      </c>
      <c r="AK24" s="129">
        <f t="shared" si="20"/>
        <v>85173.1708</v>
      </c>
      <c r="AL24" s="129">
        <f t="shared" si="20"/>
        <v>27496.626850000004</v>
      </c>
      <c r="AM24" s="129">
        <f t="shared" si="20"/>
        <v>136608.97693815</v>
      </c>
      <c r="AN24" s="129">
        <f t="shared" si="20"/>
        <v>8941.4724</v>
      </c>
      <c r="AO24" s="129">
        <f t="shared" si="20"/>
        <v>179800.8150126092</v>
      </c>
      <c r="AP24" s="129">
        <f t="shared" si="20"/>
        <v>253671.5970258568</v>
      </c>
      <c r="AQ24" s="129">
        <f t="shared" si="20"/>
        <v>31933.83</v>
      </c>
      <c r="AR24" s="129">
        <f t="shared" si="20"/>
        <v>31933.83</v>
      </c>
      <c r="AS24" s="129">
        <f t="shared" si="20"/>
        <v>24483.177999999996</v>
      </c>
      <c r="AT24" s="129">
        <f t="shared" si="20"/>
        <v>12408.3</v>
      </c>
      <c r="AU24" s="129">
        <f t="shared" si="20"/>
        <v>198927.28079999998</v>
      </c>
      <c r="AV24" s="129">
        <f t="shared" si="20"/>
        <v>1562</v>
      </c>
      <c r="AW24" s="129">
        <f t="shared" si="20"/>
        <v>75018.64</v>
      </c>
      <c r="AX24" s="129">
        <f t="shared" si="20"/>
        <v>20193.676399999997</v>
      </c>
      <c r="AY24" s="129">
        <f t="shared" si="20"/>
        <v>21379.3216</v>
      </c>
      <c r="AZ24" s="129">
        <f t="shared" si="20"/>
        <v>0</v>
      </c>
      <c r="BA24" s="129">
        <f t="shared" si="20"/>
        <v>0</v>
      </c>
      <c r="BB24" s="129">
        <f t="shared" si="20"/>
        <v>0</v>
      </c>
      <c r="BC24" s="129">
        <f t="shared" si="20"/>
        <v>1109532.7158266162</v>
      </c>
      <c r="BD24" s="129">
        <f t="shared" si="20"/>
        <v>0</v>
      </c>
      <c r="BE24" s="130">
        <f t="shared" si="20"/>
        <v>1109532.7158266162</v>
      </c>
      <c r="BF24" s="129">
        <f>BF22+BF8+0.57</f>
        <v>43726.541998684</v>
      </c>
      <c r="BG24" s="131">
        <f t="shared" si="20"/>
        <v>-86328.46</v>
      </c>
    </row>
    <row r="25" spans="1:59" ht="12.75">
      <c r="A25" s="1" t="s">
        <v>118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9"/>
      <c r="BF25" s="87"/>
      <c r="BG25" s="90"/>
    </row>
    <row r="26" spans="1:59" ht="12.75">
      <c r="A26" s="91" t="s">
        <v>45</v>
      </c>
      <c r="B26" s="58">
        <v>3548.12</v>
      </c>
      <c r="C26" s="55">
        <f>B26*8.55</f>
        <v>30336.426000000003</v>
      </c>
      <c r="D26" s="214">
        <v>397.04112</v>
      </c>
      <c r="E26" s="113"/>
      <c r="F26" s="113"/>
      <c r="G26" s="113">
        <v>18663.39</v>
      </c>
      <c r="H26" s="113">
        <v>103.4</v>
      </c>
      <c r="I26" s="113"/>
      <c r="J26" s="113"/>
      <c r="K26" s="113"/>
      <c r="L26" s="113"/>
      <c r="M26" s="113">
        <v>9063.38</v>
      </c>
      <c r="N26" s="113">
        <v>50.2</v>
      </c>
      <c r="O26" s="113">
        <v>3161.12</v>
      </c>
      <c r="P26" s="113"/>
      <c r="Q26" s="113"/>
      <c r="R26" s="113"/>
      <c r="S26" s="202"/>
      <c r="T26" s="218"/>
      <c r="U26" s="209">
        <f aca="true" t="shared" si="21" ref="U26:V31">E26+G26+I26+K26+M26+O26+Q26+S26</f>
        <v>30887.889999999996</v>
      </c>
      <c r="V26" s="210">
        <f>F26+H26+J26+L26+N26+P26+R26+T26</f>
        <v>153.60000000000002</v>
      </c>
      <c r="W26" s="113">
        <v>0</v>
      </c>
      <c r="X26" s="113">
        <v>15854.04</v>
      </c>
      <c r="Y26" s="113">
        <v>0</v>
      </c>
      <c r="Z26" s="113">
        <v>0</v>
      </c>
      <c r="AA26" s="113">
        <v>7698.78</v>
      </c>
      <c r="AB26" s="113">
        <v>2687.61</v>
      </c>
      <c r="AC26" s="113"/>
      <c r="AD26" s="113"/>
      <c r="AE26" s="202"/>
      <c r="AF26" s="118">
        <f aca="true" t="shared" si="22" ref="AF26:AF31">SUM(W26:AE26)</f>
        <v>26240.43</v>
      </c>
      <c r="AG26" s="123">
        <f aca="true" t="shared" si="23" ref="AG26:AG37">D26+V26+AF26</f>
        <v>26791.07112</v>
      </c>
      <c r="AH26" s="105">
        <f aca="true" t="shared" si="24" ref="AH26:AI37">AC26</f>
        <v>0</v>
      </c>
      <c r="AI26" s="105">
        <f t="shared" si="24"/>
        <v>0</v>
      </c>
      <c r="AJ26" s="106"/>
      <c r="AK26" s="65">
        <f>0.67*B26</f>
        <v>2377.2404</v>
      </c>
      <c r="AL26" s="65">
        <f>B26*0.2</f>
        <v>709.624</v>
      </c>
      <c r="AM26" s="65">
        <f>B26*1</f>
        <v>3548.12</v>
      </c>
      <c r="AN26" s="65">
        <f>B26*0.21</f>
        <v>745.1052</v>
      </c>
      <c r="AO26" s="65">
        <f>2.02*B26</f>
        <v>7167.2024</v>
      </c>
      <c r="AP26" s="65">
        <f>B26*1.03</f>
        <v>3654.5636</v>
      </c>
      <c r="AQ26" s="65">
        <f>B26*0.75</f>
        <v>2661.09</v>
      </c>
      <c r="AR26" s="65">
        <f>B26*0.75</f>
        <v>2661.09</v>
      </c>
      <c r="AS26" s="215">
        <f>B26*1.15</f>
        <v>4080.3379999999997</v>
      </c>
      <c r="AT26" s="107">
        <f>0.45*811</f>
        <v>364.95</v>
      </c>
      <c r="AU26" s="108"/>
      <c r="AV26" s="108"/>
      <c r="AW26" s="108"/>
      <c r="AX26" s="108"/>
      <c r="AY26" s="108"/>
      <c r="AZ26" s="108"/>
      <c r="BA26" s="51"/>
      <c r="BB26" s="107"/>
      <c r="BC26" s="376">
        <f>SUM(AK26:BB26)</f>
        <v>27969.323600000003</v>
      </c>
      <c r="BD26" s="110"/>
      <c r="BE26" s="69">
        <f>BC26+BD26</f>
        <v>27969.323600000003</v>
      </c>
      <c r="BF26" s="212">
        <f>AG26+AJ26-BE26</f>
        <v>-1178.2524800000028</v>
      </c>
      <c r="BG26" s="212">
        <f>AF26-U26</f>
        <v>-4647.4599999999955</v>
      </c>
    </row>
    <row r="27" spans="1:59" ht="12.75">
      <c r="A27" s="91" t="s">
        <v>46</v>
      </c>
      <c r="B27" s="58">
        <v>3548.12</v>
      </c>
      <c r="C27" s="55">
        <f>B27*8.55</f>
        <v>30336.426000000003</v>
      </c>
      <c r="D27" s="214">
        <v>397.04112</v>
      </c>
      <c r="E27" s="119"/>
      <c r="F27" s="119"/>
      <c r="G27" s="119">
        <v>18649.95</v>
      </c>
      <c r="H27" s="119">
        <v>103.4</v>
      </c>
      <c r="I27" s="119"/>
      <c r="J27" s="119"/>
      <c r="K27" s="119"/>
      <c r="L27" s="119"/>
      <c r="M27" s="119">
        <v>9056.78</v>
      </c>
      <c r="N27" s="119">
        <v>50.2</v>
      </c>
      <c r="O27" s="119">
        <v>3158.73</v>
      </c>
      <c r="P27" s="119"/>
      <c r="Q27" s="119"/>
      <c r="R27" s="119"/>
      <c r="S27" s="120"/>
      <c r="T27" s="218"/>
      <c r="U27" s="209">
        <f t="shared" si="21"/>
        <v>30865.460000000003</v>
      </c>
      <c r="V27" s="210">
        <f>F27+H27+J27+L27+N27+P27+R27+T27</f>
        <v>153.60000000000002</v>
      </c>
      <c r="W27" s="119">
        <v>0</v>
      </c>
      <c r="X27" s="119">
        <v>16900.36</v>
      </c>
      <c r="Y27" s="119">
        <v>0</v>
      </c>
      <c r="Z27" s="119">
        <v>0</v>
      </c>
      <c r="AA27" s="119">
        <v>8206.91</v>
      </c>
      <c r="AB27" s="119">
        <v>2863.67</v>
      </c>
      <c r="AC27" s="119"/>
      <c r="AD27" s="119"/>
      <c r="AE27" s="120"/>
      <c r="AF27" s="118">
        <f t="shared" si="22"/>
        <v>27970.940000000002</v>
      </c>
      <c r="AG27" s="123">
        <f t="shared" si="23"/>
        <v>28521.581120000003</v>
      </c>
      <c r="AH27" s="105">
        <f t="shared" si="24"/>
        <v>0</v>
      </c>
      <c r="AI27" s="105">
        <f t="shared" si="24"/>
        <v>0</v>
      </c>
      <c r="AJ27" s="106"/>
      <c r="AK27" s="59">
        <f>0.67*B27</f>
        <v>2377.2404</v>
      </c>
      <c r="AL27" s="65">
        <f>B27*0.2</f>
        <v>709.624</v>
      </c>
      <c r="AM27" s="65">
        <f>B27*1</f>
        <v>3548.12</v>
      </c>
      <c r="AN27" s="65">
        <f>B27*0.21</f>
        <v>745.1052</v>
      </c>
      <c r="AO27" s="65">
        <f>2.02*B27</f>
        <v>7167.2024</v>
      </c>
      <c r="AP27" s="65">
        <f>B27*1.03</f>
        <v>3654.5636</v>
      </c>
      <c r="AQ27" s="65">
        <f>B27*0.75</f>
        <v>2661.09</v>
      </c>
      <c r="AR27" s="65">
        <f>B27*0.75</f>
        <v>2661.09</v>
      </c>
      <c r="AS27" s="215">
        <f>B27*1.15</f>
        <v>4080.3379999999997</v>
      </c>
      <c r="AT27" s="107">
        <f>0.45*811</f>
        <v>364.95</v>
      </c>
      <c r="AU27" s="377"/>
      <c r="AV27" s="108"/>
      <c r="AW27" s="108"/>
      <c r="AX27" s="108"/>
      <c r="AY27" s="108"/>
      <c r="AZ27" s="108"/>
      <c r="BA27" s="51"/>
      <c r="BB27" s="107"/>
      <c r="BC27" s="109">
        <f>SUM(AK27:BB27)</f>
        <v>27969.323600000003</v>
      </c>
      <c r="BD27" s="110"/>
      <c r="BE27" s="69">
        <f aca="true" t="shared" si="25" ref="BE27:BE37">BC27+BD27</f>
        <v>27969.323600000003</v>
      </c>
      <c r="BF27" s="212">
        <f>AG27+AJ27-BE27</f>
        <v>552.2575199999992</v>
      </c>
      <c r="BG27" s="212">
        <f aca="true" t="shared" si="26" ref="BG27:BG37">AF27-U27</f>
        <v>-2894.5200000000004</v>
      </c>
    </row>
    <row r="28" spans="1:59" ht="12.75">
      <c r="A28" s="91" t="s">
        <v>47</v>
      </c>
      <c r="B28" s="58">
        <v>3548.12</v>
      </c>
      <c r="C28" s="55">
        <f>B28*8.55</f>
        <v>30336.426000000003</v>
      </c>
      <c r="D28" s="214">
        <v>397.04112</v>
      </c>
      <c r="E28" s="119"/>
      <c r="F28" s="119"/>
      <c r="G28" s="119">
        <v>18659.1</v>
      </c>
      <c r="H28" s="119">
        <v>103.4</v>
      </c>
      <c r="I28" s="119"/>
      <c r="J28" s="119"/>
      <c r="K28" s="119"/>
      <c r="L28" s="119"/>
      <c r="M28" s="119">
        <v>9061.28</v>
      </c>
      <c r="N28" s="119">
        <v>50.2</v>
      </c>
      <c r="O28" s="119">
        <v>3160.36</v>
      </c>
      <c r="P28" s="119"/>
      <c r="Q28" s="119"/>
      <c r="R28" s="119"/>
      <c r="S28" s="120"/>
      <c r="T28" s="218"/>
      <c r="U28" s="209">
        <f t="shared" si="21"/>
        <v>30880.739999999998</v>
      </c>
      <c r="V28" s="210">
        <f t="shared" si="21"/>
        <v>153.60000000000002</v>
      </c>
      <c r="W28" s="113">
        <v>0</v>
      </c>
      <c r="X28" s="113">
        <v>17694.05</v>
      </c>
      <c r="Y28" s="113">
        <v>0</v>
      </c>
      <c r="Z28" s="113">
        <v>0</v>
      </c>
      <c r="AA28" s="113">
        <v>6963.02</v>
      </c>
      <c r="AB28" s="113">
        <v>2432.62</v>
      </c>
      <c r="AC28" s="113"/>
      <c r="AD28" s="113"/>
      <c r="AE28" s="202"/>
      <c r="AF28" s="118">
        <f t="shared" si="22"/>
        <v>27089.69</v>
      </c>
      <c r="AG28" s="123">
        <f t="shared" si="23"/>
        <v>27640.33112</v>
      </c>
      <c r="AH28" s="105">
        <f t="shared" si="24"/>
        <v>0</v>
      </c>
      <c r="AI28" s="105">
        <f t="shared" si="24"/>
        <v>0</v>
      </c>
      <c r="AJ28" s="106"/>
      <c r="AK28" s="59">
        <f>0.67*B28</f>
        <v>2377.2404</v>
      </c>
      <c r="AL28" s="65">
        <f>B28*0.2</f>
        <v>709.624</v>
      </c>
      <c r="AM28" s="65">
        <f>B28*1</f>
        <v>3548.12</v>
      </c>
      <c r="AN28" s="65">
        <f>B28*0.21</f>
        <v>745.1052</v>
      </c>
      <c r="AO28" s="65">
        <f>2.02*B28</f>
        <v>7167.2024</v>
      </c>
      <c r="AP28" s="65">
        <f>B28*1.03</f>
        <v>3654.5636</v>
      </c>
      <c r="AQ28" s="65">
        <f>B28*0.75</f>
        <v>2661.09</v>
      </c>
      <c r="AR28" s="65">
        <f>B28*0.75</f>
        <v>2661.09</v>
      </c>
      <c r="AS28" s="215">
        <f>B28*1.15</f>
        <v>4080.3379999999997</v>
      </c>
      <c r="AT28" s="107">
        <f>0.45*811</f>
        <v>364.95</v>
      </c>
      <c r="AU28" s="108"/>
      <c r="AV28" s="108"/>
      <c r="AW28" s="108">
        <f>112.72+1234</f>
        <v>1346.72</v>
      </c>
      <c r="AX28" s="108">
        <f>488.07</f>
        <v>488.07</v>
      </c>
      <c r="AY28" s="108"/>
      <c r="AZ28" s="108"/>
      <c r="BA28" s="51"/>
      <c r="BB28" s="107"/>
      <c r="BC28" s="376">
        <f>SUM(AK28:BB28)</f>
        <v>29804.113600000004</v>
      </c>
      <c r="BD28" s="110"/>
      <c r="BE28" s="69">
        <f t="shared" si="25"/>
        <v>29804.113600000004</v>
      </c>
      <c r="BF28" s="212">
        <f aca="true" t="shared" si="27" ref="BF27:BF37">AG28+AJ28-BE28</f>
        <v>-2163.7824800000053</v>
      </c>
      <c r="BG28" s="212">
        <f t="shared" si="26"/>
        <v>-3791.0499999999993</v>
      </c>
    </row>
    <row r="29" spans="1:59" ht="12.75">
      <c r="A29" s="91" t="s">
        <v>48</v>
      </c>
      <c r="B29" s="58">
        <v>3548.12</v>
      </c>
      <c r="C29" s="55">
        <f>B29*8.55</f>
        <v>30336.426000000003</v>
      </c>
      <c r="D29" s="214">
        <v>397.04112</v>
      </c>
      <c r="E29" s="119"/>
      <c r="F29" s="119"/>
      <c r="G29" s="119">
        <v>18674.12</v>
      </c>
      <c r="H29" s="119">
        <v>103.4</v>
      </c>
      <c r="I29" s="119"/>
      <c r="J29" s="119"/>
      <c r="K29" s="119"/>
      <c r="L29" s="119"/>
      <c r="M29" s="119">
        <v>9067.18</v>
      </c>
      <c r="N29" s="119">
        <v>50.2</v>
      </c>
      <c r="O29" s="119">
        <v>3162.47</v>
      </c>
      <c r="P29" s="119"/>
      <c r="Q29" s="119"/>
      <c r="R29" s="119"/>
      <c r="S29" s="120"/>
      <c r="T29" s="218"/>
      <c r="U29" s="209">
        <f t="shared" si="21"/>
        <v>30903.77</v>
      </c>
      <c r="V29" s="210">
        <f t="shared" si="21"/>
        <v>153.60000000000002</v>
      </c>
      <c r="W29" s="216">
        <v>0</v>
      </c>
      <c r="X29" s="216">
        <v>17450.22</v>
      </c>
      <c r="Y29" s="216">
        <v>0</v>
      </c>
      <c r="Z29" s="216">
        <v>0</v>
      </c>
      <c r="AA29" s="216">
        <v>7798.39</v>
      </c>
      <c r="AB29" s="216">
        <v>2722.15</v>
      </c>
      <c r="AC29" s="216"/>
      <c r="AD29" s="216"/>
      <c r="AE29" s="217"/>
      <c r="AF29" s="118">
        <f t="shared" si="22"/>
        <v>27970.760000000002</v>
      </c>
      <c r="AG29" s="123">
        <f t="shared" si="23"/>
        <v>28521.401120000002</v>
      </c>
      <c r="AH29" s="105">
        <f t="shared" si="24"/>
        <v>0</v>
      </c>
      <c r="AI29" s="105">
        <f t="shared" si="24"/>
        <v>0</v>
      </c>
      <c r="AJ29" s="106"/>
      <c r="AK29" s="59">
        <f>0.67*B29</f>
        <v>2377.2404</v>
      </c>
      <c r="AL29" s="65">
        <f>B29*0.2</f>
        <v>709.624</v>
      </c>
      <c r="AM29" s="65">
        <f>B29*1</f>
        <v>3548.12</v>
      </c>
      <c r="AN29" s="65">
        <f>B29*0.21</f>
        <v>745.1052</v>
      </c>
      <c r="AO29" s="65">
        <f>2.02*B29</f>
        <v>7167.2024</v>
      </c>
      <c r="AP29" s="65">
        <f>B29*1.03</f>
        <v>3654.5636</v>
      </c>
      <c r="AQ29" s="65">
        <f>B29*0.75</f>
        <v>2661.09</v>
      </c>
      <c r="AR29" s="65">
        <f>B29*0.75</f>
        <v>2661.09</v>
      </c>
      <c r="AS29" s="215"/>
      <c r="AT29" s="107">
        <f>0.45*811</f>
        <v>364.95</v>
      </c>
      <c r="AU29" s="108"/>
      <c r="AV29" s="108"/>
      <c r="AW29" s="108">
        <v>304</v>
      </c>
      <c r="AX29" s="108"/>
      <c r="AY29" s="108"/>
      <c r="AZ29" s="108"/>
      <c r="BA29" s="51"/>
      <c r="BB29" s="107"/>
      <c r="BC29" s="376">
        <f>SUM(AK29:BB29)</f>
        <v>24192.985600000004</v>
      </c>
      <c r="BD29" s="110"/>
      <c r="BE29" s="69">
        <f t="shared" si="25"/>
        <v>24192.985600000004</v>
      </c>
      <c r="BF29" s="212">
        <f t="shared" si="27"/>
        <v>4328.415519999999</v>
      </c>
      <c r="BG29" s="212">
        <f t="shared" si="26"/>
        <v>-2933.0099999999984</v>
      </c>
    </row>
    <row r="30" spans="1:59" ht="12.75">
      <c r="A30" s="91" t="s">
        <v>49</v>
      </c>
      <c r="B30" s="58">
        <v>3548.12</v>
      </c>
      <c r="C30" s="55">
        <f>B30*8.55</f>
        <v>30336.426000000003</v>
      </c>
      <c r="D30" s="214">
        <v>397.04112</v>
      </c>
      <c r="E30" s="119"/>
      <c r="F30" s="119"/>
      <c r="G30" s="119">
        <v>18669.09</v>
      </c>
      <c r="H30" s="119">
        <v>103.4</v>
      </c>
      <c r="I30" s="119"/>
      <c r="J30" s="119"/>
      <c r="K30" s="119"/>
      <c r="L30" s="119"/>
      <c r="M30" s="119">
        <v>9066.18</v>
      </c>
      <c r="N30" s="119">
        <v>50.2</v>
      </c>
      <c r="O30" s="119">
        <v>3162.11</v>
      </c>
      <c r="P30" s="119"/>
      <c r="Q30" s="119"/>
      <c r="R30" s="119"/>
      <c r="S30" s="120"/>
      <c r="T30" s="218"/>
      <c r="U30" s="209">
        <f t="shared" si="21"/>
        <v>30897.38</v>
      </c>
      <c r="V30" s="210">
        <f t="shared" si="21"/>
        <v>153.60000000000002</v>
      </c>
      <c r="W30" s="216">
        <v>0</v>
      </c>
      <c r="X30" s="216">
        <v>17059.6</v>
      </c>
      <c r="Y30" s="216">
        <v>0</v>
      </c>
      <c r="Z30" s="216">
        <v>0</v>
      </c>
      <c r="AA30" s="216">
        <v>7611.71</v>
      </c>
      <c r="AB30" s="216">
        <v>2657.46</v>
      </c>
      <c r="AC30" s="216"/>
      <c r="AD30" s="216"/>
      <c r="AE30" s="216"/>
      <c r="AF30" s="118">
        <f t="shared" si="22"/>
        <v>27328.769999999997</v>
      </c>
      <c r="AG30" s="123">
        <f t="shared" si="23"/>
        <v>27879.411119999997</v>
      </c>
      <c r="AH30" s="105">
        <f t="shared" si="24"/>
        <v>0</v>
      </c>
      <c r="AI30" s="105">
        <f t="shared" si="24"/>
        <v>0</v>
      </c>
      <c r="AJ30" s="106"/>
      <c r="AK30" s="59">
        <f>0.67*B30</f>
        <v>2377.2404</v>
      </c>
      <c r="AL30" s="65">
        <f>B30*0.2</f>
        <v>709.624</v>
      </c>
      <c r="AM30" s="65">
        <f>B30*1</f>
        <v>3548.12</v>
      </c>
      <c r="AN30" s="65">
        <f>B30*0.21</f>
        <v>745.1052</v>
      </c>
      <c r="AO30" s="65">
        <f>2.02*B30</f>
        <v>7167.2024</v>
      </c>
      <c r="AP30" s="65">
        <f>B30*1.03</f>
        <v>3654.5636</v>
      </c>
      <c r="AQ30" s="65">
        <f>B30*0.75</f>
        <v>2661.09</v>
      </c>
      <c r="AR30" s="65">
        <f>B30*0.75</f>
        <v>2661.09</v>
      </c>
      <c r="AS30" s="215"/>
      <c r="AT30" s="107">
        <f>0.45*811</f>
        <v>364.95</v>
      </c>
      <c r="AU30" s="108"/>
      <c r="AV30" s="108"/>
      <c r="AW30" s="108">
        <v>697</v>
      </c>
      <c r="AX30" s="108">
        <f>947.1</f>
        <v>947.1</v>
      </c>
      <c r="AY30" s="108"/>
      <c r="AZ30" s="108"/>
      <c r="BA30" s="51"/>
      <c r="BB30" s="107"/>
      <c r="BC30" s="376">
        <f>SUM(AK30:BB30)</f>
        <v>25533.085600000002</v>
      </c>
      <c r="BD30" s="110"/>
      <c r="BE30" s="69">
        <f t="shared" si="25"/>
        <v>25533.085600000002</v>
      </c>
      <c r="BF30" s="212">
        <f t="shared" si="27"/>
        <v>2346.325519999995</v>
      </c>
      <c r="BG30" s="212">
        <f t="shared" si="26"/>
        <v>-3568.610000000004</v>
      </c>
    </row>
    <row r="31" spans="1:59" ht="12.75">
      <c r="A31" s="91" t="s">
        <v>50</v>
      </c>
      <c r="B31" s="58">
        <v>3548.12</v>
      </c>
      <c r="C31" s="55">
        <f>B31*8.55</f>
        <v>30336.426000000003</v>
      </c>
      <c r="D31" s="214">
        <v>402.490704</v>
      </c>
      <c r="E31" s="119"/>
      <c r="F31" s="119"/>
      <c r="G31" s="119">
        <v>18680.9</v>
      </c>
      <c r="H31" s="119">
        <v>103.4</v>
      </c>
      <c r="I31" s="119"/>
      <c r="J31" s="119"/>
      <c r="K31" s="119"/>
      <c r="L31" s="119"/>
      <c r="M31" s="119">
        <v>9071.99</v>
      </c>
      <c r="N31" s="119">
        <v>50.2</v>
      </c>
      <c r="O31" s="119">
        <v>3164.19</v>
      </c>
      <c r="P31" s="119"/>
      <c r="Q31" s="119"/>
      <c r="R31" s="119"/>
      <c r="S31" s="120"/>
      <c r="T31" s="218"/>
      <c r="U31" s="209">
        <f t="shared" si="21"/>
        <v>30917.079999999998</v>
      </c>
      <c r="V31" s="210">
        <f t="shared" si="21"/>
        <v>153.60000000000002</v>
      </c>
      <c r="W31" s="216"/>
      <c r="X31" s="378">
        <v>18607.29</v>
      </c>
      <c r="Y31" s="216"/>
      <c r="Z31" s="216"/>
      <c r="AA31" s="378">
        <v>8735.51</v>
      </c>
      <c r="AB31" s="378">
        <v>3047.32</v>
      </c>
      <c r="AC31" s="216"/>
      <c r="AD31" s="378"/>
      <c r="AE31" s="379"/>
      <c r="AF31" s="118">
        <f t="shared" si="22"/>
        <v>30390.120000000003</v>
      </c>
      <c r="AG31" s="123">
        <f t="shared" si="23"/>
        <v>30946.210704</v>
      </c>
      <c r="AH31" s="105">
        <f t="shared" si="24"/>
        <v>0</v>
      </c>
      <c r="AI31" s="105">
        <f t="shared" si="24"/>
        <v>0</v>
      </c>
      <c r="AJ31" s="380">
        <f>'[6]Т06'!$J$190</f>
        <v>100</v>
      </c>
      <c r="AK31" s="59">
        <f>0.67*B31</f>
        <v>2377.2404</v>
      </c>
      <c r="AL31" s="65">
        <f>B31*0.2</f>
        <v>709.624</v>
      </c>
      <c r="AM31" s="65">
        <f>B31*1</f>
        <v>3548.12</v>
      </c>
      <c r="AN31" s="65">
        <f>B31*0.21</f>
        <v>745.1052</v>
      </c>
      <c r="AO31" s="65">
        <f>2.02*B31</f>
        <v>7167.2024</v>
      </c>
      <c r="AP31" s="65">
        <f>B31*1.03</f>
        <v>3654.5636</v>
      </c>
      <c r="AQ31" s="65">
        <f>B31*0.75</f>
        <v>2661.09</v>
      </c>
      <c r="AR31" s="65">
        <f>B31*0.75</f>
        <v>2661.09</v>
      </c>
      <c r="AS31" s="215"/>
      <c r="AT31" s="107">
        <f>0.45*811</f>
        <v>364.95</v>
      </c>
      <c r="AU31" s="108"/>
      <c r="AV31" s="108"/>
      <c r="AW31" s="108">
        <v>15096</v>
      </c>
      <c r="AX31" s="108">
        <f>151.22</f>
        <v>151.22</v>
      </c>
      <c r="AY31" s="108"/>
      <c r="AZ31" s="108"/>
      <c r="BA31" s="51"/>
      <c r="BB31" s="107"/>
      <c r="BC31" s="376">
        <f>SUM(AK31:BB31)</f>
        <v>39136.2056</v>
      </c>
      <c r="BD31" s="381">
        <f>'[6]Т06'!$S$190</f>
        <v>25</v>
      </c>
      <c r="BE31" s="69">
        <f t="shared" si="25"/>
        <v>39161.2056</v>
      </c>
      <c r="BF31" s="212">
        <f t="shared" si="27"/>
        <v>-8114.994896</v>
      </c>
      <c r="BG31" s="212">
        <f t="shared" si="26"/>
        <v>-526.9599999999955</v>
      </c>
    </row>
    <row r="32" spans="1:59" ht="12.75">
      <c r="A32" s="91" t="s">
        <v>51</v>
      </c>
      <c r="B32" s="58">
        <v>3548.12</v>
      </c>
      <c r="C32" s="55">
        <f>B32*9.51</f>
        <v>33742.6212</v>
      </c>
      <c r="D32" s="214">
        <v>531.33444</v>
      </c>
      <c r="E32" s="119"/>
      <c r="F32" s="119"/>
      <c r="G32" s="119">
        <v>34375.03</v>
      </c>
      <c r="H32" s="119">
        <v>190.2</v>
      </c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20"/>
      <c r="T32" s="218"/>
      <c r="U32" s="209">
        <f aca="true" t="shared" si="28" ref="U32:V37">G32+M32+O32+Q32+S32</f>
        <v>34375.03</v>
      </c>
      <c r="V32" s="382">
        <f t="shared" si="28"/>
        <v>190.2</v>
      </c>
      <c r="W32" s="216"/>
      <c r="X32" s="113">
        <v>16296.15</v>
      </c>
      <c r="Y32" s="216"/>
      <c r="Z32" s="216"/>
      <c r="AA32" s="113">
        <v>7915.02</v>
      </c>
      <c r="AB32" s="113">
        <v>2761.21</v>
      </c>
      <c r="AC32" s="216"/>
      <c r="AD32" s="113"/>
      <c r="AE32" s="202"/>
      <c r="AF32" s="118">
        <f aca="true" t="shared" si="29" ref="AF32:AF37">SUM(X32:AE32)</f>
        <v>26972.379999999997</v>
      </c>
      <c r="AG32" s="123">
        <f t="shared" si="23"/>
        <v>27693.914439999997</v>
      </c>
      <c r="AH32" s="383">
        <v>0</v>
      </c>
      <c r="AI32" s="105">
        <f t="shared" si="24"/>
        <v>0</v>
      </c>
      <c r="AJ32" s="380">
        <f>'[6]Т07'!$J$192</f>
        <v>100</v>
      </c>
      <c r="AK32" s="65">
        <f>0.75*B32</f>
        <v>2661.09</v>
      </c>
      <c r="AL32" s="65">
        <f>B32*0.2</f>
        <v>709.624</v>
      </c>
      <c r="AM32" s="65">
        <f>B32*1</f>
        <v>3548.12</v>
      </c>
      <c r="AN32" s="65">
        <f>B32*0.21</f>
        <v>745.1052</v>
      </c>
      <c r="AO32" s="65">
        <f>2.02*B32</f>
        <v>7167.2024</v>
      </c>
      <c r="AP32" s="65">
        <f>B32*1.03</f>
        <v>3654.5636</v>
      </c>
      <c r="AQ32" s="65">
        <f>B32*0.75</f>
        <v>2661.09</v>
      </c>
      <c r="AR32" s="65">
        <f>B32*0.75</f>
        <v>2661.09</v>
      </c>
      <c r="AS32" s="215"/>
      <c r="AT32" s="107">
        <f>0.45*811</f>
        <v>364.95</v>
      </c>
      <c r="AU32" s="108">
        <v>30931</v>
      </c>
      <c r="AV32" s="108"/>
      <c r="AW32" s="108"/>
      <c r="AX32" s="108">
        <f>7574</f>
        <v>7574</v>
      </c>
      <c r="AY32" s="108"/>
      <c r="AZ32" s="108"/>
      <c r="BA32" s="51"/>
      <c r="BB32" s="107"/>
      <c r="BC32" s="376">
        <f>SUM(AK32:BB32)</f>
        <v>62677.8352</v>
      </c>
      <c r="BD32" s="381">
        <f>'[6]Т07'!$S$192</f>
        <v>25</v>
      </c>
      <c r="BE32" s="69">
        <f t="shared" si="25"/>
        <v>62702.8352</v>
      </c>
      <c r="BF32" s="212">
        <f t="shared" si="27"/>
        <v>-34908.92076000001</v>
      </c>
      <c r="BG32" s="212">
        <f t="shared" si="26"/>
        <v>-7402.6500000000015</v>
      </c>
    </row>
    <row r="33" spans="1:59" ht="12.75">
      <c r="A33" s="91" t="s">
        <v>52</v>
      </c>
      <c r="B33" s="58">
        <v>3548.12</v>
      </c>
      <c r="C33" s="55">
        <f>B33*9.51</f>
        <v>33742.6212</v>
      </c>
      <c r="D33" s="214"/>
      <c r="E33" s="119"/>
      <c r="F33" s="119"/>
      <c r="G33" s="119">
        <v>34419.56</v>
      </c>
      <c r="H33" s="119">
        <v>190.2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20"/>
      <c r="T33" s="218"/>
      <c r="U33" s="209">
        <f t="shared" si="28"/>
        <v>34419.56</v>
      </c>
      <c r="V33" s="382">
        <f t="shared" si="28"/>
        <v>190.2</v>
      </c>
      <c r="W33" s="216"/>
      <c r="X33" s="113">
        <v>26945.9</v>
      </c>
      <c r="Y33" s="216"/>
      <c r="Z33" s="216"/>
      <c r="AA33" s="113">
        <v>1320.26</v>
      </c>
      <c r="AB33" s="113">
        <v>458.19</v>
      </c>
      <c r="AC33" s="216"/>
      <c r="AD33" s="113"/>
      <c r="AE33" s="202"/>
      <c r="AF33" s="118">
        <f t="shared" si="29"/>
        <v>28724.35</v>
      </c>
      <c r="AG33" s="123">
        <f t="shared" si="23"/>
        <v>28914.55</v>
      </c>
      <c r="AH33" s="383">
        <v>0</v>
      </c>
      <c r="AI33" s="105">
        <f t="shared" si="24"/>
        <v>0</v>
      </c>
      <c r="AJ33" s="380">
        <f>'[6]Т08'!$J$192</f>
        <v>100</v>
      </c>
      <c r="AK33" s="65">
        <f>0.75*B33</f>
        <v>2661.09</v>
      </c>
      <c r="AL33" s="65">
        <f>B33*0.2</f>
        <v>709.624</v>
      </c>
      <c r="AM33" s="65">
        <f>B33*1</f>
        <v>3548.12</v>
      </c>
      <c r="AN33" s="65">
        <f>B33*0.21</f>
        <v>745.1052</v>
      </c>
      <c r="AO33" s="65">
        <f>2.02*B33</f>
        <v>7167.2024</v>
      </c>
      <c r="AP33" s="65">
        <f>B33*1.03</f>
        <v>3654.5636</v>
      </c>
      <c r="AQ33" s="65">
        <f>B33*0.75</f>
        <v>2661.09</v>
      </c>
      <c r="AR33" s="65">
        <f>B33*0.75</f>
        <v>2661.09</v>
      </c>
      <c r="AS33" s="215"/>
      <c r="AT33" s="107">
        <f>0.45*811</f>
        <v>364.95</v>
      </c>
      <c r="AU33" s="108">
        <v>10836</v>
      </c>
      <c r="AV33" s="108"/>
      <c r="AW33" s="108"/>
      <c r="AX33" s="384">
        <f>18347+340+56</f>
        <v>18743</v>
      </c>
      <c r="AY33" s="384"/>
      <c r="AZ33" s="384"/>
      <c r="BA33" s="51"/>
      <c r="BB33" s="107"/>
      <c r="BC33" s="376">
        <f>SUM(AK33:BB33)</f>
        <v>53751.8352</v>
      </c>
      <c r="BD33" s="381">
        <f>'[6]Т08'!$S$192</f>
        <v>25</v>
      </c>
      <c r="BE33" s="69">
        <f t="shared" si="25"/>
        <v>53776.8352</v>
      </c>
      <c r="BF33" s="212">
        <f t="shared" si="27"/>
        <v>-24762.285200000002</v>
      </c>
      <c r="BG33" s="212">
        <f t="shared" si="26"/>
        <v>-5695.209999999999</v>
      </c>
    </row>
    <row r="34" spans="1:59" ht="12.75">
      <c r="A34" s="91" t="s">
        <v>53</v>
      </c>
      <c r="B34" s="58">
        <v>3548.12</v>
      </c>
      <c r="C34" s="55">
        <f>B34*9.51</f>
        <v>33742.6212</v>
      </c>
      <c r="D34" s="214"/>
      <c r="E34" s="119"/>
      <c r="F34" s="119"/>
      <c r="G34" s="119">
        <v>34447.85</v>
      </c>
      <c r="H34" s="119">
        <v>190.2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20"/>
      <c r="T34" s="218"/>
      <c r="U34" s="209">
        <f t="shared" si="28"/>
        <v>34447.85</v>
      </c>
      <c r="V34" s="382">
        <f t="shared" si="28"/>
        <v>190.2</v>
      </c>
      <c r="W34" s="216"/>
      <c r="X34" s="113">
        <v>22587.03</v>
      </c>
      <c r="Y34" s="216"/>
      <c r="Z34" s="216"/>
      <c r="AA34" s="113">
        <v>386.46</v>
      </c>
      <c r="AB34" s="113">
        <v>137.07</v>
      </c>
      <c r="AC34" s="216"/>
      <c r="AD34" s="113"/>
      <c r="AE34" s="202"/>
      <c r="AF34" s="118">
        <f t="shared" si="29"/>
        <v>23110.559999999998</v>
      </c>
      <c r="AG34" s="123">
        <f t="shared" si="23"/>
        <v>23300.76</v>
      </c>
      <c r="AH34" s="383">
        <v>0</v>
      </c>
      <c r="AI34" s="105">
        <f t="shared" si="24"/>
        <v>0</v>
      </c>
      <c r="AJ34" s="380">
        <f>'[6]Т09'!$J$195</f>
        <v>100</v>
      </c>
      <c r="AK34" s="65">
        <f>0.75*B34</f>
        <v>2661.09</v>
      </c>
      <c r="AL34" s="65">
        <f>B34*0.2</f>
        <v>709.624</v>
      </c>
      <c r="AM34" s="65">
        <f>B34*1</f>
        <v>3548.12</v>
      </c>
      <c r="AN34" s="65">
        <f>B34*0.21</f>
        <v>745.1052</v>
      </c>
      <c r="AO34" s="198">
        <v>3941.9613200000003</v>
      </c>
      <c r="AP34" s="65">
        <f>B34*1.03</f>
        <v>3654.5636</v>
      </c>
      <c r="AQ34" s="65">
        <f>B34*0.75</f>
        <v>2661.09</v>
      </c>
      <c r="AR34" s="65">
        <f>B34*0.75</f>
        <v>2661.09</v>
      </c>
      <c r="AS34" s="215"/>
      <c r="AT34" s="107">
        <f>0.45*811</f>
        <v>364.95</v>
      </c>
      <c r="AU34" s="108">
        <v>3797</v>
      </c>
      <c r="AV34" s="108"/>
      <c r="AW34" s="108"/>
      <c r="AX34" s="108">
        <f>475</f>
        <v>475</v>
      </c>
      <c r="AY34" s="108"/>
      <c r="AZ34" s="108"/>
      <c r="BA34" s="51"/>
      <c r="BB34" s="107"/>
      <c r="BC34" s="376">
        <f>SUM(AK34:BB34)</f>
        <v>25219.59412</v>
      </c>
      <c r="BD34" s="381">
        <f>'[6]Т09'!$S$195</f>
        <v>25</v>
      </c>
      <c r="BE34" s="69">
        <f t="shared" si="25"/>
        <v>25244.59412</v>
      </c>
      <c r="BF34" s="212">
        <f t="shared" si="27"/>
        <v>-1843.8341200000032</v>
      </c>
      <c r="BG34" s="212">
        <f t="shared" si="26"/>
        <v>-11337.29</v>
      </c>
    </row>
    <row r="35" spans="1:59" ht="12.75">
      <c r="A35" s="91" t="s">
        <v>41</v>
      </c>
      <c r="B35" s="58">
        <v>3548.12</v>
      </c>
      <c r="C35" s="55">
        <f>B35*9.51</f>
        <v>33742.6212</v>
      </c>
      <c r="D35" s="214"/>
      <c r="E35" s="119"/>
      <c r="F35" s="119"/>
      <c r="G35" s="119">
        <v>34482.81</v>
      </c>
      <c r="H35" s="119">
        <v>190.2</v>
      </c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20"/>
      <c r="T35" s="218"/>
      <c r="U35" s="209">
        <f t="shared" si="28"/>
        <v>34482.81</v>
      </c>
      <c r="V35" s="382">
        <f t="shared" si="28"/>
        <v>190.2</v>
      </c>
      <c r="W35" s="216"/>
      <c r="X35" s="113">
        <v>35253.27</v>
      </c>
      <c r="Y35" s="216"/>
      <c r="Z35" s="216"/>
      <c r="AA35" s="113">
        <v>537.04</v>
      </c>
      <c r="AB35" s="113">
        <v>183.78</v>
      </c>
      <c r="AC35" s="216"/>
      <c r="AD35" s="113"/>
      <c r="AE35" s="202"/>
      <c r="AF35" s="118">
        <f t="shared" si="29"/>
        <v>35974.09</v>
      </c>
      <c r="AG35" s="123">
        <f t="shared" si="23"/>
        <v>36164.28999999999</v>
      </c>
      <c r="AH35" s="383">
        <v>0</v>
      </c>
      <c r="AI35" s="105">
        <f t="shared" si="24"/>
        <v>0</v>
      </c>
      <c r="AJ35" s="380">
        <f>'[6]Т10'!$J$194</f>
        <v>100</v>
      </c>
      <c r="AK35" s="65">
        <f>0.75*B35</f>
        <v>2661.09</v>
      </c>
      <c r="AL35" s="65">
        <f>B35*0.2</f>
        <v>709.624</v>
      </c>
      <c r="AM35" s="65">
        <f>B35*1</f>
        <v>3548.12</v>
      </c>
      <c r="AN35" s="65">
        <f>B35*0.21</f>
        <v>745.1052</v>
      </c>
      <c r="AO35" s="65">
        <f>2.02*B35</f>
        <v>7167.2024</v>
      </c>
      <c r="AP35" s="65">
        <f>B35*1.03</f>
        <v>3654.5636</v>
      </c>
      <c r="AQ35" s="65">
        <f>B35*0.75</f>
        <v>2661.09</v>
      </c>
      <c r="AR35" s="65">
        <f>B35*0.75</f>
        <v>2661.09</v>
      </c>
      <c r="AS35" s="215">
        <f>B35*1.15</f>
        <v>4080.3379999999997</v>
      </c>
      <c r="AT35" s="107">
        <f>0.45*811</f>
        <v>364.95</v>
      </c>
      <c r="AU35" s="186"/>
      <c r="AV35" s="108"/>
      <c r="AW35" s="108"/>
      <c r="AX35" s="384">
        <f>243+81+261+416.667</f>
        <v>1001.6669999999999</v>
      </c>
      <c r="AY35" s="384"/>
      <c r="AZ35" s="384"/>
      <c r="BA35" s="51"/>
      <c r="BB35" s="107"/>
      <c r="BC35" s="376">
        <f>SUM(AK35:BB35)</f>
        <v>29254.840200000002</v>
      </c>
      <c r="BD35" s="381">
        <f>'[6]Т10'!$S$194</f>
        <v>25</v>
      </c>
      <c r="BE35" s="69">
        <f t="shared" si="25"/>
        <v>29279.840200000002</v>
      </c>
      <c r="BF35" s="212">
        <f t="shared" si="27"/>
        <v>6984.449799999991</v>
      </c>
      <c r="BG35" s="212">
        <f t="shared" si="26"/>
        <v>1491.2799999999988</v>
      </c>
    </row>
    <row r="36" spans="1:59" ht="12.75">
      <c r="A36" s="91" t="s">
        <v>42</v>
      </c>
      <c r="B36" s="385">
        <v>3547.92</v>
      </c>
      <c r="C36" s="55">
        <f>B36*9.51</f>
        <v>33740.7192</v>
      </c>
      <c r="D36" s="214"/>
      <c r="E36" s="119"/>
      <c r="F36" s="119"/>
      <c r="G36" s="113">
        <v>34432.39</v>
      </c>
      <c r="H36" s="113">
        <v>190.2</v>
      </c>
      <c r="I36" s="119"/>
      <c r="J36" s="119"/>
      <c r="K36" s="119"/>
      <c r="L36" s="119"/>
      <c r="M36" s="113"/>
      <c r="N36" s="113"/>
      <c r="O36" s="113"/>
      <c r="P36" s="113"/>
      <c r="Q36" s="113"/>
      <c r="R36" s="113"/>
      <c r="S36" s="202"/>
      <c r="T36" s="218"/>
      <c r="U36" s="209">
        <f t="shared" si="28"/>
        <v>34432.39</v>
      </c>
      <c r="V36" s="382">
        <f t="shared" si="28"/>
        <v>190.2</v>
      </c>
      <c r="W36" s="216"/>
      <c r="X36" s="113">
        <v>29761.05</v>
      </c>
      <c r="Y36" s="216"/>
      <c r="Z36" s="216"/>
      <c r="AA36" s="113">
        <v>593.56</v>
      </c>
      <c r="AB36" s="113">
        <v>205.93</v>
      </c>
      <c r="AC36" s="216"/>
      <c r="AD36" s="113"/>
      <c r="AE36" s="202"/>
      <c r="AF36" s="118">
        <f t="shared" si="29"/>
        <v>30560.54</v>
      </c>
      <c r="AG36" s="123">
        <f t="shared" si="23"/>
        <v>30750.74</v>
      </c>
      <c r="AH36" s="383">
        <v>0</v>
      </c>
      <c r="AI36" s="105">
        <f t="shared" si="24"/>
        <v>0</v>
      </c>
      <c r="AJ36" s="380">
        <f>'[6]Т11'!$J$196</f>
        <v>100</v>
      </c>
      <c r="AK36" s="65">
        <f>0.75*B36</f>
        <v>2660.94</v>
      </c>
      <c r="AL36" s="65">
        <f>B36*0.2</f>
        <v>709.5840000000001</v>
      </c>
      <c r="AM36" s="65">
        <f>B36*1</f>
        <v>3547.92</v>
      </c>
      <c r="AN36" s="65">
        <f>B36*0.21</f>
        <v>745.0631999999999</v>
      </c>
      <c r="AO36" s="65">
        <f>2.02*B36</f>
        <v>7166.798400000001</v>
      </c>
      <c r="AP36" s="65">
        <f>B36*1.03</f>
        <v>3654.3576000000003</v>
      </c>
      <c r="AQ36" s="65">
        <f>B36*0.75</f>
        <v>2660.94</v>
      </c>
      <c r="AR36" s="65">
        <f>B36*0.75</f>
        <v>2660.94</v>
      </c>
      <c r="AS36" s="215">
        <f>B36*1.15</f>
        <v>4080.1079999999997</v>
      </c>
      <c r="AT36" s="107">
        <f>0.45*811</f>
        <v>364.95</v>
      </c>
      <c r="AU36" s="108"/>
      <c r="AV36" s="108"/>
      <c r="AW36" s="108"/>
      <c r="AX36" s="108"/>
      <c r="AY36" s="108"/>
      <c r="AZ36" s="108"/>
      <c r="BA36" s="51"/>
      <c r="BB36" s="107"/>
      <c r="BC36" s="376">
        <f>SUM(AK36:BB36)</f>
        <v>28251.601199999997</v>
      </c>
      <c r="BD36" s="381">
        <f>'[6]Т11'!$S$196</f>
        <v>25</v>
      </c>
      <c r="BE36" s="69">
        <f t="shared" si="25"/>
        <v>28276.601199999997</v>
      </c>
      <c r="BF36" s="212">
        <f t="shared" si="27"/>
        <v>2574.1388000000043</v>
      </c>
      <c r="BG36" s="212">
        <f t="shared" si="26"/>
        <v>-3871.8499999999985</v>
      </c>
    </row>
    <row r="37" spans="1:59" ht="13.5" thickBot="1">
      <c r="A37" s="91" t="s">
        <v>43</v>
      </c>
      <c r="B37" s="386">
        <v>3547.92</v>
      </c>
      <c r="C37" s="55">
        <f>B37*9.51</f>
        <v>33740.7192</v>
      </c>
      <c r="D37" s="214"/>
      <c r="E37" s="113"/>
      <c r="F37" s="113"/>
      <c r="G37" s="113">
        <v>34437.11</v>
      </c>
      <c r="H37" s="113">
        <v>190.2</v>
      </c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202"/>
      <c r="T37" s="218"/>
      <c r="U37" s="209">
        <f t="shared" si="28"/>
        <v>34437.11</v>
      </c>
      <c r="V37" s="382">
        <f t="shared" si="28"/>
        <v>190.2</v>
      </c>
      <c r="W37" s="216"/>
      <c r="X37" s="113">
        <v>37350.99</v>
      </c>
      <c r="Y37" s="113"/>
      <c r="Z37" s="113"/>
      <c r="AA37" s="113">
        <v>233.97</v>
      </c>
      <c r="AB37" s="113">
        <v>80.64</v>
      </c>
      <c r="AC37" s="113"/>
      <c r="AD37" s="113"/>
      <c r="AE37" s="202"/>
      <c r="AF37" s="118">
        <f t="shared" si="29"/>
        <v>37665.6</v>
      </c>
      <c r="AG37" s="123">
        <f t="shared" si="23"/>
        <v>37855.799999999996</v>
      </c>
      <c r="AH37" s="383">
        <v>0</v>
      </c>
      <c r="AI37" s="105">
        <f t="shared" si="24"/>
        <v>0</v>
      </c>
      <c r="AJ37" s="380">
        <f>'[6]Т12'!$J$198</f>
        <v>100</v>
      </c>
      <c r="AK37" s="65">
        <f>0.75*B37</f>
        <v>2660.94</v>
      </c>
      <c r="AL37" s="65">
        <f>B37*0.2</f>
        <v>709.5840000000001</v>
      </c>
      <c r="AM37" s="65">
        <f>B37*1</f>
        <v>3547.92</v>
      </c>
      <c r="AN37" s="65">
        <f>B37*0.21</f>
        <v>745.0631999999999</v>
      </c>
      <c r="AO37" s="65">
        <f>2.02*B37</f>
        <v>7166.798400000001</v>
      </c>
      <c r="AP37" s="65">
        <f>B37*1.03</f>
        <v>3654.3576000000003</v>
      </c>
      <c r="AQ37" s="65">
        <f>B37*0.75</f>
        <v>2660.94</v>
      </c>
      <c r="AR37" s="65">
        <f>B37*0.75</f>
        <v>2660.94</v>
      </c>
      <c r="AS37" s="215">
        <f>B37*1.15</f>
        <v>4080.1079999999997</v>
      </c>
      <c r="AT37" s="107">
        <f>0.45*811</f>
        <v>364.95</v>
      </c>
      <c r="AU37" s="108">
        <v>2707</v>
      </c>
      <c r="AV37" s="108"/>
      <c r="AW37" s="108"/>
      <c r="AX37" s="108"/>
      <c r="AY37" s="108"/>
      <c r="AZ37" s="108"/>
      <c r="BA37" s="51"/>
      <c r="BB37" s="107"/>
      <c r="BC37" s="376">
        <f>SUM(AK37:BB37)</f>
        <v>30958.601199999997</v>
      </c>
      <c r="BD37" s="381">
        <f>'[6]Т12'!$S$198</f>
        <v>25</v>
      </c>
      <c r="BE37" s="69">
        <f t="shared" si="25"/>
        <v>30983.601199999997</v>
      </c>
      <c r="BF37" s="212">
        <f t="shared" si="27"/>
        <v>6972.198799999998</v>
      </c>
      <c r="BG37" s="212">
        <f t="shared" si="26"/>
        <v>3228.489999999998</v>
      </c>
    </row>
    <row r="38" spans="1:59" s="9" customFormat="1" ht="13.5" thickBot="1">
      <c r="A38" s="124" t="s">
        <v>5</v>
      </c>
      <c r="B38" s="125"/>
      <c r="C38" s="131">
        <f aca="true" t="shared" si="30" ref="C38:BF38">SUM(C26:C37)</f>
        <v>384470.4792</v>
      </c>
      <c r="D38" s="131">
        <f t="shared" si="30"/>
        <v>2919.0307439999997</v>
      </c>
      <c r="E38" s="131">
        <f t="shared" si="30"/>
        <v>0</v>
      </c>
      <c r="F38" s="131">
        <f t="shared" si="30"/>
        <v>0</v>
      </c>
      <c r="G38" s="131">
        <f t="shared" si="30"/>
        <v>318591.3</v>
      </c>
      <c r="H38" s="131">
        <f t="shared" si="30"/>
        <v>1761.6000000000001</v>
      </c>
      <c r="I38" s="131">
        <f t="shared" si="30"/>
        <v>0</v>
      </c>
      <c r="J38" s="131">
        <f t="shared" si="30"/>
        <v>0</v>
      </c>
      <c r="K38" s="131">
        <f t="shared" si="30"/>
        <v>0</v>
      </c>
      <c r="L38" s="131">
        <f t="shared" si="30"/>
        <v>0</v>
      </c>
      <c r="M38" s="131">
        <f t="shared" si="30"/>
        <v>54386.79</v>
      </c>
      <c r="N38" s="131">
        <f t="shared" si="30"/>
        <v>301.2</v>
      </c>
      <c r="O38" s="131">
        <f t="shared" si="30"/>
        <v>18968.98</v>
      </c>
      <c r="P38" s="131">
        <f t="shared" si="30"/>
        <v>0</v>
      </c>
      <c r="Q38" s="131">
        <f t="shared" si="30"/>
        <v>0</v>
      </c>
      <c r="R38" s="131">
        <f t="shared" si="30"/>
        <v>0</v>
      </c>
      <c r="S38" s="131">
        <f t="shared" si="30"/>
        <v>0</v>
      </c>
      <c r="T38" s="131">
        <f t="shared" si="30"/>
        <v>0</v>
      </c>
      <c r="U38" s="131">
        <f t="shared" si="30"/>
        <v>391947.06999999995</v>
      </c>
      <c r="V38" s="131">
        <f t="shared" si="30"/>
        <v>2062.8</v>
      </c>
      <c r="W38" s="131">
        <f t="shared" si="30"/>
        <v>0</v>
      </c>
      <c r="X38" s="131">
        <f t="shared" si="30"/>
        <v>271759.94999999995</v>
      </c>
      <c r="Y38" s="131">
        <f t="shared" si="30"/>
        <v>0</v>
      </c>
      <c r="Z38" s="131">
        <f t="shared" si="30"/>
        <v>0</v>
      </c>
      <c r="AA38" s="131">
        <f t="shared" si="30"/>
        <v>58000.63</v>
      </c>
      <c r="AB38" s="131">
        <f t="shared" si="30"/>
        <v>20237.649999999998</v>
      </c>
      <c r="AC38" s="131">
        <f t="shared" si="30"/>
        <v>0</v>
      </c>
      <c r="AD38" s="131">
        <f t="shared" si="30"/>
        <v>0</v>
      </c>
      <c r="AE38" s="131">
        <f t="shared" si="30"/>
        <v>0</v>
      </c>
      <c r="AF38" s="131">
        <f t="shared" si="30"/>
        <v>349998.2299999999</v>
      </c>
      <c r="AG38" s="131">
        <f t="shared" si="30"/>
        <v>354980.06074399996</v>
      </c>
      <c r="AH38" s="131">
        <f t="shared" si="30"/>
        <v>0</v>
      </c>
      <c r="AI38" s="131">
        <f t="shared" si="30"/>
        <v>0</v>
      </c>
      <c r="AJ38" s="131">
        <f t="shared" si="30"/>
        <v>700</v>
      </c>
      <c r="AK38" s="131">
        <f t="shared" si="30"/>
        <v>30229.6824</v>
      </c>
      <c r="AL38" s="131">
        <f t="shared" si="30"/>
        <v>8515.408</v>
      </c>
      <c r="AM38" s="131">
        <f t="shared" si="30"/>
        <v>42577.03999999999</v>
      </c>
      <c r="AN38" s="131">
        <f t="shared" si="30"/>
        <v>8941.1784</v>
      </c>
      <c r="AO38" s="131">
        <f t="shared" si="30"/>
        <v>82780.37972000001</v>
      </c>
      <c r="AP38" s="131">
        <f t="shared" si="30"/>
        <v>43854.35120000001</v>
      </c>
      <c r="AQ38" s="131">
        <f t="shared" si="30"/>
        <v>31932.78</v>
      </c>
      <c r="AR38" s="131">
        <f t="shared" si="30"/>
        <v>31932.78</v>
      </c>
      <c r="AS38" s="131">
        <f t="shared" si="30"/>
        <v>24481.568</v>
      </c>
      <c r="AT38" s="131">
        <f t="shared" si="30"/>
        <v>4379.399999999999</v>
      </c>
      <c r="AU38" s="131">
        <f t="shared" si="30"/>
        <v>48271</v>
      </c>
      <c r="AV38" s="131">
        <f t="shared" si="30"/>
        <v>0</v>
      </c>
      <c r="AW38" s="131">
        <f t="shared" si="30"/>
        <v>17443.72</v>
      </c>
      <c r="AX38" s="131">
        <f t="shared" si="30"/>
        <v>29380.057</v>
      </c>
      <c r="AY38" s="131">
        <f t="shared" si="30"/>
        <v>0</v>
      </c>
      <c r="AZ38" s="131">
        <f t="shared" si="30"/>
        <v>0</v>
      </c>
      <c r="BA38" s="131">
        <f t="shared" si="30"/>
        <v>0</v>
      </c>
      <c r="BB38" s="131">
        <f t="shared" si="30"/>
        <v>0</v>
      </c>
      <c r="BC38" s="131">
        <f t="shared" si="30"/>
        <v>404719.34472</v>
      </c>
      <c r="BD38" s="131">
        <f t="shared" si="30"/>
        <v>175</v>
      </c>
      <c r="BE38" s="131">
        <f t="shared" si="30"/>
        <v>404894.34472</v>
      </c>
      <c r="BF38" s="131">
        <f t="shared" si="30"/>
        <v>-49214.283976000035</v>
      </c>
      <c r="BG38" s="131">
        <f>SUM(BG26:BG37)</f>
        <v>-41948.84</v>
      </c>
    </row>
    <row r="39" spans="1:59" s="9" customFormat="1" ht="13.5" thickBot="1">
      <c r="A39" s="57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7"/>
      <c r="BF39" s="126"/>
      <c r="BG39" s="128"/>
    </row>
    <row r="40" spans="1:59" s="9" customFormat="1" ht="13.5" thickBot="1">
      <c r="A40" s="10" t="s">
        <v>54</v>
      </c>
      <c r="B40" s="126"/>
      <c r="C40" s="129">
        <f aca="true" t="shared" si="31" ref="C40:AD40">C38+C24</f>
        <v>1577439.2402</v>
      </c>
      <c r="D40" s="129">
        <f t="shared" si="31"/>
        <v>136239.1685693</v>
      </c>
      <c r="E40" s="129">
        <f t="shared" si="31"/>
        <v>73350.18000000001</v>
      </c>
      <c r="F40" s="129">
        <f t="shared" si="31"/>
        <v>11598.290000000005</v>
      </c>
      <c r="G40" s="129">
        <f t="shared" si="31"/>
        <v>542095.89</v>
      </c>
      <c r="H40" s="129">
        <f t="shared" si="31"/>
        <v>2485.4</v>
      </c>
      <c r="I40" s="129">
        <f t="shared" si="31"/>
        <v>99270.06</v>
      </c>
      <c r="J40" s="129">
        <f t="shared" si="31"/>
        <v>15701.189999999999</v>
      </c>
      <c r="K40" s="129">
        <f t="shared" si="31"/>
        <v>165285.56</v>
      </c>
      <c r="L40" s="129">
        <f t="shared" si="31"/>
        <v>26138.87</v>
      </c>
      <c r="M40" s="129">
        <f t="shared" si="31"/>
        <v>401180.73999999993</v>
      </c>
      <c r="N40" s="129">
        <f t="shared" si="31"/>
        <v>38389.21</v>
      </c>
      <c r="O40" s="129">
        <f t="shared" si="31"/>
        <v>115503.60999999999</v>
      </c>
      <c r="P40" s="129">
        <f t="shared" si="31"/>
        <v>9277.880000000001</v>
      </c>
      <c r="Q40" s="129">
        <f t="shared" si="31"/>
        <v>0</v>
      </c>
      <c r="R40" s="129">
        <f t="shared" si="31"/>
        <v>0</v>
      </c>
      <c r="S40" s="129">
        <f t="shared" si="31"/>
        <v>0</v>
      </c>
      <c r="T40" s="129">
        <f t="shared" si="31"/>
        <v>0</v>
      </c>
      <c r="U40" s="129">
        <f t="shared" si="31"/>
        <v>1396686.04</v>
      </c>
      <c r="V40" s="129">
        <f t="shared" si="31"/>
        <v>103590.84</v>
      </c>
      <c r="W40" s="129">
        <f t="shared" si="31"/>
        <v>70108.34000000001</v>
      </c>
      <c r="X40" s="129">
        <f t="shared" si="31"/>
        <v>459845.55999999994</v>
      </c>
      <c r="Y40" s="129">
        <f t="shared" si="31"/>
        <v>94808.85999999999</v>
      </c>
      <c r="Z40" s="129">
        <f t="shared" si="31"/>
        <v>157868.89</v>
      </c>
      <c r="AA40" s="129">
        <f t="shared" si="31"/>
        <v>377216.56</v>
      </c>
      <c r="AB40" s="129">
        <f t="shared" si="31"/>
        <v>108560.53</v>
      </c>
      <c r="AC40" s="129">
        <f t="shared" si="31"/>
        <v>0</v>
      </c>
      <c r="AD40" s="129">
        <f t="shared" si="31"/>
        <v>0</v>
      </c>
      <c r="AE40" s="129" t="e">
        <f>AE38+AF24</f>
        <v>#REF!</v>
      </c>
      <c r="AF40" s="129" t="e">
        <f>AF38+#REF!</f>
        <v>#REF!</v>
      </c>
      <c r="AG40" s="129">
        <f aca="true" t="shared" si="32" ref="AG40:BG40">AG38+AG24</f>
        <v>1508238.7485693</v>
      </c>
      <c r="AH40" s="129">
        <f t="shared" si="32"/>
        <v>0</v>
      </c>
      <c r="AI40" s="129">
        <f t="shared" si="32"/>
        <v>0</v>
      </c>
      <c r="AJ40" s="129">
        <f t="shared" si="32"/>
        <v>700</v>
      </c>
      <c r="AK40" s="129">
        <f t="shared" si="32"/>
        <v>115402.85320000001</v>
      </c>
      <c r="AL40" s="129">
        <f t="shared" si="32"/>
        <v>36012.034850000004</v>
      </c>
      <c r="AM40" s="129">
        <f t="shared" si="32"/>
        <v>179186.01693815</v>
      </c>
      <c r="AN40" s="129">
        <f t="shared" si="32"/>
        <v>17882.650800000003</v>
      </c>
      <c r="AO40" s="129">
        <f t="shared" si="32"/>
        <v>262581.1947326092</v>
      </c>
      <c r="AP40" s="129">
        <f t="shared" si="32"/>
        <v>297525.9482258568</v>
      </c>
      <c r="AQ40" s="129">
        <f t="shared" si="32"/>
        <v>63866.61</v>
      </c>
      <c r="AR40" s="129">
        <f t="shared" si="32"/>
        <v>63866.61</v>
      </c>
      <c r="AS40" s="129">
        <f t="shared" si="32"/>
        <v>48964.746</v>
      </c>
      <c r="AT40" s="129">
        <f t="shared" si="32"/>
        <v>16787.699999999997</v>
      </c>
      <c r="AU40" s="129">
        <f t="shared" si="32"/>
        <v>247198.28079999998</v>
      </c>
      <c r="AV40" s="129">
        <f t="shared" si="32"/>
        <v>1562</v>
      </c>
      <c r="AW40" s="129">
        <f t="shared" si="32"/>
        <v>92462.36</v>
      </c>
      <c r="AX40" s="129">
        <f t="shared" si="32"/>
        <v>49573.7334</v>
      </c>
      <c r="AY40" s="129">
        <f t="shared" si="32"/>
        <v>21379.3216</v>
      </c>
      <c r="AZ40" s="129">
        <f t="shared" si="32"/>
        <v>0</v>
      </c>
      <c r="BA40" s="129">
        <f t="shared" si="32"/>
        <v>0</v>
      </c>
      <c r="BB40" s="129">
        <f t="shared" si="32"/>
        <v>0</v>
      </c>
      <c r="BC40" s="129">
        <f t="shared" si="32"/>
        <v>1514252.060546616</v>
      </c>
      <c r="BD40" s="129">
        <f t="shared" si="32"/>
        <v>175</v>
      </c>
      <c r="BE40" s="130">
        <f t="shared" si="32"/>
        <v>1514427.060546616</v>
      </c>
      <c r="BF40" s="129">
        <f>BF38+BF24</f>
        <v>-5487.741977316036</v>
      </c>
      <c r="BG40" s="131">
        <f t="shared" si="32"/>
        <v>-128277.3</v>
      </c>
    </row>
  </sheetData>
  <sheetProtection/>
  <mergeCells count="56">
    <mergeCell ref="AW5:AW6"/>
    <mergeCell ref="AX5:AX6"/>
    <mergeCell ref="BG3:BG6"/>
    <mergeCell ref="BF3:BF6"/>
    <mergeCell ref="AZ5:AZ6"/>
    <mergeCell ref="BA5:BA6"/>
    <mergeCell ref="BB5:BB6"/>
    <mergeCell ref="BC5:BC6"/>
    <mergeCell ref="BD5:BD6"/>
    <mergeCell ref="BE5:BE6"/>
    <mergeCell ref="AO5:AO6"/>
    <mergeCell ref="AP5:AP6"/>
    <mergeCell ref="AQ5:AQ6"/>
    <mergeCell ref="AR5:AR6"/>
    <mergeCell ref="AS5:AS6"/>
    <mergeCell ref="AT5:AT6"/>
    <mergeCell ref="AU5:AU6"/>
    <mergeCell ref="AV5:AV6"/>
    <mergeCell ref="AF5:AF6"/>
    <mergeCell ref="AG5:AG6"/>
    <mergeCell ref="AH5:AH6"/>
    <mergeCell ref="AI5:AI6"/>
    <mergeCell ref="AK5:AK6"/>
    <mergeCell ref="AL5:AL6"/>
    <mergeCell ref="AJ3:AJ6"/>
    <mergeCell ref="AK3:BE4"/>
    <mergeCell ref="AM5:AM6"/>
    <mergeCell ref="AN5:AN6"/>
    <mergeCell ref="K5:L6"/>
    <mergeCell ref="M5:N6"/>
    <mergeCell ref="O5:P6"/>
    <mergeCell ref="Z5:Z6"/>
    <mergeCell ref="AA5:AA6"/>
    <mergeCell ref="AB5:AB6"/>
    <mergeCell ref="S5:T6"/>
    <mergeCell ref="U5:U6"/>
    <mergeCell ref="S3:T4"/>
    <mergeCell ref="U3:V4"/>
    <mergeCell ref="W3:AI4"/>
    <mergeCell ref="V5:V6"/>
    <mergeCell ref="W5:W6"/>
    <mergeCell ref="X5:X6"/>
    <mergeCell ref="Y5:Y6"/>
    <mergeCell ref="AC5:AC6"/>
    <mergeCell ref="AD5:AD6"/>
    <mergeCell ref="AE5:AE6"/>
    <mergeCell ref="A1:N1"/>
    <mergeCell ref="A3:A6"/>
    <mergeCell ref="B3:B6"/>
    <mergeCell ref="C3:C6"/>
    <mergeCell ref="D3:D6"/>
    <mergeCell ref="E3:R4"/>
    <mergeCell ref="Q5:R6"/>
    <mergeCell ref="E5:F6"/>
    <mergeCell ref="G5:H6"/>
    <mergeCell ref="I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3">
      <selection activeCell="G63" sqref="G63"/>
    </sheetView>
  </sheetViews>
  <sheetFormatPr defaultColWidth="9.00390625" defaultRowHeight="12.75"/>
  <cols>
    <col min="1" max="1" width="10.00390625" style="80" customWidth="1"/>
    <col min="2" max="2" width="9.125" style="80" customWidth="1"/>
    <col min="3" max="3" width="12.00390625" style="80" customWidth="1"/>
    <col min="4" max="4" width="10.375" style="80" customWidth="1"/>
    <col min="5" max="5" width="12.125" style="80" customWidth="1"/>
    <col min="6" max="6" width="9.875" style="80" customWidth="1"/>
    <col min="7" max="8" width="11.625" style="80" customWidth="1"/>
    <col min="9" max="9" width="11.125" style="80" customWidth="1"/>
    <col min="10" max="10" width="9.875" style="80" customWidth="1"/>
    <col min="11" max="11" width="13.25390625" style="80" customWidth="1"/>
    <col min="12" max="12" width="10.125" style="80" customWidth="1"/>
    <col min="13" max="13" width="13.625" style="80" customWidth="1"/>
    <col min="14" max="14" width="10.75390625" style="80" customWidth="1"/>
    <col min="15" max="15" width="12.625" style="80" customWidth="1"/>
    <col min="16" max="16384" width="9.125" style="80" customWidth="1"/>
  </cols>
  <sheetData>
    <row r="1" spans="2:8" ht="20.25" customHeight="1">
      <c r="B1" s="271" t="s">
        <v>55</v>
      </c>
      <c r="C1" s="271"/>
      <c r="D1" s="271"/>
      <c r="E1" s="271"/>
      <c r="F1" s="271"/>
      <c r="G1" s="271"/>
      <c r="H1" s="271"/>
    </row>
    <row r="2" spans="2:8" ht="21" customHeight="1">
      <c r="B2" s="271" t="s">
        <v>56</v>
      </c>
      <c r="C2" s="271"/>
      <c r="D2" s="271"/>
      <c r="E2" s="271"/>
      <c r="F2" s="271"/>
      <c r="G2" s="271"/>
      <c r="H2" s="271"/>
    </row>
    <row r="5" spans="1:14" ht="12.75">
      <c r="A5" s="272" t="s">
        <v>117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</row>
    <row r="6" spans="1:14" ht="12.75">
      <c r="A6" s="273" t="s">
        <v>120</v>
      </c>
      <c r="B6" s="273"/>
      <c r="C6" s="273"/>
      <c r="D6" s="273"/>
      <c r="E6" s="273"/>
      <c r="F6" s="273"/>
      <c r="G6" s="273"/>
      <c r="H6" s="46"/>
      <c r="I6" s="46"/>
      <c r="J6" s="46"/>
      <c r="K6" s="46"/>
      <c r="L6" s="46"/>
      <c r="M6" s="46"/>
      <c r="N6" s="46"/>
    </row>
    <row r="7" spans="1:6" ht="13.5" thickBot="1">
      <c r="A7" s="274" t="s">
        <v>57</v>
      </c>
      <c r="B7" s="274"/>
      <c r="C7" s="274"/>
      <c r="D7" s="274"/>
      <c r="E7" s="274">
        <v>9.51</v>
      </c>
      <c r="F7" s="274"/>
    </row>
    <row r="8" spans="1:15" ht="12.75" customHeight="1">
      <c r="A8" s="220" t="s">
        <v>58</v>
      </c>
      <c r="B8" s="299" t="s">
        <v>1</v>
      </c>
      <c r="C8" s="302" t="s">
        <v>121</v>
      </c>
      <c r="D8" s="305" t="s">
        <v>3</v>
      </c>
      <c r="E8" s="286" t="s">
        <v>60</v>
      </c>
      <c r="F8" s="287"/>
      <c r="G8" s="267" t="s">
        <v>61</v>
      </c>
      <c r="H8" s="268"/>
      <c r="I8" s="294" t="s">
        <v>10</v>
      </c>
      <c r="J8" s="244"/>
      <c r="K8" s="244"/>
      <c r="L8" s="244"/>
      <c r="M8" s="295"/>
      <c r="N8" s="275" t="s">
        <v>62</v>
      </c>
      <c r="O8" s="275" t="s">
        <v>12</v>
      </c>
    </row>
    <row r="9" spans="1:15" ht="12.75">
      <c r="A9" s="221"/>
      <c r="B9" s="300"/>
      <c r="C9" s="303"/>
      <c r="D9" s="306"/>
      <c r="E9" s="288"/>
      <c r="F9" s="289"/>
      <c r="G9" s="269"/>
      <c r="H9" s="270"/>
      <c r="I9" s="296"/>
      <c r="J9" s="245"/>
      <c r="K9" s="245"/>
      <c r="L9" s="245"/>
      <c r="M9" s="297"/>
      <c r="N9" s="276"/>
      <c r="O9" s="276"/>
    </row>
    <row r="10" spans="1:15" ht="26.25" customHeight="1">
      <c r="A10" s="221"/>
      <c r="B10" s="300"/>
      <c r="C10" s="303"/>
      <c r="D10" s="306"/>
      <c r="E10" s="278" t="s">
        <v>63</v>
      </c>
      <c r="F10" s="279"/>
      <c r="G10" s="42" t="s">
        <v>64</v>
      </c>
      <c r="H10" s="280" t="s">
        <v>7</v>
      </c>
      <c r="I10" s="282" t="s">
        <v>65</v>
      </c>
      <c r="J10" s="284" t="s">
        <v>108</v>
      </c>
      <c r="K10" s="284" t="s">
        <v>66</v>
      </c>
      <c r="L10" s="284" t="s">
        <v>37</v>
      </c>
      <c r="M10" s="280" t="s">
        <v>39</v>
      </c>
      <c r="N10" s="276"/>
      <c r="O10" s="276"/>
    </row>
    <row r="11" spans="1:15" ht="66.75" customHeight="1" thickBot="1">
      <c r="A11" s="298"/>
      <c r="B11" s="301"/>
      <c r="C11" s="304"/>
      <c r="D11" s="307"/>
      <c r="E11" s="132" t="s">
        <v>68</v>
      </c>
      <c r="F11" s="133" t="s">
        <v>21</v>
      </c>
      <c r="G11" s="134" t="s">
        <v>69</v>
      </c>
      <c r="H11" s="281"/>
      <c r="I11" s="283"/>
      <c r="J11" s="285"/>
      <c r="K11" s="285"/>
      <c r="L11" s="285"/>
      <c r="M11" s="281"/>
      <c r="N11" s="277"/>
      <c r="O11" s="277"/>
    </row>
    <row r="12" spans="1:15" ht="13.5" thickBot="1">
      <c r="A12" s="29">
        <v>1</v>
      </c>
      <c r="B12" s="30">
        <v>2</v>
      </c>
      <c r="C12" s="29">
        <v>3</v>
      </c>
      <c r="D12" s="30">
        <v>4</v>
      </c>
      <c r="E12" s="29">
        <v>5</v>
      </c>
      <c r="F12" s="30">
        <v>6</v>
      </c>
      <c r="G12" s="29">
        <v>7</v>
      </c>
      <c r="H12" s="30">
        <v>8</v>
      </c>
      <c r="I12" s="29">
        <v>9</v>
      </c>
      <c r="J12" s="30">
        <v>10</v>
      </c>
      <c r="K12" s="29">
        <v>11</v>
      </c>
      <c r="L12" s="30">
        <v>12</v>
      </c>
      <c r="M12" s="29">
        <v>13</v>
      </c>
      <c r="N12" s="30">
        <v>14</v>
      </c>
      <c r="O12" s="29">
        <v>15</v>
      </c>
    </row>
    <row r="13" spans="1:17" ht="13.5" hidden="1" thickBot="1">
      <c r="A13" s="3" t="s">
        <v>44</v>
      </c>
      <c r="B13" s="135"/>
      <c r="C13" s="21"/>
      <c r="D13" s="22"/>
      <c r="E13" s="136"/>
      <c r="F13" s="137"/>
      <c r="G13" s="138"/>
      <c r="H13" s="137"/>
      <c r="I13" s="138"/>
      <c r="J13" s="139"/>
      <c r="K13" s="139"/>
      <c r="L13" s="140"/>
      <c r="M13" s="141"/>
      <c r="N13" s="142"/>
      <c r="O13" s="142"/>
      <c r="P13" s="79"/>
      <c r="Q13" s="79"/>
    </row>
    <row r="14" spans="1:17" ht="13.5" hidden="1" thickBot="1">
      <c r="A14" s="91" t="s">
        <v>45</v>
      </c>
      <c r="B14" s="40">
        <f>'[4]Лист1'!B8</f>
        <v>0</v>
      </c>
      <c r="C14" s="13">
        <f aca="true" t="shared" si="0" ref="C14:C25">B14*8.65</f>
        <v>0</v>
      </c>
      <c r="D14" s="14">
        <f>'[4]Лист1'!D8</f>
        <v>0</v>
      </c>
      <c r="E14" s="139">
        <f>'[4]Лист1'!S8</f>
        <v>0</v>
      </c>
      <c r="F14" s="141">
        <f>'[4]Лист1'!T8</f>
        <v>0</v>
      </c>
      <c r="G14" s="143">
        <f>'[4]Лист1'!AB8</f>
        <v>0</v>
      </c>
      <c r="H14" s="141">
        <f>'[4]Лист1'!AC8</f>
        <v>0</v>
      </c>
      <c r="I14" s="143">
        <f>'[4]Лист1'!AG8</f>
        <v>0</v>
      </c>
      <c r="J14" s="139">
        <f>'[4]Лист1'!AI8+'[4]Лист1'!AJ8</f>
        <v>0</v>
      </c>
      <c r="K14" s="139">
        <f>'[4]Лист1'!AH8+'[4]Лист1'!AK8+'[4]Лист1'!AL8+'[4]Лист1'!AM8+'[4]Лист1'!AN8+'[4]Лист1'!AO8+'[4]Лист1'!AP8+'[4]Лист1'!AQ8+'[4]Лист1'!AR8</f>
        <v>0</v>
      </c>
      <c r="L14" s="140">
        <f>'[4]Лист1'!AS8+'[4]Лист1'!AT8+'[4]Лист1'!AU8+'[4]Лист1'!AZ8+'[4]Лист1'!BA8</f>
        <v>0</v>
      </c>
      <c r="M14" s="141">
        <f>'[4]Лист1'!BB8</f>
        <v>0</v>
      </c>
      <c r="N14" s="142">
        <f>'[4]Лист1'!BD8</f>
        <v>0</v>
      </c>
      <c r="O14" s="142">
        <f>'[4]Лист1'!BE8</f>
        <v>0</v>
      </c>
      <c r="P14" s="79"/>
      <c r="Q14" s="79"/>
    </row>
    <row r="15" spans="1:17" ht="13.5" hidden="1" thickBot="1">
      <c r="A15" s="91" t="s">
        <v>46</v>
      </c>
      <c r="B15" s="40">
        <f>'[4]Лист1'!B9</f>
        <v>347</v>
      </c>
      <c r="C15" s="13">
        <f t="shared" si="0"/>
        <v>3001.55</v>
      </c>
      <c r="D15" s="14">
        <f>'[4]Лист1'!D9</f>
        <v>375.19375</v>
      </c>
      <c r="E15" s="139">
        <f>'[4]Лист1'!S9</f>
        <v>1402.63</v>
      </c>
      <c r="F15" s="141">
        <f>'[4]Лист1'!T9</f>
        <v>770.85</v>
      </c>
      <c r="G15" s="143">
        <f>'[4]Лист1'!AB9</f>
        <v>1205.52</v>
      </c>
      <c r="H15" s="141">
        <f>'[4]Лист1'!AC9</f>
        <v>2351.5637500000003</v>
      </c>
      <c r="I15" s="143">
        <f>'[4]Лист1'!AG9</f>
        <v>187.38</v>
      </c>
      <c r="J15" s="139">
        <f>'[4]Лист1'!AI9+'[4]Лист1'!AJ9</f>
        <v>301.727947</v>
      </c>
      <c r="K15" s="139">
        <f>'[4]Лист1'!AH9+'[4]Лист1'!AK9+'[4]Лист1'!AL9+'[4]Лист1'!AM9+'[4]Лист1'!AN9+'[4]Лист1'!AO9+'[4]Лист1'!AP9+'[4]Лист1'!AQ9+'[4]Лист1'!AR9</f>
        <v>1036.33545944</v>
      </c>
      <c r="L15" s="140">
        <f>'[4]Лист1'!AS9+'[4]Лист1'!AT9+'[4]Лист1'!AU9+'[4]Лист1'!AZ9+'[4]Лист1'!BA9</f>
        <v>0</v>
      </c>
      <c r="M15" s="141">
        <f>'[4]Лист1'!BB9</f>
        <v>1525.4434064399998</v>
      </c>
      <c r="N15" s="142">
        <f>'[4]Лист1'!BD9</f>
        <v>826.1203435600005</v>
      </c>
      <c r="O15" s="142">
        <f>'[4]Лист1'!BE9</f>
        <v>-197.11000000000013</v>
      </c>
      <c r="P15" s="79"/>
      <c r="Q15" s="79"/>
    </row>
    <row r="16" spans="1:17" ht="13.5" hidden="1" thickBot="1">
      <c r="A16" s="91" t="s">
        <v>47</v>
      </c>
      <c r="B16" s="40">
        <f>'[4]Лист1'!B10</f>
        <v>347</v>
      </c>
      <c r="C16" s="13">
        <f t="shared" si="0"/>
        <v>3001.55</v>
      </c>
      <c r="D16" s="14">
        <f>'[4]Лист1'!D10</f>
        <v>375.19375</v>
      </c>
      <c r="E16" s="139">
        <f>'[4]Лист1'!S10</f>
        <v>1402.63</v>
      </c>
      <c r="F16" s="141">
        <f>'[4]Лист1'!T10</f>
        <v>770.85</v>
      </c>
      <c r="G16" s="143">
        <f>'[4]Лист1'!AB10</f>
        <v>1141.3000000000002</v>
      </c>
      <c r="H16" s="141">
        <f>'[4]Лист1'!AC10</f>
        <v>2287.34375</v>
      </c>
      <c r="I16" s="143">
        <f>'[4]Лист1'!AG10</f>
        <v>187.38</v>
      </c>
      <c r="J16" s="139">
        <f>'[4]Лист1'!AI10+'[4]Лист1'!AJ10</f>
        <v>301.403506</v>
      </c>
      <c r="K16" s="139">
        <f>'[4]Лист1'!AH10+'[4]Лист1'!AK10+'[4]Лист1'!AL10+'[4]Лист1'!AM10+'[4]Лист1'!AN10+'[4]Лист1'!AO10+'[4]Лист1'!AP10+'[4]Лист1'!AQ10+'[4]Лист1'!AR10</f>
        <v>1037.8314805399998</v>
      </c>
      <c r="L16" s="140">
        <f>'[4]Лист1'!AS10+'[4]Лист1'!AT10+'[4]Лист1'!AU10+'[4]Лист1'!AZ10+'[4]Лист1'!BA10</f>
        <v>1569.4</v>
      </c>
      <c r="M16" s="141">
        <f>'[4]Лист1'!BB10</f>
        <v>3096.0149865399994</v>
      </c>
      <c r="N16" s="142">
        <f>'[4]Лист1'!BD10</f>
        <v>-808.6712365399994</v>
      </c>
      <c r="O16" s="142">
        <f>'[4]Лист1'!BE10</f>
        <v>-261.3299999999999</v>
      </c>
      <c r="P16" s="79"/>
      <c r="Q16" s="79"/>
    </row>
    <row r="17" spans="1:17" ht="13.5" hidden="1" thickBot="1">
      <c r="A17" s="91" t="s">
        <v>48</v>
      </c>
      <c r="B17" s="40">
        <f>'[4]Лист1'!B11</f>
        <v>347</v>
      </c>
      <c r="C17" s="13">
        <f t="shared" si="0"/>
        <v>3001.55</v>
      </c>
      <c r="D17" s="14">
        <f>'[4]Лист1'!D11</f>
        <v>375.19375</v>
      </c>
      <c r="E17" s="139">
        <f>'[4]Лист1'!S11</f>
        <v>1402.63</v>
      </c>
      <c r="F17" s="141">
        <f>'[4]Лист1'!T11</f>
        <v>770.85</v>
      </c>
      <c r="G17" s="143">
        <f>'[4]Лист1'!AB11</f>
        <v>1864.7600000000002</v>
      </c>
      <c r="H17" s="141">
        <f>'[4]Лист1'!AC11</f>
        <v>3010.80375</v>
      </c>
      <c r="I17" s="143">
        <f>'[4]Лист1'!AG11</f>
        <v>187.38</v>
      </c>
      <c r="J17" s="139">
        <f>'[4]Лист1'!AI11+'[4]Лист1'!AJ11</f>
        <v>301.9373675</v>
      </c>
      <c r="K17" s="139">
        <f>'[4]Лист1'!AH11+'[4]Лист1'!AK11+'[4]Лист1'!AL11+'[4]Лист1'!AM11+'[4]Лист1'!AN11+'[4]Лист1'!AO11+'[4]Лист1'!AP11+'[4]Лист1'!AQ11+'[4]Лист1'!AR11</f>
        <v>1003.1883752000001</v>
      </c>
      <c r="L17" s="140">
        <f>'[4]Лист1'!AS11+'[4]Лист1'!AT11+'[4]Лист1'!AU11+'[4]Лист1'!AY11+'[4]Лист1'!AZ11</f>
        <v>0</v>
      </c>
      <c r="M17" s="141">
        <f>'[4]Лист1'!BB11</f>
        <v>1492.5057427</v>
      </c>
      <c r="N17" s="142">
        <f>'[4]Лист1'!BD11</f>
        <v>1518.2980073</v>
      </c>
      <c r="O17" s="142">
        <f>'[4]Лист1'!BE11</f>
        <v>462.1300000000001</v>
      </c>
      <c r="P17" s="79"/>
      <c r="Q17" s="79"/>
    </row>
    <row r="18" spans="1:17" ht="13.5" hidden="1" thickBot="1">
      <c r="A18" s="91" t="s">
        <v>49</v>
      </c>
      <c r="B18" s="40">
        <f>'[4]Лист1'!B12</f>
        <v>347</v>
      </c>
      <c r="C18" s="13">
        <f t="shared" si="0"/>
        <v>3001.55</v>
      </c>
      <c r="D18" s="14">
        <f>'[4]Лист1'!D12</f>
        <v>375.19375</v>
      </c>
      <c r="E18" s="139">
        <f>'[4]Лист1'!S12</f>
        <v>1401.9099999999999</v>
      </c>
      <c r="F18" s="141">
        <f>'[4]Лист1'!T12</f>
        <v>770.85</v>
      </c>
      <c r="G18" s="143">
        <f>'[4]Лист1'!AB12</f>
        <v>1402.6</v>
      </c>
      <c r="H18" s="141">
        <f>'[4]Лист1'!AC12</f>
        <v>2548.64375</v>
      </c>
      <c r="I18" s="143">
        <f>'[4]Лист1'!AG12</f>
        <v>187.38</v>
      </c>
      <c r="J18" s="139">
        <f>'[4]Лист1'!AI12+'[4]Лист1'!AJ12</f>
        <v>310.800613</v>
      </c>
      <c r="K18" s="139">
        <f>'[4]Лист1'!AH12+'[4]Лист1'!AK12+'[4]Лист1'!AL12+'[4]Лист1'!AM12+'[4]Лист1'!AN12+'[4]Лист1'!AO12+'[4]Лист1'!AP12+'[4]Лист1'!AQ12+'[4]Лист1'!AR12</f>
        <v>1017.49191592</v>
      </c>
      <c r="L18" s="140">
        <f>'[4]Лист1'!AS12+'[4]Лист1'!AT12+'[4]Лист1'!AU12+'[4]Лист1'!AZ12+'[4]Лист1'!BA12</f>
        <v>0</v>
      </c>
      <c r="M18" s="141">
        <f>'[4]Лист1'!BB12</f>
        <v>1833.8477289200002</v>
      </c>
      <c r="N18" s="142">
        <f>'[4]Лист1'!BD12</f>
        <v>714.79602108</v>
      </c>
      <c r="O18" s="142">
        <f>'[4]Лист1'!BE12</f>
        <v>0.6900000000000546</v>
      </c>
      <c r="P18" s="79"/>
      <c r="Q18" s="79"/>
    </row>
    <row r="19" spans="1:17" ht="13.5" hidden="1" thickBot="1">
      <c r="A19" s="91" t="s">
        <v>50</v>
      </c>
      <c r="B19" s="40">
        <f>'[4]Лист1'!B13</f>
        <v>347</v>
      </c>
      <c r="C19" s="13">
        <f t="shared" si="0"/>
        <v>3001.55</v>
      </c>
      <c r="D19" s="14">
        <f>'[4]Лист1'!D13</f>
        <v>577.8599999999997</v>
      </c>
      <c r="E19" s="139">
        <f>'[4]Лист1'!S13</f>
        <v>1563.57</v>
      </c>
      <c r="F19" s="141">
        <f>'[4]Лист1'!T13</f>
        <v>860.12</v>
      </c>
      <c r="G19" s="143">
        <f>'[4]Лист1'!AB13</f>
        <v>1101.03</v>
      </c>
      <c r="H19" s="141">
        <f>'[4]Лист1'!AC13</f>
        <v>2539.0099999999993</v>
      </c>
      <c r="I19" s="143">
        <f>'[4]Лист1'!AG13</f>
        <v>208.2</v>
      </c>
      <c r="J19" s="139">
        <f>'[4]Лист1'!AI13+'[4]Лист1'!AJ13</f>
        <v>348.041</v>
      </c>
      <c r="K19" s="139">
        <f>'[4]Лист1'!AH13+'[4]Лист1'!AK13+'[4]Лист1'!AL13+'[4]Лист1'!AM13+'[4]Лист1'!AN13+'[4]Лист1'!AO13+'[4]Лист1'!AP13+'[4]Лист1'!AQ13+'[4]Лист1'!AR13</f>
        <v>1192.0144</v>
      </c>
      <c r="L19" s="140">
        <f>'[4]Лист1'!AS13+'[4]Лист1'!AT13+'[4]Лист1'!AU13+'[4]Лист1'!AZ13+'[4]Лист1'!BA13</f>
        <v>0</v>
      </c>
      <c r="M19" s="141">
        <f>'[4]Лист1'!BB13</f>
        <v>1800.3925199999999</v>
      </c>
      <c r="N19" s="142">
        <f>'[4]Лист1'!BD13</f>
        <v>738.6174799999994</v>
      </c>
      <c r="O19" s="142">
        <f>'[4]Лист1'!BE13</f>
        <v>-462.53999999999996</v>
      </c>
      <c r="P19" s="79"/>
      <c r="Q19" s="79"/>
    </row>
    <row r="20" spans="1:17" ht="13.5" hidden="1" thickBot="1">
      <c r="A20" s="91" t="s">
        <v>51</v>
      </c>
      <c r="B20" s="40">
        <f>'[4]Лист1'!B14</f>
        <v>347</v>
      </c>
      <c r="C20" s="13">
        <f t="shared" si="0"/>
        <v>3001.55</v>
      </c>
      <c r="D20" s="14">
        <f>'[4]Лист1'!D14</f>
        <v>577.73</v>
      </c>
      <c r="E20" s="139">
        <f>'[4]Лист1'!S14</f>
        <v>1563.7</v>
      </c>
      <c r="F20" s="141">
        <f>'[4]Лист1'!T14</f>
        <v>860.12</v>
      </c>
      <c r="G20" s="143">
        <f>'[4]Лист1'!AB14</f>
        <v>1864.8400000000001</v>
      </c>
      <c r="H20" s="141">
        <f>'[4]Лист1'!AC14</f>
        <v>3302.69</v>
      </c>
      <c r="I20" s="143">
        <f>'[4]Лист1'!AG14</f>
        <v>208.2</v>
      </c>
      <c r="J20" s="139">
        <f>'[4]Лист1'!AI14+'[4]Лист1'!AJ14</f>
        <v>348.041</v>
      </c>
      <c r="K20" s="139">
        <f>'[4]Лист1'!AH14+'[4]Лист1'!AK14+'[4]Лист1'!AL14+'[4]Лист1'!AM14+'[4]Лист1'!AN14+'[4]Лист1'!AO14+'[4]Лист1'!AP14+'[4]Лист1'!AQ14+'[4]Лист1'!AR14</f>
        <v>1192.04563</v>
      </c>
      <c r="L20" s="140">
        <f>'[4]Лист1'!AS14+'[4]Лист1'!AT14+'[4]Лист1'!AU14+'[4]Лист1'!AZ14+'[4]Лист1'!BA14</f>
        <v>0</v>
      </c>
      <c r="M20" s="141">
        <f>'[4]Лист1'!BB14</f>
        <v>1794.47655</v>
      </c>
      <c r="N20" s="142">
        <f>'[4]Лист1'!BD14</f>
        <v>1508.21345</v>
      </c>
      <c r="O20" s="142">
        <f>'[4]Лист1'!BE14</f>
        <v>301.1400000000001</v>
      </c>
      <c r="P20" s="79"/>
      <c r="Q20" s="79"/>
    </row>
    <row r="21" spans="1:17" ht="13.5" hidden="1" thickBot="1">
      <c r="A21" s="91" t="s">
        <v>52</v>
      </c>
      <c r="B21" s="40">
        <f>'[4]Лист1'!B15</f>
        <v>347</v>
      </c>
      <c r="C21" s="13">
        <f t="shared" si="0"/>
        <v>3001.55</v>
      </c>
      <c r="D21" s="14">
        <f>'[4]Лист1'!D15</f>
        <v>595.9700000000003</v>
      </c>
      <c r="E21" s="139">
        <f>'[4]Лист1'!S15</f>
        <v>1553.6399999999999</v>
      </c>
      <c r="F21" s="141">
        <f>'[4]Лист1'!T15</f>
        <v>851.9399999999999</v>
      </c>
      <c r="G21" s="143">
        <f>'[4]Лист1'!AB15</f>
        <v>1230.87</v>
      </c>
      <c r="H21" s="141">
        <f>'[4]Лист1'!AC15</f>
        <v>2678.78</v>
      </c>
      <c r="I21" s="143">
        <f>'[4]Лист1'!AG15</f>
        <v>208.2</v>
      </c>
      <c r="J21" s="139">
        <f>'[4]Лист1'!AI15+'[4]Лист1'!AJ15</f>
        <v>343.0988178</v>
      </c>
      <c r="K21" s="139">
        <f>'[4]Лист1'!AH15+'[4]Лист1'!AK15+'[4]Лист1'!AL15+'[4]Лист1'!AM15+'[4]Лист1'!AN15+'[4]Лист1'!AO15+'[4]Лист1'!AP15+'[4]Лист1'!AQ15+'[4]Лист1'!AR15</f>
        <v>1180.18489934</v>
      </c>
      <c r="L21" s="140">
        <f>'[4]Лист1'!AS15+'[4]Лист1'!AT15+'[4]Лист1'!AU15+'[4]Лист1'!AZ15+'[4]Лист1'!BA15</f>
        <v>0</v>
      </c>
      <c r="M21" s="141">
        <f>'[4]Лист1'!BB15</f>
        <v>1780.64723714</v>
      </c>
      <c r="N21" s="142">
        <f>'[4]Лист1'!BD15</f>
        <v>898.1327628600002</v>
      </c>
      <c r="O21" s="142">
        <f>'[4]Лист1'!BE15</f>
        <v>-322.77</v>
      </c>
      <c r="P21" s="79"/>
      <c r="Q21" s="79"/>
    </row>
    <row r="22" spans="1:17" ht="13.5" hidden="1" thickBot="1">
      <c r="A22" s="91" t="s">
        <v>53</v>
      </c>
      <c r="B22" s="40">
        <f>'[4]Лист1'!B16</f>
        <v>347</v>
      </c>
      <c r="C22" s="13">
        <f t="shared" si="0"/>
        <v>3001.55</v>
      </c>
      <c r="D22" s="14">
        <f>'[4]Лист1'!D16</f>
        <v>577.73</v>
      </c>
      <c r="E22" s="139">
        <f>'[4]Лист1'!S16</f>
        <v>1563.7</v>
      </c>
      <c r="F22" s="141">
        <f>'[4]Лист1'!T16</f>
        <v>860.12</v>
      </c>
      <c r="G22" s="143">
        <f>'[4]Лист1'!AB16</f>
        <v>1843.1499999999999</v>
      </c>
      <c r="H22" s="141">
        <f>'[4]Лист1'!AC16</f>
        <v>3281</v>
      </c>
      <c r="I22" s="143">
        <f>'[4]Лист1'!AG16</f>
        <v>208.2</v>
      </c>
      <c r="J22" s="139">
        <f>'[4]Лист1'!AI16+'[4]Лист1'!AJ16</f>
        <v>342.9073952499999</v>
      </c>
      <c r="K22" s="139">
        <f>'[4]Лист1'!AH16+'[4]Лист1'!AK16+'[4]Лист1'!AL16+'[4]Лист1'!AM16+'[4]Лист1'!AN16+'[4]Лист1'!AO16+'[4]Лист1'!AP16+'[4]Лист1'!AQ16+'[4]Лист1'!AR16</f>
        <v>1179.93693314</v>
      </c>
      <c r="L22" s="140">
        <f>'[4]Лист1'!AS16+'[4]Лист1'!AT16+'[4]Лист1'!AU16+'[4]Лист1'!AZ16+'[4]Лист1'!BA16</f>
        <v>0</v>
      </c>
      <c r="M22" s="141">
        <f>'[4]Лист1'!BB16</f>
        <v>1789.1286483900003</v>
      </c>
      <c r="N22" s="142">
        <f>'[4]Лист1'!BD16</f>
        <v>1491.8713516099997</v>
      </c>
      <c r="O22" s="142">
        <f>'[4]Лист1'!BE16</f>
        <v>279.4499999999998</v>
      </c>
      <c r="P22" s="79"/>
      <c r="Q22" s="79"/>
    </row>
    <row r="23" spans="1:17" ht="13.5" hidden="1" thickBot="1">
      <c r="A23" s="91" t="s">
        <v>41</v>
      </c>
      <c r="B23" s="40">
        <f>'[4]Лист1'!B17</f>
        <v>347</v>
      </c>
      <c r="C23" s="13">
        <f t="shared" si="0"/>
        <v>3001.55</v>
      </c>
      <c r="D23" s="14">
        <f>'[4]Лист1'!D17</f>
        <v>577.73</v>
      </c>
      <c r="E23" s="139">
        <f>'[4]Лист1'!S17</f>
        <v>1563.7</v>
      </c>
      <c r="F23" s="141">
        <f>'[4]Лист1'!T17</f>
        <v>860.12</v>
      </c>
      <c r="G23" s="143">
        <f>'[4]Лист1'!AB17</f>
        <v>1231.0300000000002</v>
      </c>
      <c r="H23" s="141">
        <f>'[4]Лист1'!AC17</f>
        <v>2668.88</v>
      </c>
      <c r="I23" s="143">
        <f>'[4]Лист1'!AG17</f>
        <v>208.2</v>
      </c>
      <c r="J23" s="139">
        <f>'[4]Лист1'!AI17+'[4]Лист1'!AJ17</f>
        <v>342.84822827999994</v>
      </c>
      <c r="K23" s="139">
        <f>'[4]Лист1'!AH17+'[4]Лист1'!AK17+'[4]Лист1'!AL17+'[4]Лист1'!AM17+'[4]Лист1'!AN17+'[4]Лист1'!AO17+'[4]Лист1'!AP17+'[4]Лист1'!AQ17+'[4]Лист1'!AR17</f>
        <v>1179.8602711239998</v>
      </c>
      <c r="L23" s="140">
        <f>'[4]Лист1'!AS17+'[4]Лист1'!AT17+'[4]Лист1'!AU17+'[4]Лист1'!AZ17+'[4]Лист1'!BA17</f>
        <v>0</v>
      </c>
      <c r="M23" s="141">
        <f>'[4]Лист1'!BB17</f>
        <v>1800.0942594039993</v>
      </c>
      <c r="N23" s="142">
        <f>'[4]Лист1'!BD17</f>
        <v>868.7857405960008</v>
      </c>
      <c r="O23" s="142">
        <f>'[4]Лист1'!BE17</f>
        <v>-332.66999999999985</v>
      </c>
      <c r="P23" s="79"/>
      <c r="Q23" s="79"/>
    </row>
    <row r="24" spans="1:17" ht="13.5" hidden="1" thickBot="1">
      <c r="A24" s="91" t="s">
        <v>42</v>
      </c>
      <c r="B24" s="40">
        <f>'[4]Лист1'!B18</f>
        <v>347</v>
      </c>
      <c r="C24" s="13">
        <f t="shared" si="0"/>
        <v>3001.55</v>
      </c>
      <c r="D24" s="14">
        <f>'[4]Лист1'!D18</f>
        <v>577.73</v>
      </c>
      <c r="E24" s="139">
        <f>'[4]Лист1'!S18</f>
        <v>1563.7</v>
      </c>
      <c r="F24" s="141">
        <f>'[4]Лист1'!T18</f>
        <v>860.12</v>
      </c>
      <c r="G24" s="143">
        <f>'[4]Лист1'!AB18</f>
        <v>1939.5499999999997</v>
      </c>
      <c r="H24" s="141">
        <f>'[4]Лист1'!AC18</f>
        <v>3377.3999999999996</v>
      </c>
      <c r="I24" s="143">
        <f>'[4]Лист1'!AG18</f>
        <v>208.2</v>
      </c>
      <c r="J24" s="139">
        <f>'[4]Лист1'!AI18+'[4]Лист1'!AJ18</f>
        <v>346.81262</v>
      </c>
      <c r="K24" s="139">
        <f>'[4]Лист1'!AH18+'[4]Лист1'!AK18+'[4]Лист1'!AL18+'[4]Лист1'!AM18+'[4]Лист1'!AN18+'[4]Лист1'!AO18+'[4]Лист1'!AP18+'[4]Лист1'!AQ18+'[4]Лист1'!AR18</f>
        <v>1190.0018</v>
      </c>
      <c r="L24" s="140">
        <f>'[4]Лист1'!AS18+'[4]Лист1'!AT18+'[4]Лист1'!AU18+'[4]Лист1'!AZ18+'[4]Лист1'!BA18</f>
        <v>0</v>
      </c>
      <c r="M24" s="141">
        <f>'[4]Лист1'!BB18</f>
        <v>1829.2664200000002</v>
      </c>
      <c r="N24" s="142">
        <f>'[4]Лист1'!BD18</f>
        <v>1548.1335799999995</v>
      </c>
      <c r="O24" s="142">
        <f>'[4]Лист1'!BE18</f>
        <v>375.8499999999997</v>
      </c>
      <c r="P24" s="79"/>
      <c r="Q24" s="79"/>
    </row>
    <row r="25" spans="1:17" ht="13.5" hidden="1" thickBot="1">
      <c r="A25" s="144" t="s">
        <v>43</v>
      </c>
      <c r="B25" s="40">
        <f>'[4]Лист1'!B19</f>
        <v>347</v>
      </c>
      <c r="C25" s="15">
        <f t="shared" si="0"/>
        <v>3001.55</v>
      </c>
      <c r="D25" s="14">
        <f>'[4]Лист1'!D19</f>
        <v>577.73</v>
      </c>
      <c r="E25" s="139">
        <f>'[4]Лист1'!S19</f>
        <v>1563.7</v>
      </c>
      <c r="F25" s="141">
        <f>'[4]Лист1'!T19</f>
        <v>860.12</v>
      </c>
      <c r="G25" s="143">
        <f>'[4]Лист1'!AB19</f>
        <v>1230.9</v>
      </c>
      <c r="H25" s="141">
        <f>'[4]Лист1'!AC19</f>
        <v>2668.75</v>
      </c>
      <c r="I25" s="143">
        <f>'[4]Лист1'!AG19</f>
        <v>208.2</v>
      </c>
      <c r="J25" s="139">
        <f>'[4]Лист1'!AI19+'[4]Лист1'!AJ19</f>
        <v>348.041</v>
      </c>
      <c r="K25" s="139">
        <f>'[4]Лист1'!AH19+'[4]Лист1'!AK19+'[4]Лист1'!AL19+'[4]Лист1'!AM19+'[4]Лист1'!AN19+'[4]Лист1'!AO19+'[4]Лист1'!AP19+'[4]Лист1'!AQ19+'[4]Лист1'!AR19</f>
        <v>1191.3204</v>
      </c>
      <c r="L25" s="140">
        <f>'[4]Лист1'!AS19+'[4]Лист1'!AT19+'[4]Лист1'!AU19+'[4]Лист1'!AZ19+'[4]Лист1'!BA19</f>
        <v>0</v>
      </c>
      <c r="M25" s="141">
        <f>'[4]Лист1'!BB19</f>
        <v>1840.7342</v>
      </c>
      <c r="N25" s="142">
        <f>'[4]Лист1'!BD19</f>
        <v>828.0157999999999</v>
      </c>
      <c r="O25" s="142">
        <f>'[4]Лист1'!BE19</f>
        <v>-332.79999999999995</v>
      </c>
      <c r="P25" s="79"/>
      <c r="Q25" s="79"/>
    </row>
    <row r="26" spans="1:17" s="9" customFormat="1" ht="13.5" hidden="1" thickBot="1">
      <c r="A26" s="16" t="s">
        <v>5</v>
      </c>
      <c r="B26" s="17"/>
      <c r="C26" s="18">
        <f aca="true" t="shared" si="1" ref="C26:O26">SUM(C14:C25)</f>
        <v>33017.049999999996</v>
      </c>
      <c r="D26" s="31">
        <f t="shared" si="1"/>
        <v>5563.254999999999</v>
      </c>
      <c r="E26" s="18">
        <f t="shared" si="1"/>
        <v>16545.510000000002</v>
      </c>
      <c r="F26" s="32">
        <f t="shared" si="1"/>
        <v>9096.060000000001</v>
      </c>
      <c r="G26" s="31">
        <f t="shared" si="1"/>
        <v>16055.549999999997</v>
      </c>
      <c r="H26" s="32">
        <f t="shared" si="1"/>
        <v>30714.864999999998</v>
      </c>
      <c r="I26" s="31">
        <f t="shared" si="1"/>
        <v>2206.92</v>
      </c>
      <c r="J26" s="18">
        <f t="shared" si="1"/>
        <v>3635.6594948300003</v>
      </c>
      <c r="K26" s="18">
        <f t="shared" si="1"/>
        <v>12400.211564704</v>
      </c>
      <c r="L26" s="18">
        <f t="shared" si="1"/>
        <v>1569.4</v>
      </c>
      <c r="M26" s="32">
        <f t="shared" si="1"/>
        <v>20582.551699533997</v>
      </c>
      <c r="N26" s="37">
        <f t="shared" si="1"/>
        <v>10132.313300466</v>
      </c>
      <c r="O26" s="37">
        <f t="shared" si="1"/>
        <v>-489.96000000000004</v>
      </c>
      <c r="P26" s="35"/>
      <c r="Q26" s="35"/>
    </row>
    <row r="27" spans="1:17" ht="13.5" thickBot="1">
      <c r="A27" s="290" t="s">
        <v>85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145"/>
      <c r="P27" s="79"/>
      <c r="Q27" s="79"/>
    </row>
    <row r="28" spans="1:17" s="9" customFormat="1" ht="13.5" hidden="1" thickBot="1">
      <c r="A28" s="39" t="s">
        <v>54</v>
      </c>
      <c r="B28" s="19"/>
      <c r="C28" s="20">
        <f>'2012 полн'!C8</f>
        <v>828923.0989999999</v>
      </c>
      <c r="D28" s="20">
        <f>'2012 полн'!D8</f>
        <v>127148.72982530002</v>
      </c>
      <c r="E28" s="20">
        <f>'2012 полн'!U8</f>
        <v>634930.67</v>
      </c>
      <c r="F28" s="20">
        <f>'2012 полн'!V8</f>
        <v>100452.84</v>
      </c>
      <c r="G28" s="20">
        <f>'2012 полн'!AF8</f>
        <v>559467.88</v>
      </c>
      <c r="H28" s="20">
        <f>'2012 полн'!AG8</f>
        <v>787069.4498253001</v>
      </c>
      <c r="I28" s="20">
        <f>'2012 полн'!AK8</f>
        <v>56645.61600000001</v>
      </c>
      <c r="J28" s="20">
        <f>'2012 полн'!AL8</f>
        <v>18980.938850000006</v>
      </c>
      <c r="K28" s="20">
        <f>'2012 полн'!AM8+'2012 полн'!AO8+'2012 полн'!AP8+'2012 полн'!AT8+'2012 полн'!AX8+21379.32</f>
        <v>440204.14337661606</v>
      </c>
      <c r="L28" s="20">
        <f>'2012 полн'!AU8+'2012 полн'!AV8+'2012 полн'!AW8</f>
        <v>225764.92079999996</v>
      </c>
      <c r="M28" s="20">
        <f>'2012 полн'!BC8</f>
        <v>741595.620626616</v>
      </c>
      <c r="N28" s="20">
        <f>'2012 полн'!BF8</f>
        <v>45473.82919868405</v>
      </c>
      <c r="O28" s="20">
        <f>'2012 полн'!BG8</f>
        <v>-75462.79000000001</v>
      </c>
      <c r="P28" s="36"/>
      <c r="Q28" s="35"/>
    </row>
    <row r="29" spans="1:17" ht="13.5" hidden="1" thickBot="1">
      <c r="A29" s="29" t="s">
        <v>107</v>
      </c>
      <c r="B29" s="14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78"/>
      <c r="N29" s="20"/>
      <c r="O29" s="20"/>
      <c r="P29" s="79"/>
      <c r="Q29" s="79"/>
    </row>
    <row r="30" spans="1:17" ht="12.75" hidden="1">
      <c r="A30" s="147" t="s">
        <v>45</v>
      </c>
      <c r="B30" s="148">
        <f>'2012 полн'!B10</f>
        <v>3549.12</v>
      </c>
      <c r="C30" s="136">
        <f>'2012 полн'!C10</f>
        <v>30344.976000000002</v>
      </c>
      <c r="D30" s="136">
        <f>'2012 полн'!D10</f>
        <v>514.284</v>
      </c>
      <c r="E30" s="136">
        <f>'2012 полн'!U10</f>
        <v>31878.65</v>
      </c>
      <c r="F30" s="136">
        <f>'2012 полн'!V10</f>
        <v>0</v>
      </c>
      <c r="G30" s="136">
        <f>'2012 полн'!AF10</f>
        <v>21285.829999999998</v>
      </c>
      <c r="H30" s="136">
        <f>'2012 полн'!AG10</f>
        <v>21800.113999999998</v>
      </c>
      <c r="I30" s="136">
        <f>'2012 полн'!AK10</f>
        <v>2377.9104</v>
      </c>
      <c r="J30" s="136">
        <f>'2012 полн'!AL10</f>
        <v>709.8240000000001</v>
      </c>
      <c r="K30" s="136">
        <f>'2012 полн'!AM10+'2012 полн'!AN10+'2012 полн'!AO10+'2012 полн'!AP10+'2012 полн'!AQ10+'2012 полн'!AR10+'2012 полн'!AS10+'2012 полн'!AT10+'2012 полн'!AX10</f>
        <v>24640.819199999998</v>
      </c>
      <c r="L30" s="136">
        <f>'2012 полн'!AU10+'2012 полн'!AV10+'2012 полн'!AW10</f>
        <v>6099</v>
      </c>
      <c r="M30" s="136">
        <f>'2012 полн'!BC10</f>
        <v>33827.5536</v>
      </c>
      <c r="N30" s="136">
        <f>'2012 полн'!BF10</f>
        <v>-12027.439600000002</v>
      </c>
      <c r="O30" s="136">
        <f>'2012 полн'!BG10</f>
        <v>-10592.820000000003</v>
      </c>
      <c r="P30" s="79"/>
      <c r="Q30" s="79"/>
    </row>
    <row r="31" spans="1:17" ht="12.75" hidden="1">
      <c r="A31" s="91" t="s">
        <v>46</v>
      </c>
      <c r="B31" s="148">
        <f>'2012 полн'!B11</f>
        <v>3548.12</v>
      </c>
      <c r="C31" s="136">
        <f>'2012 полн'!C11</f>
        <v>30336.426000000003</v>
      </c>
      <c r="D31" s="136">
        <f>'2012 полн'!D11</f>
        <v>514.284</v>
      </c>
      <c r="E31" s="136">
        <f>'2012 полн'!U11</f>
        <v>29762.299999999996</v>
      </c>
      <c r="F31" s="136">
        <f>'2012 полн'!V11</f>
        <v>0</v>
      </c>
      <c r="G31" s="136">
        <f>'2012 полн'!AF11</f>
        <v>24742.309999999998</v>
      </c>
      <c r="H31" s="136">
        <f>'2012 полн'!AG11</f>
        <v>25256.593999999997</v>
      </c>
      <c r="I31" s="136">
        <f>'2012 полн'!AK11</f>
        <v>2377.2404</v>
      </c>
      <c r="J31" s="136">
        <f>'2012 полн'!AL11</f>
        <v>709.624</v>
      </c>
      <c r="K31" s="136">
        <f>'2012 полн'!AM11+'2012 полн'!AN11+'2012 полн'!AO11+'2012 полн'!AP11+'2012 полн'!AQ11+'2012 полн'!AR11+'2012 полн'!AS11+'2012 полн'!AT11+'2012 полн'!AX11</f>
        <v>24916.2992</v>
      </c>
      <c r="L31" s="136">
        <f>'2012 полн'!AU11+'2012 полн'!AV11+'2012 полн'!AW11</f>
        <v>1879</v>
      </c>
      <c r="M31" s="136">
        <f>'2012 полн'!BC11</f>
        <v>29882.163600000003</v>
      </c>
      <c r="N31" s="136">
        <f>'2012 полн'!BF11</f>
        <v>-4625.569600000006</v>
      </c>
      <c r="O31" s="139">
        <f>'2012 полн'!BG11</f>
        <v>-5019.989999999998</v>
      </c>
      <c r="P31" s="79"/>
      <c r="Q31" s="79"/>
    </row>
    <row r="32" spans="1:17" ht="12.75" hidden="1">
      <c r="A32" s="91" t="s">
        <v>47</v>
      </c>
      <c r="B32" s="148">
        <f>'2012 полн'!B12</f>
        <v>3548.12</v>
      </c>
      <c r="C32" s="136">
        <f>'2012 полн'!C12</f>
        <v>30336.426000000003</v>
      </c>
      <c r="D32" s="136">
        <f>'2012 полн'!D12</f>
        <v>514.284</v>
      </c>
      <c r="E32" s="136">
        <f>'2012 полн'!U12</f>
        <v>30853.6</v>
      </c>
      <c r="F32" s="136">
        <f>'2012 полн'!V12</f>
        <v>0</v>
      </c>
      <c r="G32" s="136">
        <f>'2012 полн'!AF12</f>
        <v>35887.82</v>
      </c>
      <c r="H32" s="136">
        <f>'2012 полн'!AG12</f>
        <v>36402.104</v>
      </c>
      <c r="I32" s="136">
        <f>'2012 полн'!AK12</f>
        <v>2377.2404</v>
      </c>
      <c r="J32" s="136">
        <f>'2012 полн'!AL12</f>
        <v>709.624</v>
      </c>
      <c r="K32" s="136">
        <f>'2012 полн'!AM12+'2012 полн'!AN12+'2012 полн'!AO12+'2012 полн'!AP12+'2012 полн'!AQ12+'2012 полн'!AR12+'2012 полн'!AS12+'2012 полн'!AT12+'2012 полн'!AX12</f>
        <v>24543.5092</v>
      </c>
      <c r="L32" s="136">
        <f>'2012 полн'!AU12+'2012 полн'!AV12+'2012 полн'!AW12</f>
        <v>943</v>
      </c>
      <c r="M32" s="136">
        <f>'2012 полн'!BC12</f>
        <v>28573.373600000003</v>
      </c>
      <c r="N32" s="136">
        <f>'2012 полн'!BF12</f>
        <v>7828.730399999997</v>
      </c>
      <c r="O32" s="139">
        <f>'2012 полн'!BG12</f>
        <v>5034.220000000001</v>
      </c>
      <c r="P32" s="79"/>
      <c r="Q32" s="79"/>
    </row>
    <row r="33" spans="1:17" ht="12.75" hidden="1">
      <c r="A33" s="147" t="s">
        <v>48</v>
      </c>
      <c r="B33" s="148">
        <f>'2012 полн'!B13</f>
        <v>3548.12</v>
      </c>
      <c r="C33" s="136">
        <f>'2012 полн'!C13</f>
        <v>30336.426000000003</v>
      </c>
      <c r="D33" s="136">
        <f>'2012 полн'!D13</f>
        <v>514.284</v>
      </c>
      <c r="E33" s="136">
        <f>'2012 полн'!U13</f>
        <v>30843.75</v>
      </c>
      <c r="F33" s="136">
        <f>'2012 полн'!V13</f>
        <v>0</v>
      </c>
      <c r="G33" s="136">
        <f>'2012 полн'!AF13</f>
        <v>29460.28</v>
      </c>
      <c r="H33" s="136">
        <f>'2012 полн'!AG13</f>
        <v>29974.564</v>
      </c>
      <c r="I33" s="136">
        <f>'2012 полн'!AK13</f>
        <v>2377.2404</v>
      </c>
      <c r="J33" s="136">
        <f>'2012 полн'!AL13</f>
        <v>709.624</v>
      </c>
      <c r="K33" s="136">
        <f>'2012 полн'!AM13+'2012 полн'!AN13+'2012 полн'!AO13+'2012 полн'!AP13+'2012 полн'!AQ13+'2012 полн'!AR13+'2012 полн'!AS13+'2012 полн'!AT13+'2012 полн'!AX13</f>
        <v>22733.1212</v>
      </c>
      <c r="L33" s="136">
        <f>'2012 полн'!AU13+'2012 полн'!AV13+'2012 полн'!AW13</f>
        <v>21877</v>
      </c>
      <c r="M33" s="136">
        <f>'2012 полн'!BC13</f>
        <v>47696.9856</v>
      </c>
      <c r="N33" s="136">
        <f>'2012 полн'!BF13</f>
        <v>-17722.4216</v>
      </c>
      <c r="O33" s="136">
        <f>'2012 полн'!BG13</f>
        <v>-1383.4700000000012</v>
      </c>
      <c r="P33" s="79"/>
      <c r="Q33" s="79"/>
    </row>
    <row r="34" spans="1:17" ht="12.75" hidden="1">
      <c r="A34" s="91" t="s">
        <v>49</v>
      </c>
      <c r="B34" s="148">
        <f>'2012 полн'!B14</f>
        <v>3548.12</v>
      </c>
      <c r="C34" s="136">
        <f>'2012 полн'!C14</f>
        <v>30336.426000000003</v>
      </c>
      <c r="D34" s="136">
        <f>'2012 полн'!D14</f>
        <v>514.284</v>
      </c>
      <c r="E34" s="136">
        <f>'2012 полн'!U14</f>
        <v>30818.280000000002</v>
      </c>
      <c r="F34" s="136">
        <f>'2012 полн'!V14</f>
        <v>0</v>
      </c>
      <c r="G34" s="136">
        <f>'2012 полн'!AF14</f>
        <v>33402.54</v>
      </c>
      <c r="H34" s="136">
        <f>'2012 полн'!AG14</f>
        <v>33916.824</v>
      </c>
      <c r="I34" s="136">
        <f>'2012 полн'!AK14</f>
        <v>2377.2404</v>
      </c>
      <c r="J34" s="136">
        <f>'2012 полн'!AL14</f>
        <v>709.624</v>
      </c>
      <c r="K34" s="136">
        <f>'2012 полн'!AM14+'2012 полн'!AN14+'2012 полн'!AO14+'2012 полн'!AP14+'2012 полн'!AQ14+'2012 полн'!AR14+'2012 полн'!AS14+'2012 полн'!AT14+'2012 полн'!AX14</f>
        <v>21124.1212</v>
      </c>
      <c r="L34" s="136">
        <f>'2012 полн'!AU14+'2012 полн'!AV14+'2012 полн'!AW14</f>
        <v>1045</v>
      </c>
      <c r="M34" s="136">
        <f>'2012 полн'!BC14</f>
        <v>25255.985600000004</v>
      </c>
      <c r="N34" s="136">
        <f>'2012 полн'!BF14</f>
        <v>8660.838399999997</v>
      </c>
      <c r="O34" s="139">
        <f>'2012 полн'!BG14</f>
        <v>2584.2599999999984</v>
      </c>
      <c r="P34" s="79"/>
      <c r="Q34" s="79"/>
    </row>
    <row r="35" spans="1:17" ht="12.75" hidden="1">
      <c r="A35" s="91" t="s">
        <v>50</v>
      </c>
      <c r="B35" s="148">
        <f>'2012 полн'!B15</f>
        <v>3548.12</v>
      </c>
      <c r="C35" s="136">
        <f>'2012 полн'!C15</f>
        <v>30336.426000000003</v>
      </c>
      <c r="D35" s="136">
        <f>'2012 полн'!D15</f>
        <v>514.284</v>
      </c>
      <c r="E35" s="136">
        <f>'2012 полн'!U15</f>
        <v>30695.339999999997</v>
      </c>
      <c r="F35" s="136">
        <f>'2012 полн'!V15</f>
        <v>153.60000000000002</v>
      </c>
      <c r="G35" s="136">
        <f>'2012 полн'!AF15</f>
        <v>30267.41</v>
      </c>
      <c r="H35" s="136">
        <f>'2012 полн'!AG15</f>
        <v>30935.294</v>
      </c>
      <c r="I35" s="136">
        <f>'2012 полн'!AK15</f>
        <v>2377.2404</v>
      </c>
      <c r="J35" s="136">
        <f>'2012 полн'!AL15</f>
        <v>709.624</v>
      </c>
      <c r="K35" s="136">
        <f>'2012 полн'!AM15+'2012 полн'!AN15+'2012 полн'!AO15+'2012 полн'!AP15+'2012 полн'!AQ15+'2012 полн'!AR15+'2012 полн'!AS15+'2012 полн'!AT15+'2012 полн'!AX15</f>
        <v>21312.1212</v>
      </c>
      <c r="L35" s="136">
        <f>'2012 полн'!AU15+'2012 полн'!AV15+'2012 полн'!AW15</f>
        <v>5994</v>
      </c>
      <c r="M35" s="136">
        <f>'2012 полн'!BC15</f>
        <v>30392.985600000004</v>
      </c>
      <c r="N35" s="136">
        <f>'2012 полн'!BF15</f>
        <v>542.3083999999981</v>
      </c>
      <c r="O35" s="139">
        <f>'2012 полн'!BG15</f>
        <v>-427.92999999999665</v>
      </c>
      <c r="P35" s="79"/>
      <c r="Q35" s="79"/>
    </row>
    <row r="36" spans="1:15" ht="12.75" hidden="1">
      <c r="A36" s="147" t="s">
        <v>51</v>
      </c>
      <c r="B36" s="148">
        <f>'2012 полн'!B16</f>
        <v>3548.12</v>
      </c>
      <c r="C36" s="136">
        <f>'2012 полн'!C16</f>
        <v>30336.426000000003</v>
      </c>
      <c r="D36" s="136">
        <f>'2012 полн'!D16</f>
        <v>514.284</v>
      </c>
      <c r="E36" s="136">
        <f>'2012 полн'!U16</f>
        <v>30822.21</v>
      </c>
      <c r="F36" s="136">
        <f>'2012 полн'!V16</f>
        <v>153.60000000000002</v>
      </c>
      <c r="G36" s="136">
        <f>'2012 полн'!AF16</f>
        <v>26106.07</v>
      </c>
      <c r="H36" s="136">
        <f>'2012 полн'!AG16</f>
        <v>26773.953999999998</v>
      </c>
      <c r="I36" s="136">
        <f>'2012 полн'!AK16</f>
        <v>2377.2404</v>
      </c>
      <c r="J36" s="136">
        <f>'2012 полн'!AL16</f>
        <v>709.624</v>
      </c>
      <c r="K36" s="136">
        <f>'2012 полн'!AM16+'2012 полн'!AN16+'2012 полн'!AO16+'2012 полн'!AP16+'2012 полн'!AQ16+'2012 полн'!AR16+'2012 полн'!AS16+'2012 полн'!AT16+'2012 полн'!AX16</f>
        <v>20886.1012</v>
      </c>
      <c r="L36" s="136">
        <f>'2012 полн'!AU16+'2012 полн'!AV16+'2012 полн'!AW16</f>
        <v>0</v>
      </c>
      <c r="M36" s="136">
        <f>'2012 полн'!BC16</f>
        <v>23972.965600000003</v>
      </c>
      <c r="N36" s="136">
        <f>'2012 полн'!BF16</f>
        <v>2800.9883999999947</v>
      </c>
      <c r="O36" s="136">
        <f>'2012 полн'!BG16</f>
        <v>-4716.139999999999</v>
      </c>
    </row>
    <row r="37" spans="1:15" ht="12.75" hidden="1">
      <c r="A37" s="91" t="s">
        <v>52</v>
      </c>
      <c r="B37" s="148">
        <f>'2012 полн'!B17</f>
        <v>3548.12</v>
      </c>
      <c r="C37" s="136">
        <f>'2012 полн'!C17</f>
        <v>30336.426000000003</v>
      </c>
      <c r="D37" s="136">
        <f>'2012 полн'!D17</f>
        <v>514.284</v>
      </c>
      <c r="E37" s="136">
        <f>'2012 полн'!U17</f>
        <v>30834.25</v>
      </c>
      <c r="F37" s="136">
        <f>'2012 полн'!V17</f>
        <v>153.60000000000002</v>
      </c>
      <c r="G37" s="136">
        <f>'2012 полн'!AF17</f>
        <v>24789.47</v>
      </c>
      <c r="H37" s="136">
        <f>'2012 полн'!AG17</f>
        <v>25457.354</v>
      </c>
      <c r="I37" s="136">
        <f>'2012 полн'!AK17</f>
        <v>2377.2404</v>
      </c>
      <c r="J37" s="136">
        <f>'2012 полн'!AL17</f>
        <v>709.624</v>
      </c>
      <c r="K37" s="136">
        <f>'2012 полн'!AM17+'2012 полн'!AN17+'2012 полн'!AO17+'2012 полн'!AP17+'2012 полн'!AQ17+'2012 полн'!AR17+'2012 полн'!AS17+'2012 полн'!AT17+'2012 полн'!AX17</f>
        <v>20802.1212</v>
      </c>
      <c r="L37" s="136">
        <f>'2012 полн'!AU17+'2012 полн'!AV17+'2012 полн'!AW17</f>
        <v>2096</v>
      </c>
      <c r="M37" s="136">
        <f>'2012 полн'!BC17</f>
        <v>25984.985600000004</v>
      </c>
      <c r="N37" s="136">
        <f>'2012 полн'!BF17</f>
        <v>-527.6316000000043</v>
      </c>
      <c r="O37" s="139">
        <f>'2012 полн'!BG17</f>
        <v>-6044.779999999999</v>
      </c>
    </row>
    <row r="38" spans="1:15" ht="12.75" hidden="1">
      <c r="A38" s="91" t="s">
        <v>53</v>
      </c>
      <c r="B38" s="148">
        <f>'2012 полн'!B18</f>
        <v>3548.12</v>
      </c>
      <c r="C38" s="136">
        <f>'2012 полн'!C18</f>
        <v>30336.426000000003</v>
      </c>
      <c r="D38" s="136">
        <f>'2012 полн'!D18</f>
        <v>514.284</v>
      </c>
      <c r="E38" s="136">
        <f>'2012 полн'!U18</f>
        <v>30978.59</v>
      </c>
      <c r="F38" s="136">
        <f>'2012 полн'!V18</f>
        <v>0</v>
      </c>
      <c r="G38" s="136">
        <f>'2012 полн'!AF18</f>
        <v>42065.46</v>
      </c>
      <c r="H38" s="136">
        <f>'2012 полн'!AG18</f>
        <v>42579.744</v>
      </c>
      <c r="I38" s="136">
        <f>'2012 полн'!AK18</f>
        <v>2377.2404</v>
      </c>
      <c r="J38" s="136">
        <f>'2012 полн'!AL18</f>
        <v>709.624</v>
      </c>
      <c r="K38" s="136">
        <f>'2012 полн'!AM18+'2012 полн'!AN18+'2012 полн'!AO18+'2012 полн'!AP18+'2012 полн'!AQ18+'2012 полн'!AR18+'2012 полн'!AS18+'2012 полн'!AT18+'2012 полн'!AX18</f>
        <v>21077.1212</v>
      </c>
      <c r="L38" s="136">
        <f>'2012 полн'!AU18+'2012 полн'!AV18+'2012 полн'!AW18</f>
        <v>878</v>
      </c>
      <c r="M38" s="136">
        <f>'2012 полн'!BC18</f>
        <v>25041.985600000004</v>
      </c>
      <c r="N38" s="136">
        <f>'2012 полн'!BF18</f>
        <v>17537.758399999995</v>
      </c>
      <c r="O38" s="139">
        <f>'2012 полн'!BG18</f>
        <v>11086.869999999999</v>
      </c>
    </row>
    <row r="39" spans="1:15" ht="12.75" hidden="1">
      <c r="A39" s="147" t="s">
        <v>41</v>
      </c>
      <c r="B39" s="148">
        <f>'2012 полн'!B19</f>
        <v>3548.12</v>
      </c>
      <c r="C39" s="136">
        <f>'2012 полн'!C19</f>
        <v>30336.426000000003</v>
      </c>
      <c r="D39" s="136">
        <f>'2012 полн'!D19</f>
        <v>514.284</v>
      </c>
      <c r="E39" s="136">
        <f>'2012 полн'!U19</f>
        <v>30671.369999999995</v>
      </c>
      <c r="F39" s="136">
        <f>'2012 полн'!V19</f>
        <v>307.20000000000005</v>
      </c>
      <c r="G39" s="136">
        <f>'2012 полн'!AF19</f>
        <v>27255.35</v>
      </c>
      <c r="H39" s="136">
        <f>'2012 полн'!AG19</f>
        <v>28076.834</v>
      </c>
      <c r="I39" s="136">
        <f>'2012 полн'!AK19</f>
        <v>2377.2404</v>
      </c>
      <c r="J39" s="136">
        <f>'2012 полн'!AL19</f>
        <v>709.624</v>
      </c>
      <c r="K39" s="136">
        <f>'2012 полн'!AM19+'2012 полн'!AN19+'2012 полн'!AO19+'2012 полн'!AP19+'2012 полн'!AQ19+'2012 полн'!AR19+'2012 полн'!AS19+'2012 полн'!AT19+'2012 полн'!AX19</f>
        <v>24918.519200000002</v>
      </c>
      <c r="L39" s="136">
        <f>'2012 полн'!AU19+'2012 полн'!AV19+'2012 полн'!AW19</f>
        <v>1520</v>
      </c>
      <c r="M39" s="136">
        <f>'2012 полн'!BC19</f>
        <v>29525.383600000005</v>
      </c>
      <c r="N39" s="136">
        <f>'2012 полн'!BF19</f>
        <v>-1448.5496000000057</v>
      </c>
      <c r="O39" s="136">
        <f>'2012 полн'!BG19</f>
        <v>-3416.019999999997</v>
      </c>
    </row>
    <row r="40" spans="1:15" ht="12.75" hidden="1">
      <c r="A40" s="91" t="s">
        <v>42</v>
      </c>
      <c r="B40" s="148">
        <f>'2012 полн'!B20</f>
        <v>3548.12</v>
      </c>
      <c r="C40" s="136">
        <f>'2012 полн'!C20</f>
        <v>30336.426000000003</v>
      </c>
      <c r="D40" s="136">
        <f>'2012 полн'!D20</f>
        <v>514.284</v>
      </c>
      <c r="E40" s="136">
        <f>'2012 полн'!U20</f>
        <v>30824.97</v>
      </c>
      <c r="F40" s="136">
        <f>'2012 полн'!V20</f>
        <v>153.60000000000002</v>
      </c>
      <c r="G40" s="136">
        <f>'2012 полн'!AF20</f>
        <v>26819.309999999998</v>
      </c>
      <c r="H40" s="136">
        <f>'2012 полн'!AG20</f>
        <v>27487.193999999996</v>
      </c>
      <c r="I40" s="136">
        <f>'2012 полн'!AK20</f>
        <v>2377.2404</v>
      </c>
      <c r="J40" s="136">
        <f>'2012 полн'!AL20</f>
        <v>709.624</v>
      </c>
      <c r="K40" s="136">
        <f>'2012 полн'!AM20+'2012 полн'!AN20+'2012 полн'!AO20+'2012 полн'!AP20+'2012 полн'!AQ20+'2012 полн'!AR20+'2012 полн'!AS20+'2012 полн'!AT20+'2012 полн'!AX20</f>
        <v>24935.1392</v>
      </c>
      <c r="L40" s="136">
        <f>'2012 полн'!AU20+'2012 полн'!AV20+'2012 полн'!AW20</f>
        <v>7412</v>
      </c>
      <c r="M40" s="136">
        <f>'2012 полн'!BC20</f>
        <v>35434.003600000004</v>
      </c>
      <c r="N40" s="136">
        <f>'2012 полн'!BF20</f>
        <v>-7946.809600000008</v>
      </c>
      <c r="O40" s="139">
        <f>'2012 полн'!BG20</f>
        <v>-4005.6600000000035</v>
      </c>
    </row>
    <row r="41" spans="1:15" ht="13.5" hidden="1" thickBot="1">
      <c r="A41" s="91" t="s">
        <v>43</v>
      </c>
      <c r="B41" s="148">
        <f>'2012 полн'!B21</f>
        <v>3548.12</v>
      </c>
      <c r="C41" s="136">
        <f>'2012 полн'!C21</f>
        <v>30336.426000000003</v>
      </c>
      <c r="D41" s="136">
        <f>'2012 полн'!D21</f>
        <v>514.284</v>
      </c>
      <c r="E41" s="136">
        <f>'2012 полн'!U21</f>
        <v>30824.99</v>
      </c>
      <c r="F41" s="136">
        <f>'2012 полн'!V21</f>
        <v>153.60000000000002</v>
      </c>
      <c r="G41" s="136">
        <f>'2012 полн'!AF21</f>
        <v>36860.78</v>
      </c>
      <c r="H41" s="136">
        <f>'2012 полн'!AG21</f>
        <v>37528.664</v>
      </c>
      <c r="I41" s="136">
        <f>'2012 полн'!AK21</f>
        <v>2377.2404</v>
      </c>
      <c r="J41" s="136">
        <f>'2012 полн'!AL21</f>
        <v>709.624</v>
      </c>
      <c r="K41" s="136">
        <f>'2012 полн'!AM21+'2012 полн'!AN21+'2012 полн'!AO21+'2012 полн'!AP21+'2012 полн'!AQ21+'2012 полн'!AR21+'2012 полн'!AS21+'2012 полн'!AT21+'2012 полн'!AX21</f>
        <v>29261.8592</v>
      </c>
      <c r="L41" s="136">
        <f>'2012 полн'!AU21+'2012 полн'!AV21+'2012 полн'!AW21</f>
        <v>0</v>
      </c>
      <c r="M41" s="136">
        <f>'2012 полн'!BC21</f>
        <v>32348.7236</v>
      </c>
      <c r="N41" s="136">
        <f>'2012 полн'!BF21</f>
        <v>5179.940399999996</v>
      </c>
      <c r="O41" s="139">
        <f>'2012 полн'!BG21</f>
        <v>6035.789999999997</v>
      </c>
    </row>
    <row r="42" spans="1:17" s="9" customFormat="1" ht="13.5" hidden="1" thickBot="1">
      <c r="A42" s="16" t="s">
        <v>5</v>
      </c>
      <c r="B42" s="17"/>
      <c r="C42" s="149">
        <f aca="true" t="shared" si="2" ref="C42:N42">SUM(C30:C41)</f>
        <v>364045.66199999995</v>
      </c>
      <c r="D42" s="149">
        <f t="shared" si="2"/>
        <v>6171.4079999999985</v>
      </c>
      <c r="E42" s="149">
        <f t="shared" si="2"/>
        <v>369808.29999999993</v>
      </c>
      <c r="F42" s="149">
        <f t="shared" si="2"/>
        <v>1075.2000000000003</v>
      </c>
      <c r="G42" s="149">
        <f t="shared" si="2"/>
        <v>358942.63</v>
      </c>
      <c r="H42" s="149">
        <f t="shared" si="2"/>
        <v>366189.23799999995</v>
      </c>
      <c r="I42" s="149">
        <f t="shared" si="2"/>
        <v>28527.554799999994</v>
      </c>
      <c r="J42" s="149">
        <f t="shared" si="2"/>
        <v>8515.687999999998</v>
      </c>
      <c r="K42" s="149">
        <f t="shared" si="2"/>
        <v>281150.8524</v>
      </c>
      <c r="L42" s="149">
        <f t="shared" si="2"/>
        <v>49743</v>
      </c>
      <c r="M42" s="149">
        <f t="shared" si="2"/>
        <v>367937.0952000001</v>
      </c>
      <c r="N42" s="149">
        <f t="shared" si="2"/>
        <v>-1747.8572000000495</v>
      </c>
      <c r="O42" s="149">
        <f>SUM(O30:O41)</f>
        <v>-10865.670000000002</v>
      </c>
      <c r="P42" s="35"/>
      <c r="Q42" s="35"/>
    </row>
    <row r="43" spans="1:17" ht="13.5" hidden="1" thickBot="1">
      <c r="A43" s="290" t="s">
        <v>70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72"/>
      <c r="N43" s="272"/>
      <c r="O43" s="150"/>
      <c r="P43" s="79"/>
      <c r="Q43" s="79"/>
    </row>
    <row r="44" spans="1:17" s="9" customFormat="1" ht="13.5" thickBot="1">
      <c r="A44" s="39" t="s">
        <v>54</v>
      </c>
      <c r="B44" s="19"/>
      <c r="C44" s="20">
        <f aca="true" t="shared" si="3" ref="C44:N44">C42+C28</f>
        <v>1192968.761</v>
      </c>
      <c r="D44" s="20">
        <f t="shared" si="3"/>
        <v>133320.13782530001</v>
      </c>
      <c r="E44" s="20">
        <f t="shared" si="3"/>
        <v>1004738.97</v>
      </c>
      <c r="F44" s="20">
        <f t="shared" si="3"/>
        <v>101528.04</v>
      </c>
      <c r="G44" s="20">
        <f t="shared" si="3"/>
        <v>918410.51</v>
      </c>
      <c r="H44" s="20">
        <f t="shared" si="3"/>
        <v>1153258.6878253</v>
      </c>
      <c r="I44" s="20">
        <f t="shared" si="3"/>
        <v>85173.1708</v>
      </c>
      <c r="J44" s="20">
        <f t="shared" si="3"/>
        <v>27496.626850000004</v>
      </c>
      <c r="K44" s="20">
        <f t="shared" si="3"/>
        <v>721354.995776616</v>
      </c>
      <c r="L44" s="20">
        <f t="shared" si="3"/>
        <v>275507.92079999996</v>
      </c>
      <c r="M44" s="20">
        <f t="shared" si="3"/>
        <v>1109532.7158266162</v>
      </c>
      <c r="N44" s="20">
        <f t="shared" si="3"/>
        <v>43725.971998684</v>
      </c>
      <c r="O44" s="20">
        <f>O42+O28</f>
        <v>-86328.46</v>
      </c>
      <c r="P44" s="36"/>
      <c r="Q44" s="35"/>
    </row>
    <row r="45" spans="1:17" ht="13.5" thickBot="1">
      <c r="A45" s="29" t="s">
        <v>118</v>
      </c>
      <c r="B45" s="14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78"/>
      <c r="N45" s="20"/>
      <c r="O45" s="20"/>
      <c r="P45" s="79"/>
      <c r="Q45" s="79"/>
    </row>
    <row r="46" spans="1:17" ht="12.75">
      <c r="A46" s="147" t="s">
        <v>45</v>
      </c>
      <c r="B46" s="148">
        <f>'2012 полн'!B26</f>
        <v>3548.12</v>
      </c>
      <c r="C46" s="136">
        <f>'2012 полн'!C26</f>
        <v>30336.426000000003</v>
      </c>
      <c r="D46" s="136">
        <f>'2012 полн'!D26</f>
        <v>397.04112</v>
      </c>
      <c r="E46" s="136">
        <f>'2012 полн'!U26</f>
        <v>30887.889999999996</v>
      </c>
      <c r="F46" s="136">
        <f>'2012 полн'!V26</f>
        <v>153.60000000000002</v>
      </c>
      <c r="G46" s="136">
        <f>'2012 полн'!AF26</f>
        <v>26240.43</v>
      </c>
      <c r="H46" s="136">
        <f>'2012 полн'!AG26</f>
        <v>26791.07112</v>
      </c>
      <c r="I46" s="136">
        <f>'2012 полн'!AK26</f>
        <v>2377.2404</v>
      </c>
      <c r="J46" s="136">
        <f>'2012 полн'!AL26</f>
        <v>709.624</v>
      </c>
      <c r="K46" s="136">
        <f>'2012 полн'!AM26+'2012 полн'!AN26+'2012 полн'!AO26+'2012 полн'!AP26+'2012 полн'!AQ26+'2012 полн'!AR26+'2012 полн'!AS26+'2012 полн'!AT26</f>
        <v>24882.4592</v>
      </c>
      <c r="L46" s="136">
        <f>'2012 полн'!AU26+'2012 полн'!AV26+'2012 полн'!AW26+'2012 полн'!AX26</f>
        <v>0</v>
      </c>
      <c r="M46" s="136">
        <f>'2012 полн'!BC26</f>
        <v>27969.323600000003</v>
      </c>
      <c r="N46" s="136">
        <f>'2012 полн'!BF26</f>
        <v>-1178.2524800000028</v>
      </c>
      <c r="O46" s="136">
        <f>'2012 полн'!BG26</f>
        <v>-4647.4599999999955</v>
      </c>
      <c r="P46" s="79"/>
      <c r="Q46" s="79"/>
    </row>
    <row r="47" spans="1:17" ht="12.75">
      <c r="A47" s="91" t="s">
        <v>46</v>
      </c>
      <c r="B47" s="148">
        <f>'2012 полн'!B27</f>
        <v>3548.12</v>
      </c>
      <c r="C47" s="136">
        <f>'2012 полн'!C27</f>
        <v>30336.426000000003</v>
      </c>
      <c r="D47" s="136">
        <f>'2012 полн'!D27</f>
        <v>397.04112</v>
      </c>
      <c r="E47" s="136">
        <f>'2012 полн'!U27</f>
        <v>30865.460000000003</v>
      </c>
      <c r="F47" s="136">
        <f>'2012 полн'!V27</f>
        <v>153.60000000000002</v>
      </c>
      <c r="G47" s="136">
        <f>'2012 полн'!AF27</f>
        <v>27970.940000000002</v>
      </c>
      <c r="H47" s="136">
        <f>'2012 полн'!AG27</f>
        <v>28521.581120000003</v>
      </c>
      <c r="I47" s="136">
        <f>'2012 полн'!AK27</f>
        <v>2377.2404</v>
      </c>
      <c r="J47" s="136">
        <f>'2012 полн'!AL27</f>
        <v>709.624</v>
      </c>
      <c r="K47" s="136">
        <f>'2012 полн'!AM27+'2012 полн'!AN27+'2012 полн'!AO27+'2012 полн'!AP27+'2012 полн'!AQ27+'2012 полн'!AR27+'2012 полн'!AS27+'2012 полн'!AT27</f>
        <v>24882.4592</v>
      </c>
      <c r="L47" s="136">
        <f>'2012 полн'!AU27+'2012 полн'!AV27+'2012 полн'!AW27+'2012 полн'!AX27</f>
        <v>0</v>
      </c>
      <c r="M47" s="136">
        <f>'2012 полн'!BC27</f>
        <v>27969.323600000003</v>
      </c>
      <c r="N47" s="136">
        <f>'2012 полн'!BF27</f>
        <v>552.2575199999992</v>
      </c>
      <c r="O47" s="139">
        <f>'2012 полн'!BG27</f>
        <v>-2894.5200000000004</v>
      </c>
      <c r="P47" s="79"/>
      <c r="Q47" s="79"/>
    </row>
    <row r="48" spans="1:17" ht="12.75">
      <c r="A48" s="91" t="s">
        <v>47</v>
      </c>
      <c r="B48" s="148">
        <f>'2012 полн'!B28</f>
        <v>3548.12</v>
      </c>
      <c r="C48" s="136">
        <f>'2012 полн'!C28</f>
        <v>30336.426000000003</v>
      </c>
      <c r="D48" s="136">
        <f>'2012 полн'!D28</f>
        <v>397.04112</v>
      </c>
      <c r="E48" s="136">
        <f>'2012 полн'!U28</f>
        <v>30880.739999999998</v>
      </c>
      <c r="F48" s="136">
        <f>'2012 полн'!V28</f>
        <v>153.60000000000002</v>
      </c>
      <c r="G48" s="136">
        <f>'2012 полн'!AF28</f>
        <v>27089.69</v>
      </c>
      <c r="H48" s="136">
        <f>'2012 полн'!AG28</f>
        <v>27640.33112</v>
      </c>
      <c r="I48" s="136">
        <f>'2012 полн'!AK28</f>
        <v>2377.2404</v>
      </c>
      <c r="J48" s="136">
        <f>'2012 полн'!AL28</f>
        <v>709.624</v>
      </c>
      <c r="K48" s="136">
        <f>'2012 полн'!AM28+'2012 полн'!AN28+'2012 полн'!AO28+'2012 полн'!AP28+'2012 полн'!AQ28+'2012 полн'!AR28+'2012 полн'!AS28+'2012 полн'!AT28</f>
        <v>24882.4592</v>
      </c>
      <c r="L48" s="136">
        <f>'2012 полн'!AU28+'2012 полн'!AV28+'2012 полн'!AW28+'2012 полн'!AX28</f>
        <v>1834.79</v>
      </c>
      <c r="M48" s="136">
        <f>'2012 полн'!BC28</f>
        <v>29804.113600000004</v>
      </c>
      <c r="N48" s="136">
        <f>'2012 полн'!BF28</f>
        <v>-2163.7824800000053</v>
      </c>
      <c r="O48" s="139">
        <f>'2012 полн'!BG28</f>
        <v>-3791.0499999999993</v>
      </c>
      <c r="P48" s="79"/>
      <c r="Q48" s="79"/>
    </row>
    <row r="49" spans="1:17" ht="12.75">
      <c r="A49" s="147" t="s">
        <v>48</v>
      </c>
      <c r="B49" s="148">
        <f>'2012 полн'!B29</f>
        <v>3548.12</v>
      </c>
      <c r="C49" s="136">
        <f>'2012 полн'!C29</f>
        <v>30336.426000000003</v>
      </c>
      <c r="D49" s="136">
        <f>'2012 полн'!D29</f>
        <v>397.04112</v>
      </c>
      <c r="E49" s="136">
        <f>'2012 полн'!U29</f>
        <v>30903.77</v>
      </c>
      <c r="F49" s="136">
        <f>'2012 полн'!V29</f>
        <v>153.60000000000002</v>
      </c>
      <c r="G49" s="136">
        <f>'2012 полн'!AF29</f>
        <v>27970.760000000002</v>
      </c>
      <c r="H49" s="136">
        <f>'2012 полн'!AG29</f>
        <v>28521.401120000002</v>
      </c>
      <c r="I49" s="136">
        <f>'2012 полн'!AK29</f>
        <v>2377.2404</v>
      </c>
      <c r="J49" s="136">
        <f>'2012 полн'!AL29</f>
        <v>709.624</v>
      </c>
      <c r="K49" s="136">
        <f>'2012 полн'!AM29+'2012 полн'!AN29+'2012 полн'!AO29+'2012 полн'!AP29+'2012 полн'!AQ29+'2012 полн'!AR29+'2012 полн'!AS29+'2012 полн'!AT29</f>
        <v>20802.1212</v>
      </c>
      <c r="L49" s="136">
        <f>'2012 полн'!AU29+'2012 полн'!AV29+'2012 полн'!AW29+'2012 полн'!AX29</f>
        <v>304</v>
      </c>
      <c r="M49" s="136">
        <f>'2012 полн'!BC29</f>
        <v>24192.985600000004</v>
      </c>
      <c r="N49" s="136">
        <f>'2012 полн'!BF29</f>
        <v>4328.415519999999</v>
      </c>
      <c r="O49" s="136">
        <f>'2012 полн'!BG29</f>
        <v>-2933.0099999999984</v>
      </c>
      <c r="P49" s="79"/>
      <c r="Q49" s="79"/>
    </row>
    <row r="50" spans="1:17" ht="12.75">
      <c r="A50" s="91" t="s">
        <v>49</v>
      </c>
      <c r="B50" s="148">
        <f>'2012 полн'!B30</f>
        <v>3548.12</v>
      </c>
      <c r="C50" s="136">
        <f>'2012 полн'!C30</f>
        <v>30336.426000000003</v>
      </c>
      <c r="D50" s="136">
        <f>'2012 полн'!D30</f>
        <v>397.04112</v>
      </c>
      <c r="E50" s="136">
        <f>'2012 полн'!U30</f>
        <v>30897.38</v>
      </c>
      <c r="F50" s="136">
        <f>'2012 полн'!V30</f>
        <v>153.60000000000002</v>
      </c>
      <c r="G50" s="136">
        <f>'2012 полн'!AF30</f>
        <v>27328.769999999997</v>
      </c>
      <c r="H50" s="136">
        <f>'2012 полн'!AG30</f>
        <v>27879.411119999997</v>
      </c>
      <c r="I50" s="136">
        <f>'2012 полн'!AK30</f>
        <v>2377.2404</v>
      </c>
      <c r="J50" s="136">
        <f>'2012 полн'!AL30</f>
        <v>709.624</v>
      </c>
      <c r="K50" s="136">
        <f>'2012 полн'!AM30+'2012 полн'!AN30+'2012 полн'!AO30+'2012 полн'!AP30+'2012 полн'!AQ30+'2012 полн'!AR30+'2012 полн'!AS30+'2012 полн'!AT30</f>
        <v>20802.1212</v>
      </c>
      <c r="L50" s="136">
        <f>'2012 полн'!AU30+'2012 полн'!AV30+'2012 полн'!AW30+'2012 полн'!AX30</f>
        <v>1644.1</v>
      </c>
      <c r="M50" s="136">
        <f>'2012 полн'!BC30</f>
        <v>25533.085600000002</v>
      </c>
      <c r="N50" s="136">
        <f>'2012 полн'!BF30</f>
        <v>2346.325519999995</v>
      </c>
      <c r="O50" s="139">
        <f>'2012 полн'!BG30</f>
        <v>-3568.610000000004</v>
      </c>
      <c r="P50" s="79"/>
      <c r="Q50" s="79"/>
    </row>
    <row r="51" spans="1:17" ht="12.75">
      <c r="A51" s="91" t="s">
        <v>50</v>
      </c>
      <c r="B51" s="148">
        <f>'2012 полн'!B31</f>
        <v>3548.12</v>
      </c>
      <c r="C51" s="136">
        <f>'2012 полн'!C31</f>
        <v>30336.426000000003</v>
      </c>
      <c r="D51" s="136">
        <f>'2012 полн'!D31</f>
        <v>402.490704</v>
      </c>
      <c r="E51" s="136">
        <f>'2012 полн'!U31</f>
        <v>30917.079999999998</v>
      </c>
      <c r="F51" s="136">
        <f>'2012 полн'!V31</f>
        <v>153.60000000000002</v>
      </c>
      <c r="G51" s="136">
        <f>'2012 полн'!AF31</f>
        <v>30390.120000000003</v>
      </c>
      <c r="H51" s="136">
        <f>'2012 полн'!AG31</f>
        <v>30946.210704</v>
      </c>
      <c r="I51" s="136">
        <f>'2012 полн'!AK31</f>
        <v>2377.2404</v>
      </c>
      <c r="J51" s="136">
        <f>'2012 полн'!AL31</f>
        <v>709.624</v>
      </c>
      <c r="K51" s="136">
        <f>'2012 полн'!AM31+'2012 полн'!AN31+'2012 полн'!AO31+'2012 полн'!AP31+'2012 полн'!AQ31+'2012 полн'!AR31+'2012 полн'!AS31+'2012 полн'!AT31</f>
        <v>20802.1212</v>
      </c>
      <c r="L51" s="136">
        <f>'2012 полн'!AU31+'2012 полн'!AV31+'2012 полн'!AW31+'2012 полн'!AX31</f>
        <v>15247.22</v>
      </c>
      <c r="M51" s="136">
        <f>'2012 полн'!BC31</f>
        <v>39136.2056</v>
      </c>
      <c r="N51" s="136">
        <f>'2012 полн'!BF31</f>
        <v>-8114.994896</v>
      </c>
      <c r="O51" s="139">
        <f>'2012 полн'!BG31</f>
        <v>-526.9599999999955</v>
      </c>
      <c r="P51" s="79"/>
      <c r="Q51" s="79"/>
    </row>
    <row r="52" spans="1:15" ht="12.75">
      <c r="A52" s="147" t="s">
        <v>51</v>
      </c>
      <c r="B52" s="148">
        <f>'2012 полн'!B32</f>
        <v>3548.12</v>
      </c>
      <c r="C52" s="136">
        <f>'2012 полн'!C32</f>
        <v>33742.6212</v>
      </c>
      <c r="D52" s="136">
        <f>'2012 полн'!D32</f>
        <v>531.33444</v>
      </c>
      <c r="E52" s="136">
        <f>'2012 полн'!U32</f>
        <v>34375.03</v>
      </c>
      <c r="F52" s="136">
        <f>'2012 полн'!V32</f>
        <v>190.2</v>
      </c>
      <c r="G52" s="136">
        <f>'2012 полн'!AF32</f>
        <v>26972.379999999997</v>
      </c>
      <c r="H52" s="136">
        <f>'2012 полн'!AG32</f>
        <v>27693.914439999997</v>
      </c>
      <c r="I52" s="136">
        <f>'2012 полн'!AK32</f>
        <v>2661.09</v>
      </c>
      <c r="J52" s="136">
        <f>'2012 полн'!AL32</f>
        <v>709.624</v>
      </c>
      <c r="K52" s="136">
        <f>'2012 полн'!AM32+'2012 полн'!AN32+'2012 полн'!AO32+'2012 полн'!AP32+'2012 полн'!AQ32+'2012 полн'!AR32+'2012 полн'!AS32+'2012 полн'!AT32</f>
        <v>20802.1212</v>
      </c>
      <c r="L52" s="136">
        <f>'2012 полн'!AU32+'2012 полн'!AV32+'2012 полн'!AW32+'2012 полн'!AX32</f>
        <v>38505</v>
      </c>
      <c r="M52" s="136">
        <f>'2012 полн'!BC32</f>
        <v>62677.8352</v>
      </c>
      <c r="N52" s="136">
        <f>'2012 полн'!BF32</f>
        <v>-34908.92076000001</v>
      </c>
      <c r="O52" s="136">
        <f>'2012 полн'!BG32</f>
        <v>-7402.6500000000015</v>
      </c>
    </row>
    <row r="53" spans="1:15" ht="12.75">
      <c r="A53" s="91" t="s">
        <v>52</v>
      </c>
      <c r="B53" s="148">
        <f>'2012 полн'!B33</f>
        <v>3548.12</v>
      </c>
      <c r="C53" s="136">
        <f>'2012 полн'!C33</f>
        <v>33742.6212</v>
      </c>
      <c r="D53" s="136">
        <f>'2012 полн'!D33</f>
        <v>0</v>
      </c>
      <c r="E53" s="136">
        <f>'2012 полн'!U33</f>
        <v>34419.56</v>
      </c>
      <c r="F53" s="136">
        <f>'2012 полн'!V33</f>
        <v>190.2</v>
      </c>
      <c r="G53" s="136">
        <f>'2012 полн'!AF33</f>
        <v>28724.35</v>
      </c>
      <c r="H53" s="136">
        <f>'2012 полн'!AG33</f>
        <v>28914.55</v>
      </c>
      <c r="I53" s="136">
        <f>'2012 полн'!AK33</f>
        <v>2661.09</v>
      </c>
      <c r="J53" s="136">
        <f>'2012 полн'!AL33</f>
        <v>709.624</v>
      </c>
      <c r="K53" s="136">
        <f>'2012 полн'!AM33+'2012 полн'!AN33+'2012 полн'!AO33+'2012 полн'!AP33+'2012 полн'!AQ33+'2012 полн'!AR33+'2012 полн'!AS33+'2012 полн'!AT33</f>
        <v>20802.1212</v>
      </c>
      <c r="L53" s="136">
        <f>'2012 полн'!AU33+'2012 полн'!AV33+'2012 полн'!AW33+'2012 полн'!AX33</f>
        <v>29579</v>
      </c>
      <c r="M53" s="136">
        <f>'2012 полн'!BC33</f>
        <v>53751.8352</v>
      </c>
      <c r="N53" s="136">
        <f>'2012 полн'!BF33</f>
        <v>-24762.285200000002</v>
      </c>
      <c r="O53" s="139">
        <f>'2012 полн'!BG33</f>
        <v>-5695.209999999999</v>
      </c>
    </row>
    <row r="54" spans="1:15" ht="12.75">
      <c r="A54" s="91" t="s">
        <v>53</v>
      </c>
      <c r="B54" s="148">
        <f>'2012 полн'!B34</f>
        <v>3548.12</v>
      </c>
      <c r="C54" s="136">
        <f>'2012 полн'!C34</f>
        <v>33742.6212</v>
      </c>
      <c r="D54" s="136">
        <f>'2012 полн'!D34</f>
        <v>0</v>
      </c>
      <c r="E54" s="136">
        <f>'2012 полн'!U34</f>
        <v>34447.85</v>
      </c>
      <c r="F54" s="136">
        <f>'2012 полн'!V34</f>
        <v>190.2</v>
      </c>
      <c r="G54" s="136">
        <f>'2012 полн'!AF34</f>
        <v>23110.559999999998</v>
      </c>
      <c r="H54" s="136">
        <f>'2012 полн'!AG34</f>
        <v>23300.76</v>
      </c>
      <c r="I54" s="136">
        <f>'2012 полн'!AK34</f>
        <v>2661.09</v>
      </c>
      <c r="J54" s="136">
        <f>'2012 полн'!AL34</f>
        <v>709.624</v>
      </c>
      <c r="K54" s="136">
        <f>'2012 полн'!AM34+'2012 полн'!AN34+'2012 полн'!AO34+'2012 полн'!AP34+'2012 полн'!AQ34+'2012 полн'!AR34+'2012 полн'!AS34+'2012 полн'!AT34</f>
        <v>17576.880119999998</v>
      </c>
      <c r="L54" s="136">
        <f>'2012 полн'!AU34+'2012 полн'!AV34+'2012 полн'!AW34+'2012 полн'!AX34</f>
        <v>4272</v>
      </c>
      <c r="M54" s="136">
        <f>'2012 полн'!BC34</f>
        <v>25219.59412</v>
      </c>
      <c r="N54" s="136">
        <f>'2012 полн'!BF34</f>
        <v>-1843.8341200000032</v>
      </c>
      <c r="O54" s="139">
        <f>'2012 полн'!BG34</f>
        <v>-11337.29</v>
      </c>
    </row>
    <row r="55" spans="1:15" ht="12.75">
      <c r="A55" s="147" t="s">
        <v>41</v>
      </c>
      <c r="B55" s="148">
        <f>'2012 полн'!B35</f>
        <v>3548.12</v>
      </c>
      <c r="C55" s="136">
        <f>'2012 полн'!C35</f>
        <v>33742.6212</v>
      </c>
      <c r="D55" s="136">
        <f>'2012 полн'!D35</f>
        <v>0</v>
      </c>
      <c r="E55" s="136">
        <f>'2012 полн'!U35</f>
        <v>34482.81</v>
      </c>
      <c r="F55" s="136">
        <f>'2012 полн'!V35</f>
        <v>190.2</v>
      </c>
      <c r="G55" s="136">
        <f>'2012 полн'!AF35</f>
        <v>35974.09</v>
      </c>
      <c r="H55" s="136">
        <f>'2012 полн'!AG35</f>
        <v>36164.28999999999</v>
      </c>
      <c r="I55" s="136">
        <f>'2012 полн'!AK35</f>
        <v>2661.09</v>
      </c>
      <c r="J55" s="136">
        <f>'2012 полн'!AL35</f>
        <v>709.624</v>
      </c>
      <c r="K55" s="136">
        <f>'2012 полн'!AM35+'2012 полн'!AN35+'2012 полн'!AO35+'2012 полн'!AP35+'2012 полн'!AQ35+'2012 полн'!AR35+'2012 полн'!AS35+'2012 полн'!AT35</f>
        <v>24882.4592</v>
      </c>
      <c r="L55" s="136">
        <f>'2012 полн'!AU35+'2012 полн'!AV35+'2012 полн'!AW35+'2012 полн'!AX35</f>
        <v>1001.6669999999999</v>
      </c>
      <c r="M55" s="136">
        <f>'2012 полн'!BC35</f>
        <v>29254.840200000002</v>
      </c>
      <c r="N55" s="136">
        <f>'2012 полн'!BF35</f>
        <v>6984.449799999991</v>
      </c>
      <c r="O55" s="136">
        <f>'2012 полн'!BG35</f>
        <v>1491.2799999999988</v>
      </c>
    </row>
    <row r="56" spans="1:15" ht="12.75">
      <c r="A56" s="91" t="s">
        <v>42</v>
      </c>
      <c r="B56" s="148">
        <f>'2012 полн'!B36</f>
        <v>3547.92</v>
      </c>
      <c r="C56" s="136">
        <f>'2012 полн'!C36</f>
        <v>33740.7192</v>
      </c>
      <c r="D56" s="136">
        <f>'2012 полн'!D36</f>
        <v>0</v>
      </c>
      <c r="E56" s="136">
        <f>'2012 полн'!U36</f>
        <v>34432.39</v>
      </c>
      <c r="F56" s="136">
        <f>'2012 полн'!V36</f>
        <v>190.2</v>
      </c>
      <c r="G56" s="136">
        <f>'2012 полн'!AF36</f>
        <v>30560.54</v>
      </c>
      <c r="H56" s="136">
        <f>'2012 полн'!AG36</f>
        <v>30750.74</v>
      </c>
      <c r="I56" s="136">
        <f>'2012 полн'!AK36</f>
        <v>2660.94</v>
      </c>
      <c r="J56" s="136">
        <f>'2012 полн'!AL36</f>
        <v>709.5840000000001</v>
      </c>
      <c r="K56" s="136">
        <f>'2012 полн'!AM36+'2012 полн'!AN36+'2012 полн'!AO36+'2012 полн'!AP36+'2012 полн'!AQ36+'2012 полн'!AR36+'2012 полн'!AS36+'2012 полн'!AT36</f>
        <v>24881.0772</v>
      </c>
      <c r="L56" s="136">
        <f>'2012 полн'!AU36+'2012 полн'!AV36+'2012 полн'!AW36+'2012 полн'!AX36</f>
        <v>0</v>
      </c>
      <c r="M56" s="136">
        <f>'2012 полн'!BC36</f>
        <v>28251.601199999997</v>
      </c>
      <c r="N56" s="136">
        <f>'2012 полн'!BF36</f>
        <v>2574.1388000000043</v>
      </c>
      <c r="O56" s="139">
        <f>'2012 полн'!BG36</f>
        <v>-3871.8499999999985</v>
      </c>
    </row>
    <row r="57" spans="1:15" ht="13.5" thickBot="1">
      <c r="A57" s="91" t="s">
        <v>43</v>
      </c>
      <c r="B57" s="148">
        <f>'2012 полн'!B37</f>
        <v>3547.92</v>
      </c>
      <c r="C57" s="136">
        <f>'2012 полн'!C37</f>
        <v>33740.7192</v>
      </c>
      <c r="D57" s="136">
        <f>'2012 полн'!D37</f>
        <v>0</v>
      </c>
      <c r="E57" s="136">
        <f>'2012 полн'!U37</f>
        <v>34437.11</v>
      </c>
      <c r="F57" s="136">
        <f>'2012 полн'!V37</f>
        <v>190.2</v>
      </c>
      <c r="G57" s="136">
        <f>'2012 полн'!AF37</f>
        <v>37665.6</v>
      </c>
      <c r="H57" s="136">
        <f>'2012 полн'!AG37</f>
        <v>37855.799999999996</v>
      </c>
      <c r="I57" s="136">
        <f>'2012 полн'!AK37</f>
        <v>2660.94</v>
      </c>
      <c r="J57" s="136">
        <f>'2012 полн'!AL37</f>
        <v>709.5840000000001</v>
      </c>
      <c r="K57" s="136">
        <f>'2012 полн'!AM37+'2012 полн'!AN37+'2012 полн'!AO37+'2012 полн'!AP37+'2012 полн'!AQ37+'2012 полн'!AR37+'2012 полн'!AS37+'2012 полн'!AT37</f>
        <v>24881.0772</v>
      </c>
      <c r="L57" s="136">
        <f>'2012 полн'!AU37+'2012 полн'!AV37+'2012 полн'!AW37+'2012 полн'!AX37</f>
        <v>2707</v>
      </c>
      <c r="M57" s="136">
        <f>'2012 полн'!BC37</f>
        <v>30958.601199999997</v>
      </c>
      <c r="N57" s="136">
        <f>'2012 полн'!BF37</f>
        <v>6972.198799999998</v>
      </c>
      <c r="O57" s="139">
        <f>'2012 полн'!BG37</f>
        <v>3228.489999999998</v>
      </c>
    </row>
    <row r="58" spans="1:17" s="9" customFormat="1" ht="13.5" thickBot="1">
      <c r="A58" s="16" t="s">
        <v>5</v>
      </c>
      <c r="B58" s="17"/>
      <c r="C58" s="149">
        <f aca="true" t="shared" si="4" ref="C58:N58">SUM(C46:C57)</f>
        <v>384470.4792</v>
      </c>
      <c r="D58" s="149">
        <f t="shared" si="4"/>
        <v>2919.0307439999997</v>
      </c>
      <c r="E58" s="149">
        <f t="shared" si="4"/>
        <v>391947.06999999995</v>
      </c>
      <c r="F58" s="149">
        <f t="shared" si="4"/>
        <v>2062.8</v>
      </c>
      <c r="G58" s="149">
        <f t="shared" si="4"/>
        <v>349998.2299999999</v>
      </c>
      <c r="H58" s="149">
        <f t="shared" si="4"/>
        <v>354980.06074399996</v>
      </c>
      <c r="I58" s="149">
        <f t="shared" si="4"/>
        <v>30229.6824</v>
      </c>
      <c r="J58" s="149">
        <f t="shared" si="4"/>
        <v>8515.408</v>
      </c>
      <c r="K58" s="149">
        <f t="shared" si="4"/>
        <v>270879.47731999995</v>
      </c>
      <c r="L58" s="149">
        <f t="shared" si="4"/>
        <v>95094.777</v>
      </c>
      <c r="M58" s="149">
        <f t="shared" si="4"/>
        <v>404719.34472</v>
      </c>
      <c r="N58" s="149">
        <f t="shared" si="4"/>
        <v>-49214.283976000035</v>
      </c>
      <c r="O58" s="149">
        <f>SUM(O46:O57)</f>
        <v>-41948.84</v>
      </c>
      <c r="P58" s="35"/>
      <c r="Q58" s="35"/>
    </row>
    <row r="59" spans="1:17" ht="13.5" thickBot="1">
      <c r="A59" s="290" t="s">
        <v>70</v>
      </c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72"/>
      <c r="N59" s="272"/>
      <c r="O59" s="150"/>
      <c r="P59" s="79"/>
      <c r="Q59" s="79"/>
    </row>
    <row r="60" spans="1:17" s="9" customFormat="1" ht="13.5" thickBot="1">
      <c r="A60" s="39" t="s">
        <v>54</v>
      </c>
      <c r="B60" s="19"/>
      <c r="C60" s="20">
        <f aca="true" t="shared" si="5" ref="C60:N60">C58+C44</f>
        <v>1577439.2402</v>
      </c>
      <c r="D60" s="20">
        <f t="shared" si="5"/>
        <v>136239.1685693</v>
      </c>
      <c r="E60" s="20">
        <f t="shared" si="5"/>
        <v>1396686.04</v>
      </c>
      <c r="F60" s="20">
        <f t="shared" si="5"/>
        <v>103590.84</v>
      </c>
      <c r="G60" s="20">
        <f t="shared" si="5"/>
        <v>1268408.74</v>
      </c>
      <c r="H60" s="20">
        <f t="shared" si="5"/>
        <v>1508238.7485693</v>
      </c>
      <c r="I60" s="20">
        <f t="shared" si="5"/>
        <v>115402.85320000001</v>
      </c>
      <c r="J60" s="20">
        <f t="shared" si="5"/>
        <v>36012.034850000004</v>
      </c>
      <c r="K60" s="20">
        <f t="shared" si="5"/>
        <v>992234.473096616</v>
      </c>
      <c r="L60" s="20">
        <f t="shared" si="5"/>
        <v>370602.69779999997</v>
      </c>
      <c r="M60" s="20">
        <f t="shared" si="5"/>
        <v>1514252.060546616</v>
      </c>
      <c r="N60" s="20">
        <f t="shared" si="5"/>
        <v>-5488.311977316036</v>
      </c>
      <c r="O60" s="20">
        <f>O58+O44</f>
        <v>-128277.3</v>
      </c>
      <c r="P60" s="36"/>
      <c r="Q60" s="35"/>
    </row>
    <row r="62" spans="1:17" ht="12.75">
      <c r="A62" s="9" t="s">
        <v>115</v>
      </c>
      <c r="D62" s="41" t="s">
        <v>119</v>
      </c>
      <c r="P62" s="79"/>
      <c r="Q62" s="79"/>
    </row>
    <row r="63" spans="1:17" ht="12.75">
      <c r="A63" s="88" t="s">
        <v>71</v>
      </c>
      <c r="B63" s="88" t="s">
        <v>72</v>
      </c>
      <c r="C63" s="171" t="s">
        <v>73</v>
      </c>
      <c r="D63" s="172"/>
      <c r="P63" s="79"/>
      <c r="Q63" s="79"/>
    </row>
    <row r="64" spans="1:17" ht="12.75">
      <c r="A64" s="151">
        <v>372362.95</v>
      </c>
      <c r="B64" s="56">
        <v>56975.18</v>
      </c>
      <c r="C64" s="152">
        <f>A64-B64</f>
        <v>315387.77</v>
      </c>
      <c r="D64" s="153"/>
      <c r="P64" s="79"/>
      <c r="Q64" s="79"/>
    </row>
    <row r="65" spans="1:17" ht="12.75">
      <c r="A65" s="154"/>
      <c r="P65" s="79"/>
      <c r="Q65" s="79"/>
    </row>
    <row r="66" spans="1:17" ht="12.75">
      <c r="A66" s="80" t="s">
        <v>109</v>
      </c>
      <c r="G66" s="80" t="s">
        <v>110</v>
      </c>
      <c r="P66" s="79"/>
      <c r="Q66" s="79"/>
    </row>
    <row r="67" ht="12.75">
      <c r="A67" s="79"/>
    </row>
    <row r="68" ht="12.75">
      <c r="A68" s="79"/>
    </row>
    <row r="69" ht="12.75">
      <c r="A69" s="41" t="s">
        <v>112</v>
      </c>
    </row>
    <row r="70" ht="12.75">
      <c r="A70" s="80" t="s">
        <v>111</v>
      </c>
    </row>
  </sheetData>
  <sheetProtection/>
  <mergeCells count="25">
    <mergeCell ref="A59:N59"/>
    <mergeCell ref="A27:N27"/>
    <mergeCell ref="A43:N43"/>
    <mergeCell ref="I8:M9"/>
    <mergeCell ref="N8:N11"/>
    <mergeCell ref="A8:A11"/>
    <mergeCell ref="B8:B11"/>
    <mergeCell ref="C8:C11"/>
    <mergeCell ref="D8:D11"/>
    <mergeCell ref="O8:O11"/>
    <mergeCell ref="E10:F10"/>
    <mergeCell ref="H10:H11"/>
    <mergeCell ref="I10:I11"/>
    <mergeCell ref="J10:J11"/>
    <mergeCell ref="K10:K11"/>
    <mergeCell ref="L10:L11"/>
    <mergeCell ref="E8:F9"/>
    <mergeCell ref="G8:H9"/>
    <mergeCell ref="M10:M11"/>
    <mergeCell ref="B1:H1"/>
    <mergeCell ref="B2:H2"/>
    <mergeCell ref="A5:N5"/>
    <mergeCell ref="A6:G6"/>
    <mergeCell ref="A7:D7"/>
    <mergeCell ref="E7:F7"/>
  </mergeCells>
  <printOptions/>
  <pageMargins left="0.1968503937007874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2012-08-15T05:11:51Z</cp:lastPrinted>
  <dcterms:created xsi:type="dcterms:W3CDTF">2010-04-02T05:03:24Z</dcterms:created>
  <dcterms:modified xsi:type="dcterms:W3CDTF">2013-05-19T17:19:26Z</dcterms:modified>
  <cp:category/>
  <cp:version/>
  <cp:contentType/>
  <cp:contentStatus/>
</cp:coreProperties>
</file>